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Forestarn\SAUVETERRE - GF Massif de Nore -SWC ELECTRABEL\Dossier déposé le 08 12 2023\"/>
    </mc:Choice>
  </mc:AlternateContent>
  <xr:revisionPtr revIDLastSave="0" documentId="13_ncr:1_{AA3654B1-5EEA-408B-939A-5E024937ECD2}" xr6:coauthVersionLast="36" xr6:coauthVersionMax="36" xr10:uidLastSave="{00000000-0000-0000-0000-000000000000}"/>
  <bookViews>
    <workbookView xWindow="0" yWindow="0" windowWidth="28800" windowHeight="1261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9" i="2" l="1" a="1"/>
  <c r="AH199" i="2" s="1"/>
  <c r="AH166" i="2" a="1"/>
  <c r="AH166" i="2" s="1"/>
  <c r="AH19" i="2" a="1"/>
  <c r="AH19" i="2" s="1"/>
  <c r="AH90" i="2" a="1"/>
  <c r="AH90" i="2" s="1"/>
  <c r="AH151" i="2" a="1"/>
  <c r="AH151" i="2" s="1"/>
  <c r="AH163" i="2" a="1"/>
  <c r="AH163" i="2" s="1"/>
  <c r="AH62" i="2" a="1"/>
  <c r="AH62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M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<sst xmlns="http://schemas.openxmlformats.org/spreadsheetml/2006/main" count="1171" uniqueCount="324">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</sst>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1.8807803051454206</c:v>
                </c:pt>
                <c:pt idx="2">
                  <c:v>2.4338659530385267</c:v>
                </c:pt>
                <c:pt idx="3">
                  <c:v>3.1502609350315693</c:v>
                </c:pt>
                <c:pt idx="4">
                  <c:v>4.0783700502110554</c:v>
                </c:pt>
                <c:pt idx="5">
                  <c:v>5.2809964758932972</c:v>
                </c:pt>
                <c:pt idx="6">
                  <c:v>6.839638839379834</c:v>
                </c:pt>
                <c:pt idx="7">
                  <c:v>8.8600746163749324</c:v>
                </c:pt>
                <c:pt idx="8">
                  <c:v>11.479615989208229</c:v>
                </c:pt>
                <c:pt idx="9">
                  <c:v>14.87654050198527</c:v>
                </c:pt>
                <c:pt idx="10">
                  <c:v>19.282350104638549</c:v>
                </c:pt>
                <c:pt idx="11">
                  <c:v>24.997709077867171</c:v>
                </c:pt>
                <c:pt idx="12">
                  <c:v>32.413167678534187</c:v>
                </c:pt>
                <c:pt idx="13">
                  <c:v>42.036112123813787</c:v>
                </c:pt>
                <c:pt idx="14">
                  <c:v>54.525816175645708</c:v>
                </c:pt>
                <c:pt idx="15">
                  <c:v>70.739035632228152</c:v>
                </c:pt>
                <c:pt idx="16">
                  <c:v>91.78932427859479</c:v>
                </c:pt>
                <c:pt idx="17">
                  <c:v>119.12421016556203</c:v>
                </c:pt>
                <c:pt idx="18">
                  <c:v>154.62562208889187</c:v>
                </c:pt>
                <c:pt idx="19">
                  <c:v>200.74058596732007</c:v>
                </c:pt>
                <c:pt idx="20">
                  <c:v>235.51204202766243</c:v>
                </c:pt>
                <c:pt idx="21">
                  <c:v>270.16623181485778</c:v>
                </c:pt>
                <c:pt idx="22">
                  <c:v>304.72031452947482</c:v>
                </c:pt>
                <c:pt idx="23">
                  <c:v>339.1872321624985</c:v>
                </c:pt>
                <c:pt idx="24">
                  <c:v>373.57707921130037</c:v>
                </c:pt>
                <c:pt idx="25">
                  <c:v>407.89793949468162</c:v>
                </c:pt>
                <c:pt idx="26">
                  <c:v>376.9525885389333</c:v>
                </c:pt>
                <c:pt idx="27">
                  <c:v>410.27619508431599</c:v>
                </c:pt>
                <c:pt idx="28">
                  <c:v>443.54137638245015</c:v>
                </c:pt>
                <c:pt idx="29">
                  <c:v>476.75312396624321</c:v>
                </c:pt>
                <c:pt idx="30">
                  <c:v>509.91567780631357</c:v>
                </c:pt>
                <c:pt idx="31">
                  <c:v>481.01955462314157</c:v>
                </c:pt>
                <c:pt idx="32">
                  <c:v>516.06932221843772</c:v>
                </c:pt>
                <c:pt idx="33">
                  <c:v>551.06887464230806</c:v>
                </c:pt>
                <c:pt idx="34">
                  <c:v>586.02184403309866</c:v>
                </c:pt>
                <c:pt idx="35">
                  <c:v>620.93139451795184</c:v>
                </c:pt>
                <c:pt idx="36">
                  <c:v>567.37010980679293</c:v>
                </c:pt>
                <c:pt idx="37">
                  <c:v>595.22507573244764</c:v>
                </c:pt>
                <c:pt idx="38">
                  <c:v>623.05293550667545</c:v>
                </c:pt>
                <c:pt idx="39">
                  <c:v>650.85506834469629</c:v>
                </c:pt>
                <c:pt idx="40">
                  <c:v>678.63272618537417</c:v>
                </c:pt>
                <c:pt idx="41">
                  <c:v>620.69565848153741</c:v>
                </c:pt>
                <c:pt idx="42">
                  <c:v>647.55781319141124</c:v>
                </c:pt>
                <c:pt idx="43">
                  <c:v>674.39699172585131</c:v>
                </c:pt>
                <c:pt idx="44">
                  <c:v>701.2142358040129</c:v>
                </c:pt>
                <c:pt idx="45">
                  <c:v>728.01050108203719</c:v>
                </c:pt>
                <c:pt idx="46">
                  <c:v>671.33751041747894</c:v>
                </c:pt>
                <c:pt idx="47">
                  <c:v>692.27753096210472</c:v>
                </c:pt>
                <c:pt idx="48">
                  <c:v>713.20457786722011</c:v>
                </c:pt>
                <c:pt idx="49">
                  <c:v>734.11908497147158</c:v>
                </c:pt>
                <c:pt idx="50">
                  <c:v>755.02145940727178</c:v>
                </c:pt>
                <c:pt idx="51">
                  <c:v>714.84998798766367</c:v>
                </c:pt>
                <c:pt idx="52">
                  <c:v>731.06492305237623</c:v>
                </c:pt>
                <c:pt idx="53">
                  <c:v>747.27253134258956</c:v>
                </c:pt>
                <c:pt idx="54">
                  <c:v>763.47299401473185</c:v>
                </c:pt>
                <c:pt idx="55">
                  <c:v>779.66648391733395</c:v>
                </c:pt>
                <c:pt idx="56">
                  <c:v>748.211882009232</c:v>
                </c:pt>
                <c:pt idx="57">
                  <c:v>757.83884997834093</c:v>
                </c:pt>
                <c:pt idx="58">
                  <c:v>767.46333526620458</c:v>
                </c:pt>
                <c:pt idx="59">
                  <c:v>777.08537338244957</c:v>
                </c:pt>
                <c:pt idx="60">
                  <c:v>786.70499888602956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1.5143405455954928</c:v>
                </c:pt>
                <c:pt idx="2">
                  <c:v>1.7767334577056053</c:v>
                </c:pt>
                <c:pt idx="3">
                  <c:v>2.0847626982585878</c:v>
                </c:pt>
                <c:pt idx="4">
                  <c:v>2.44639369487003</c:v>
                </c:pt>
                <c:pt idx="5">
                  <c:v>2.8709868030988424</c:v>
                </c:pt>
                <c:pt idx="6">
                  <c:v>3.3695423482410605</c:v>
                </c:pt>
                <c:pt idx="7">
                  <c:v>3.9549888363905965</c:v>
                </c:pt>
                <c:pt idx="8">
                  <c:v>4.6425219600590033</c:v>
                </c:pt>
                <c:pt idx="9">
                  <c:v>5.4500033738182152</c:v>
                </c:pt>
                <c:pt idx="10">
                  <c:v>6.3984298051978152</c:v>
                </c:pt>
                <c:pt idx="11">
                  <c:v>7.512484938034774</c:v>
                </c:pt>
                <c:pt idx="12">
                  <c:v>8.8211887098303681</c:v>
                </c:pt>
                <c:pt idx="13">
                  <c:v>10.358661260551138</c:v>
                </c:pt>
                <c:pt idx="14">
                  <c:v>12.165021827391987</c:v>
                </c:pt>
                <c:pt idx="15">
                  <c:v>14.287446480394133</c:v>
                </c:pt>
                <c:pt idx="16">
                  <c:v>16.781412834210247</c:v>
                </c:pt>
                <c:pt idx="17">
                  <c:v>19.712164865717757</c:v>
                </c:pt>
                <c:pt idx="18">
                  <c:v>23.156436849915348</c:v>
                </c:pt>
                <c:pt idx="19">
                  <c:v>27.204482355879822</c:v>
                </c:pt>
                <c:pt idx="20">
                  <c:v>31.96246240704204</c:v>
                </c:pt>
                <c:pt idx="21">
                  <c:v>37.555256525487188</c:v>
                </c:pt>
                <c:pt idx="22">
                  <c:v>44.129771707474781</c:v>
                </c:pt>
                <c:pt idx="23">
                  <c:v>51.858837722246854</c:v>
                </c:pt>
                <c:pt idx="24">
                  <c:v>60.945792848333518</c:v>
                </c:pt>
                <c:pt idx="25">
                  <c:v>71.629882685146626</c:v>
                </c:pt>
                <c:pt idx="26">
                  <c:v>84.192616502651063</c:v>
                </c:pt>
                <c:pt idx="27">
                  <c:v>98.965251307645872</c:v>
                </c:pt>
                <c:pt idx="28">
                  <c:v>116.33760410635828</c:v>
                </c:pt>
                <c:pt idx="29">
                  <c:v>136.76842854853476</c:v>
                </c:pt>
                <c:pt idx="30">
                  <c:v>160.79763421333095</c:v>
                </c:pt>
                <c:pt idx="31">
                  <c:v>164.44589746083366</c:v>
                </c:pt>
                <c:pt idx="32">
                  <c:v>194.84914317201068</c:v>
                </c:pt>
                <c:pt idx="33">
                  <c:v>225.14195151472589</c:v>
                </c:pt>
                <c:pt idx="34">
                  <c:v>255.34128386600915</c:v>
                </c:pt>
                <c:pt idx="35">
                  <c:v>285.45975046107998</c:v>
                </c:pt>
                <c:pt idx="36">
                  <c:v>269.1373003112231</c:v>
                </c:pt>
                <c:pt idx="37">
                  <c:v>305.78072109452177</c:v>
                </c:pt>
                <c:pt idx="38">
                  <c:v>342.32647548510039</c:v>
                </c:pt>
                <c:pt idx="39">
                  <c:v>378.78644660711115</c:v>
                </c:pt>
                <c:pt idx="40">
                  <c:v>415.17004228873458</c:v>
                </c:pt>
                <c:pt idx="41">
                  <c:v>374.99662846798759</c:v>
                </c:pt>
                <c:pt idx="42">
                  <c:v>413.69925477001317</c:v>
                </c:pt>
                <c:pt idx="43">
                  <c:v>452.32377596053828</c:v>
                </c:pt>
                <c:pt idx="44">
                  <c:v>490.87778834673463</c:v>
                </c:pt>
                <c:pt idx="45">
                  <c:v>529.36759860582652</c:v>
                </c:pt>
                <c:pt idx="46">
                  <c:v>461.78894546837279</c:v>
                </c:pt>
                <c:pt idx="47">
                  <c:v>498.89163780524063</c:v>
                </c:pt>
                <c:pt idx="48">
                  <c:v>535.93592268019734</c:v>
                </c:pt>
                <c:pt idx="49">
                  <c:v>572.92639758179337</c:v>
                </c:pt>
                <c:pt idx="50">
                  <c:v>609.86701870459126</c:v>
                </c:pt>
                <c:pt idx="51">
                  <c:v>646.76122459791623</c:v>
                </c:pt>
                <c:pt idx="52">
                  <c:v>683.61203014264811</c:v>
                </c:pt>
                <c:pt idx="53">
                  <c:v>612.39750238339207</c:v>
                </c:pt>
                <c:pt idx="54">
                  <c:v>645.2744137187118</c:v>
                </c:pt>
                <c:pt idx="55">
                  <c:v>678.11677435304046</c:v>
                </c:pt>
                <c:pt idx="56">
                  <c:v>710.92648999922437</c:v>
                </c:pt>
                <c:pt idx="57">
                  <c:v>743.70527641826527</c:v>
                </c:pt>
                <c:pt idx="58">
                  <c:v>776.45468605330746</c:v>
                </c:pt>
                <c:pt idx="59">
                  <c:v>809.17612994183571</c:v>
                </c:pt>
                <c:pt idx="60">
                  <c:v>733.47439975399277</c:v>
                </c:pt>
                <c:pt idx="61">
                  <c:v>761.49131314163935</c:v>
                </c:pt>
                <c:pt idx="62">
                  <c:v>789.48731556309133</c:v>
                </c:pt>
                <c:pt idx="63">
                  <c:v>817.46325167289433</c:v>
                </c:pt>
                <c:pt idx="64">
                  <c:v>845.41990369328232</c:v>
                </c:pt>
                <c:pt idx="65">
                  <c:v>873.35799798113351</c:v>
                </c:pt>
                <c:pt idx="66">
                  <c:v>901.27821071217079</c:v>
                </c:pt>
                <c:pt idx="67">
                  <c:v>821.45822224486426</c:v>
                </c:pt>
                <c:pt idx="68">
                  <c:v>845.12416449082036</c:v>
                </c:pt>
                <c:pt idx="69">
                  <c:v>868.77680258958753</c:v>
                </c:pt>
                <c:pt idx="70">
                  <c:v>892.41654920268672</c:v>
                </c:pt>
                <c:pt idx="71">
                  <c:v>916.04379337995135</c:v>
                </c:pt>
                <c:pt idx="72">
                  <c:v>939.65890249674248</c:v>
                </c:pt>
                <c:pt idx="73">
                  <c:v>963.26222398658365</c:v>
                </c:pt>
                <c:pt idx="74">
                  <c:v>880.00726525896698</c:v>
                </c:pt>
                <c:pt idx="75">
                  <c:v>900.09675670106401</c:v>
                </c:pt>
                <c:pt idx="76">
                  <c:v>920.17730340384708</c:v>
                </c:pt>
                <c:pt idx="77">
                  <c:v>940.24912778894407</c:v>
                </c:pt>
                <c:pt idx="78">
                  <c:v>960.31244202076653</c:v>
                </c:pt>
                <c:pt idx="79">
                  <c:v>980.36744868823098</c:v>
                </c:pt>
                <c:pt idx="80">
                  <c:v>1000.4143414278786</c:v>
                </c:pt>
                <c:pt idx="81">
                  <c:v>914.12453753114403</c:v>
                </c:pt>
                <c:pt idx="82">
                  <c:v>931.09980528776384</c:v>
                </c:pt>
                <c:pt idx="83">
                  <c:v>948.06892000614414</c:v>
                </c:pt>
                <c:pt idx="84">
                  <c:v>965.03200719717006</c:v>
                </c:pt>
                <c:pt idx="85">
                  <c:v>981.98918760511708</c:v>
                </c:pt>
                <c:pt idx="86">
                  <c:v>998.9405774695266</c:v>
                </c:pt>
                <c:pt idx="87">
                  <c:v>1015.886288768399</c:v>
                </c:pt>
                <c:pt idx="88">
                  <c:v>927.26246155418039</c:v>
                </c:pt>
                <c:pt idx="89">
                  <c:v>941.87220940300369</c:v>
                </c:pt>
                <c:pt idx="90">
                  <c:v>956.47745679997718</c:v>
                </c:pt>
                <c:pt idx="91">
                  <c:v>971.07828207375962</c:v>
                </c:pt>
                <c:pt idx="92">
                  <c:v>985.67476100816805</c:v>
                </c:pt>
                <c:pt idx="93">
                  <c:v>1000.2669669620867</c:v>
                </c:pt>
                <c:pt idx="94">
                  <c:v>1014.8549709820269</c:v>
                </c:pt>
                <c:pt idx="95">
                  <c:v>924.458049086296</c:v>
                </c:pt>
                <c:pt idx="96">
                  <c:v>937.29792761196325</c:v>
                </c:pt>
                <c:pt idx="97">
                  <c:v>950.13431126077228</c:v>
                </c:pt>
                <c:pt idx="98">
                  <c:v>962.96725385615935</c:v>
                </c:pt>
                <c:pt idx="99">
                  <c:v>975.79680767149239</c:v>
                </c:pt>
                <c:pt idx="100">
                  <c:v>988.62302349492109</c:v>
                </c:pt>
                <c:pt idx="101">
                  <c:v>1001.4459506906936</c:v>
                </c:pt>
                <c:pt idx="102">
                  <c:v>898.17682790719027</c:v>
                </c:pt>
                <c:pt idx="103">
                  <c:v>898.17682790719027</c:v>
                </c:pt>
                <c:pt idx="104">
                  <c:v>898.17682790719027</c:v>
                </c:pt>
                <c:pt idx="105">
                  <c:v>898.17682790719027</c:v>
                </c:pt>
                <c:pt idx="106">
                  <c:v>898.17682790719027</c:v>
                </c:pt>
                <c:pt idx="107">
                  <c:v>898.17682790719027</c:v>
                </c:pt>
                <c:pt idx="108">
                  <c:v>898.17682790719027</c:v>
                </c:pt>
                <c:pt idx="109">
                  <c:v>898.17682790719027</c:v>
                </c:pt>
                <c:pt idx="110">
                  <c:v>898.17682790719027</c:v>
                </c:pt>
                <c:pt idx="111">
                  <c:v>898.17682790719027</c:v>
                </c:pt>
                <c:pt idx="112">
                  <c:v>898.17682790719027</c:v>
                </c:pt>
                <c:pt idx="113">
                  <c:v>898.17682790719027</c:v>
                </c:pt>
                <c:pt idx="114">
                  <c:v>898.17682790719027</c:v>
                </c:pt>
                <c:pt idx="115">
                  <c:v>898.17682790719027</c:v>
                </c:pt>
                <c:pt idx="116">
                  <c:v>898.17682790719027</c:v>
                </c:pt>
                <c:pt idx="117">
                  <c:v>898.17682790719027</c:v>
                </c:pt>
                <c:pt idx="118">
                  <c:v>898.17682790719027</c:v>
                </c:pt>
                <c:pt idx="119">
                  <c:v>898.17682790719027</c:v>
                </c:pt>
                <c:pt idx="120">
                  <c:v>898.17682790719027</c:v>
                </c:pt>
                <c:pt idx="121">
                  <c:v>898.17682790719027</c:v>
                </c:pt>
                <c:pt idx="122">
                  <c:v>898.17682790719027</c:v>
                </c:pt>
                <c:pt idx="123">
                  <c:v>898.17682790719027</c:v>
                </c:pt>
                <c:pt idx="124">
                  <c:v>898.17682790719027</c:v>
                </c:pt>
                <c:pt idx="125">
                  <c:v>898.17682790719027</c:v>
                </c:pt>
                <c:pt idx="126">
                  <c:v>898.17682790719027</c:v>
                </c:pt>
                <c:pt idx="127">
                  <c:v>898.17682790719027</c:v>
                </c:pt>
                <c:pt idx="128">
                  <c:v>898.17682790719027</c:v>
                </c:pt>
                <c:pt idx="129">
                  <c:v>898.17682790719027</c:v>
                </c:pt>
                <c:pt idx="130">
                  <c:v>898.17682790719027</c:v>
                </c:pt>
                <c:pt idx="131">
                  <c:v>898.17682790719027</c:v>
                </c:pt>
                <c:pt idx="132">
                  <c:v>898.17682790719027</c:v>
                </c:pt>
                <c:pt idx="133">
                  <c:v>898.17682790719027</c:v>
                </c:pt>
                <c:pt idx="134">
                  <c:v>898.17682790719027</c:v>
                </c:pt>
                <c:pt idx="135">
                  <c:v>898.17682790719027</c:v>
                </c:pt>
                <c:pt idx="136">
                  <c:v>898.17682790719027</c:v>
                </c:pt>
                <c:pt idx="137">
                  <c:v>898.17682790719027</c:v>
                </c:pt>
                <c:pt idx="138">
                  <c:v>898.17682790719027</c:v>
                </c:pt>
                <c:pt idx="139">
                  <c:v>898.17682790719027</c:v>
                </c:pt>
                <c:pt idx="140">
                  <c:v>898.17682790719027</c:v>
                </c:pt>
                <c:pt idx="141">
                  <c:v>898.17682790719027</c:v>
                </c:pt>
                <c:pt idx="142">
                  <c:v>898.17682790719027</c:v>
                </c:pt>
                <c:pt idx="143">
                  <c:v>898.17682790719027</c:v>
                </c:pt>
                <c:pt idx="144">
                  <c:v>898.17682790719027</c:v>
                </c:pt>
                <c:pt idx="145">
                  <c:v>898.17682790719027</c:v>
                </c:pt>
                <c:pt idx="146">
                  <c:v>898.17682790719027</c:v>
                </c:pt>
                <c:pt idx="147">
                  <c:v>898.17682790719027</c:v>
                </c:pt>
                <c:pt idx="148">
                  <c:v>898.17682790719027</c:v>
                </c:pt>
                <c:pt idx="149">
                  <c:v>898.17682790719027</c:v>
                </c:pt>
                <c:pt idx="150">
                  <c:v>898.17682790719027</c:v>
                </c:pt>
                <c:pt idx="151">
                  <c:v>898.17682790719027</c:v>
                </c:pt>
                <c:pt idx="152">
                  <c:v>898.17682790719027</c:v>
                </c:pt>
                <c:pt idx="153">
                  <c:v>898.17682790719027</c:v>
                </c:pt>
                <c:pt idx="154">
                  <c:v>898.17682790719027</c:v>
                </c:pt>
                <c:pt idx="155">
                  <c:v>898.17682790719027</c:v>
                </c:pt>
                <c:pt idx="156">
                  <c:v>898.17682790719027</c:v>
                </c:pt>
                <c:pt idx="157">
                  <c:v>898.17682790719027</c:v>
                </c:pt>
                <c:pt idx="158">
                  <c:v>898.17682790719027</c:v>
                </c:pt>
                <c:pt idx="159">
                  <c:v>898.17682790719027</c:v>
                </c:pt>
                <c:pt idx="160">
                  <c:v>898.17682790719027</c:v>
                </c:pt>
                <c:pt idx="161">
                  <c:v>898.17682790719027</c:v>
                </c:pt>
                <c:pt idx="162">
                  <c:v>898.17682790719027</c:v>
                </c:pt>
                <c:pt idx="163">
                  <c:v>898.17682790719027</c:v>
                </c:pt>
                <c:pt idx="164">
                  <c:v>898.17682790719027</c:v>
                </c:pt>
                <c:pt idx="165">
                  <c:v>898.17682790719027</c:v>
                </c:pt>
                <c:pt idx="166">
                  <c:v>898.17682790719027</c:v>
                </c:pt>
                <c:pt idx="167">
                  <c:v>898.17682790719027</c:v>
                </c:pt>
                <c:pt idx="168">
                  <c:v>898.17682790719027</c:v>
                </c:pt>
                <c:pt idx="169">
                  <c:v>898.17682790719027</c:v>
                </c:pt>
                <c:pt idx="170">
                  <c:v>898.17682790719027</c:v>
                </c:pt>
                <c:pt idx="171">
                  <c:v>898.17682790719027</c:v>
                </c:pt>
                <c:pt idx="172">
                  <c:v>898.17682790719027</c:v>
                </c:pt>
                <c:pt idx="173">
                  <c:v>898.17682790719027</c:v>
                </c:pt>
                <c:pt idx="174">
                  <c:v>898.17682790719027</c:v>
                </c:pt>
                <c:pt idx="175">
                  <c:v>898.17682790719027</c:v>
                </c:pt>
                <c:pt idx="176">
                  <c:v>898.17682790719027</c:v>
                </c:pt>
                <c:pt idx="177">
                  <c:v>898.17682790719027</c:v>
                </c:pt>
                <c:pt idx="178">
                  <c:v>898.17682790719027</c:v>
                </c:pt>
                <c:pt idx="179">
                  <c:v>898.17682790719027</c:v>
                </c:pt>
                <c:pt idx="180">
                  <c:v>898.17682790719027</c:v>
                </c:pt>
                <c:pt idx="181">
                  <c:v>898.17682790719027</c:v>
                </c:pt>
                <c:pt idx="182">
                  <c:v>898.17682790719027</c:v>
                </c:pt>
                <c:pt idx="183">
                  <c:v>898.17682790719027</c:v>
                </c:pt>
                <c:pt idx="184">
                  <c:v>898.17682790719027</c:v>
                </c:pt>
                <c:pt idx="185">
                  <c:v>898.17682790719027</c:v>
                </c:pt>
                <c:pt idx="186">
                  <c:v>898.17682790719027</c:v>
                </c:pt>
                <c:pt idx="187">
                  <c:v>898.17682790719027</c:v>
                </c:pt>
                <c:pt idx="188">
                  <c:v>898.17682790719027</c:v>
                </c:pt>
                <c:pt idx="189">
                  <c:v>898.17682790719027</c:v>
                </c:pt>
                <c:pt idx="190">
                  <c:v>898.17682790719027</c:v>
                </c:pt>
                <c:pt idx="191">
                  <c:v>898.17682790719027</c:v>
                </c:pt>
                <c:pt idx="192">
                  <c:v>898.17682790719027</c:v>
                </c:pt>
                <c:pt idx="193">
                  <c:v>898.17682790719027</c:v>
                </c:pt>
                <c:pt idx="194">
                  <c:v>898.17682790719027</c:v>
                </c:pt>
                <c:pt idx="195">
                  <c:v>898.17682790719027</c:v>
                </c:pt>
                <c:pt idx="196">
                  <c:v>898.17682790719027</c:v>
                </c:pt>
                <c:pt idx="197">
                  <c:v>898.17682790719027</c:v>
                </c:pt>
                <c:pt idx="198">
                  <c:v>898.17682790719027</c:v>
                </c:pt>
                <c:pt idx="199">
                  <c:v>898.17682790719027</c:v>
                </c:pt>
                <c:pt idx="200">
                  <c:v>898.17682790719027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7" zoomScale="90" zoomScaleNormal="90" workbookViewId="0">
      <selection activeCell="K29" sqref="K29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13.6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18</v>
      </c>
      <c r="C9" s="35">
        <v>0.23</v>
      </c>
      <c r="D9" s="36">
        <f t="shared" ref="D9:D18" si="0">C9*$C$5</f>
        <v>3.1280000000000001</v>
      </c>
      <c r="E9" s="37">
        <v>60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46</v>
      </c>
      <c r="C10" s="35">
        <v>0.77</v>
      </c>
      <c r="D10" s="36">
        <f t="shared" si="0"/>
        <v>10.472</v>
      </c>
      <c r="E10" s="37">
        <v>101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13.6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0.1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Douglas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19</v>
      </c>
      <c r="B36" s="63">
        <v>162</v>
      </c>
      <c r="C36" s="63">
        <v>1</v>
      </c>
      <c r="D36" s="63">
        <v>0</v>
      </c>
      <c r="E36" s="54">
        <v>0.1</v>
      </c>
      <c r="F36" s="54"/>
      <c r="G36" s="54">
        <v>0.9</v>
      </c>
      <c r="H36" s="54"/>
      <c r="I36" s="52">
        <f>IFERROR(B36/A36,"")</f>
        <v>8.526315789473685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25</v>
      </c>
      <c r="B37" s="63">
        <v>335</v>
      </c>
      <c r="C37" s="63">
        <v>2</v>
      </c>
      <c r="D37" s="63">
        <v>54</v>
      </c>
      <c r="E37" s="54">
        <v>0.15</v>
      </c>
      <c r="F37" s="54"/>
      <c r="G37" s="54">
        <v>0.85</v>
      </c>
      <c r="H37" s="54"/>
      <c r="I37" s="56">
        <f t="shared" ref="I37:I55" si="1">IF(A37&lt;&gt;0,(B37-(B36-D36))/(A37-A36),"")</f>
        <v>28.833333333333332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63">
        <v>421</v>
      </c>
      <c r="C38" s="63">
        <v>3</v>
      </c>
      <c r="D38" s="63">
        <v>54</v>
      </c>
      <c r="E38" s="54">
        <v>0.25</v>
      </c>
      <c r="F38" s="54"/>
      <c r="G38" s="54">
        <v>0.75</v>
      </c>
      <c r="H38" s="54"/>
      <c r="I38" s="56">
        <f t="shared" si="1"/>
        <v>28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35</v>
      </c>
      <c r="B39" s="63">
        <v>515</v>
      </c>
      <c r="C39" s="63">
        <v>4</v>
      </c>
      <c r="D39" s="63">
        <v>69</v>
      </c>
      <c r="E39" s="54"/>
      <c r="F39" s="54"/>
      <c r="G39" s="54"/>
      <c r="H39" s="54"/>
      <c r="I39" s="52">
        <f t="shared" si="1"/>
        <v>29.6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40</v>
      </c>
      <c r="B40" s="63">
        <v>564</v>
      </c>
      <c r="C40" s="63">
        <v>5</v>
      </c>
      <c r="D40" s="63">
        <v>72</v>
      </c>
      <c r="E40" s="54"/>
      <c r="F40" s="54"/>
      <c r="G40" s="54"/>
      <c r="H40" s="54"/>
      <c r="I40" s="52">
        <f t="shared" si="1"/>
        <v>23.6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45</v>
      </c>
      <c r="B41" s="63">
        <v>606</v>
      </c>
      <c r="C41" s="63">
        <v>6</v>
      </c>
      <c r="D41" s="63">
        <v>66</v>
      </c>
      <c r="E41" s="54"/>
      <c r="F41" s="54"/>
      <c r="G41" s="54"/>
      <c r="H41" s="54"/>
      <c r="I41" s="56">
        <f t="shared" si="1"/>
        <v>22.8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50</v>
      </c>
      <c r="B42" s="63">
        <v>629</v>
      </c>
      <c r="C42" s="63">
        <v>7</v>
      </c>
      <c r="D42" s="63">
        <v>48</v>
      </c>
      <c r="E42" s="54"/>
      <c r="F42" s="54"/>
      <c r="G42" s="54"/>
      <c r="H42" s="54"/>
      <c r="I42" s="56">
        <f t="shared" si="1"/>
        <v>17.8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55</v>
      </c>
      <c r="B43" s="63">
        <v>650</v>
      </c>
      <c r="C43" s="63">
        <v>8</v>
      </c>
      <c r="D43" s="63">
        <v>35</v>
      </c>
      <c r="E43" s="54"/>
      <c r="F43" s="54"/>
      <c r="G43" s="54"/>
      <c r="H43" s="54"/>
      <c r="I43" s="52">
        <f t="shared" si="1"/>
        <v>13.8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60</v>
      </c>
      <c r="B44" s="63">
        <v>656</v>
      </c>
      <c r="C44" s="63">
        <v>9</v>
      </c>
      <c r="D44" s="63">
        <v>656</v>
      </c>
      <c r="E44" s="54"/>
      <c r="F44" s="54"/>
      <c r="G44" s="54"/>
      <c r="H44" s="54"/>
      <c r="I44" s="52">
        <f t="shared" si="1"/>
        <v>8.1999999999999993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Sapin pectiné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30</v>
      </c>
      <c r="B62" s="63">
        <v>146</v>
      </c>
      <c r="C62" s="63">
        <v>1</v>
      </c>
      <c r="D62" s="63">
        <v>25</v>
      </c>
      <c r="E62" s="54">
        <v>0.7</v>
      </c>
      <c r="F62" s="54">
        <v>0.15</v>
      </c>
      <c r="G62" s="54">
        <v>0.15</v>
      </c>
      <c r="H62" s="54"/>
      <c r="I62" s="56">
        <f>IFERROR(B62/A62,"")</f>
        <v>4.8666666666666663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35</v>
      </c>
      <c r="B63" s="63">
        <v>263</v>
      </c>
      <c r="C63" s="63">
        <v>2</v>
      </c>
      <c r="D63" s="63">
        <v>50</v>
      </c>
      <c r="E63" s="54"/>
      <c r="F63" s="54"/>
      <c r="G63" s="54"/>
      <c r="H63" s="54"/>
      <c r="I63" s="52">
        <f>IF(A63&lt;&gt;0,(B63-(B62-D62))/(A63-A62),"")</f>
        <v>28.4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40</v>
      </c>
      <c r="B64" s="63">
        <v>386</v>
      </c>
      <c r="C64" s="63">
        <v>3</v>
      </c>
      <c r="D64" s="63">
        <v>75</v>
      </c>
      <c r="E64" s="54"/>
      <c r="F64" s="54"/>
      <c r="G64" s="54"/>
      <c r="H64" s="54"/>
      <c r="I64" s="52">
        <f>IF(A64&lt;&gt;0,(B64-(B63-D63))/(A64-A63),"")</f>
        <v>34.6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45</v>
      </c>
      <c r="B65" s="63">
        <v>495</v>
      </c>
      <c r="C65" s="63">
        <v>4</v>
      </c>
      <c r="D65" s="63">
        <v>100</v>
      </c>
      <c r="E65" s="54"/>
      <c r="F65" s="54"/>
      <c r="G65" s="54"/>
      <c r="H65" s="54"/>
      <c r="I65" s="52">
        <f>IF(A65&lt;&gt;0,(B65-(B64-D64))/(A65-A64),"")</f>
        <v>36.799999999999997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52</v>
      </c>
      <c r="B66" s="63">
        <v>643</v>
      </c>
      <c r="C66" s="63">
        <v>5</v>
      </c>
      <c r="D66" s="63">
        <v>100</v>
      </c>
      <c r="E66" s="54"/>
      <c r="F66" s="54"/>
      <c r="G66" s="54"/>
      <c r="H66" s="54"/>
      <c r="I66" s="52">
        <f t="shared" ref="I66:I81" si="2">IF(A66&lt;&gt;0,(B66-(B65-D65))/(A66-A65),"")</f>
        <v>35.428571428571431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59</v>
      </c>
      <c r="B67" s="63">
        <v>764</v>
      </c>
      <c r="C67" s="63">
        <v>6</v>
      </c>
      <c r="D67" s="63">
        <v>100</v>
      </c>
      <c r="E67" s="54"/>
      <c r="F67" s="54"/>
      <c r="G67" s="54"/>
      <c r="H67" s="54"/>
      <c r="I67" s="52">
        <f t="shared" si="2"/>
        <v>31.571428571428573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66</v>
      </c>
      <c r="B68" s="63">
        <v>853</v>
      </c>
      <c r="C68" s="63">
        <v>7</v>
      </c>
      <c r="D68" s="63">
        <v>100</v>
      </c>
      <c r="E68" s="54"/>
      <c r="F68" s="54"/>
      <c r="G68" s="54"/>
      <c r="H68" s="54"/>
      <c r="I68" s="52">
        <f t="shared" si="2"/>
        <v>27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73</v>
      </c>
      <c r="B69" s="53">
        <v>913</v>
      </c>
      <c r="C69" s="53">
        <v>8</v>
      </c>
      <c r="D69" s="53">
        <v>100</v>
      </c>
      <c r="E69" s="54"/>
      <c r="F69" s="54"/>
      <c r="G69" s="54"/>
      <c r="H69" s="54"/>
      <c r="I69" s="52">
        <f t="shared" si="2"/>
        <v>22.857142857142858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80</v>
      </c>
      <c r="B70" s="53">
        <v>949</v>
      </c>
      <c r="C70" s="53">
        <v>9</v>
      </c>
      <c r="D70" s="53">
        <v>100</v>
      </c>
      <c r="E70" s="54"/>
      <c r="F70" s="54"/>
      <c r="G70" s="54"/>
      <c r="H70" s="54"/>
      <c r="I70" s="52">
        <f t="shared" si="2"/>
        <v>19.428571428571427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87</v>
      </c>
      <c r="B71" s="53">
        <v>964</v>
      </c>
      <c r="C71" s="53">
        <v>10</v>
      </c>
      <c r="D71" s="53">
        <v>100</v>
      </c>
      <c r="E71" s="54"/>
      <c r="F71" s="54"/>
      <c r="G71" s="54"/>
      <c r="H71" s="54"/>
      <c r="I71" s="52">
        <f t="shared" si="2"/>
        <v>16.428571428571427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94</v>
      </c>
      <c r="B72" s="53">
        <v>963</v>
      </c>
      <c r="C72" s="53">
        <v>11</v>
      </c>
      <c r="D72" s="53">
        <v>100</v>
      </c>
      <c r="E72" s="54"/>
      <c r="F72" s="54"/>
      <c r="G72" s="54"/>
      <c r="H72" s="54"/>
      <c r="I72" s="52">
        <f t="shared" si="2"/>
        <v>14.142857142857142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101</v>
      </c>
      <c r="B73" s="53">
        <v>950</v>
      </c>
      <c r="C73" s="53">
        <v>12</v>
      </c>
      <c r="D73" s="53">
        <v>100</v>
      </c>
      <c r="E73" s="54"/>
      <c r="F73" s="54"/>
      <c r="G73" s="54"/>
      <c r="H73" s="54"/>
      <c r="I73" s="52">
        <f t="shared" si="2"/>
        <v>12.428571428571429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30" sqref="C30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Douglas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Sapin pectiné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382.94446752777549</v>
      </c>
      <c r="T3" s="62">
        <f>IF('Données projet'!E9&gt;30,$R$33-$H$33,LOOKUP('Données projet'!$E$9,$A$3:$A$203,R3:R203)-LOOKUP('Données projet'!$E$9,$A$3:$A$203,$H$3:$H$203))</f>
        <v>476.29465646955543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473.90982075211258</v>
      </c>
      <c r="AO3" s="62">
        <f>IF('Données projet'!E10&gt;30,$AM$33-$H$33,LOOKUP('Données projet'!$E$10,$A$3:$A$203,AM3:AM203)-LOOKUP('Données projet'!$E$10,$A$3:$A$203,$H$3:$H$203))</f>
        <v>127.17661287657279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2">
        <f>IFERROR(EXP(-1.0587+0.8836*LN(C4)+0.284),0)</f>
        <v>0.24137676049677712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70">
        <f t="shared" ref="H4:H67" si="1">(B4+E4+F4)*44/12+(C4+D4)*0.475*44/12</f>
        <v>294.5914728578652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8.526315789473685</v>
      </c>
      <c r="N4" s="14">
        <f>IF('Données projet'!$A$36&gt;35,N3+M4-V3,IF(A4&lt;'Données projet'!$A$36,$K$205^A4,IF(A4='Données projet'!$A$36,'Données projet'!$B$36,N3+M4-V3)))</f>
        <v>1.3070441688874561</v>
      </c>
      <c r="O4" s="14">
        <f>N4*VLOOKUP('Données projet'!$B$9,Paramètres!$A$1:$I$89,3,0)*VLOOKUP('Données projet'!$B$9,Paramètres!$A$1:$I$89,5,0)</f>
        <v>0.73063769040808801</v>
      </c>
      <c r="P4" s="14">
        <f>EXP(-1.0587+0.8836*LN(O4)+0.284)</f>
        <v>0.34923616900555043</v>
      </c>
      <c r="Q4" s="22">
        <f t="shared" ref="Q4:Q34" si="2">(O4+P4)*0.475*44/12</f>
        <v>1.8807803051454206</v>
      </c>
      <c r="R4" s="62">
        <f t="shared" si="0"/>
        <v>295.21411363847875</v>
      </c>
      <c r="S4" s="62">
        <f ca="1">AVERAGE(OFFSET($R$3,0,0,'Données projet'!$E$9+1,1))-AVERAGE(OFFSET($H$3,0,0,'Données projet'!$E$9+1,1))</f>
        <v>382.94446752777549</v>
      </c>
      <c r="T4" s="62">
        <f>$T$3</f>
        <v>476.29465646955543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4.8666666666666663</v>
      </c>
      <c r="AI4" s="14">
        <f>IF('Données projet'!$A$62&gt;35,AI3+AH4-AQ3,IF(A4&lt;'Données projet'!$A$62,$AF$205^A4,IF(A4='Données projet'!$A$62,'Données projet'!$B$62,AI3+AH4-AQ3)))</f>
        <v>1.1807150396076078</v>
      </c>
      <c r="AJ4" s="14">
        <f>AI4*VLOOKUP('Données projet'!$B$10,Paramètres!$A$1:$I$89,3,0)*VLOOKUP('Données projet'!$B$10,Paramètres!$A$1:$I$89,5,0)</f>
        <v>0.58327322956615835</v>
      </c>
      <c r="AK4" s="14">
        <f>EXP(-1.0587+0.8836*LN(AJ4)+0.284)</f>
        <v>0.28620459565613421</v>
      </c>
      <c r="AL4" s="22">
        <f t="shared" ref="AL4:AL67" si="4">(AJ4+AK4)*0.475*44/12</f>
        <v>1.5143405455954928</v>
      </c>
      <c r="AM4" s="62">
        <f t="shared" ref="AM4:AM67" si="5">AL4+(AD4+AE4)*44/12</f>
        <v>294.84767387892879</v>
      </c>
      <c r="AN4" s="62">
        <f ca="1">AVERAGE(OFFSET($AM$3,0,0,'Données projet'!$E$10+1,1))-AVERAGE(OFFSET($H$3,0,0,'Données projet'!$E$10+1,1))</f>
        <v>473.90982075211258</v>
      </c>
      <c r="AO4" s="62">
        <f>$AO$3</f>
        <v>127.17661287657279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2">
        <f t="shared" ref="D5:D68" si="32">IFERROR(EXP(-1.0587+0.8836*LN(C5)+0.284),0)</f>
        <v>0.4453336974617329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70">
        <f t="shared" si="1"/>
        <v>295.78443952307919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8.526315789473685</v>
      </c>
      <c r="N5" s="14">
        <f>IF('Données projet'!$A$36&gt;35,N4+M5-V4,IF(A5&lt;'Données projet'!$A$36,$K$205^A5,IF(A5='Données projet'!$A$36,'Données projet'!$B$36,N4+M5-V4)))</f>
        <v>1.708364459422701</v>
      </c>
      <c r="O5" s="14">
        <f>N5*VLOOKUP('Données projet'!$B$9,Paramètres!$A$1:$I$89,3,0)*VLOOKUP('Données projet'!$B$9,Paramètres!$A$1:$I$89,5,0)</f>
        <v>0.95497573281728976</v>
      </c>
      <c r="P5" s="14">
        <f t="shared" ref="P5:P68" si="33">EXP(-1.0587+0.8836*LN(O5)+0.284)</f>
        <v>0.44245926414263009</v>
      </c>
      <c r="Q5" s="22">
        <f t="shared" si="2"/>
        <v>2.4338659530385267</v>
      </c>
      <c r="R5" s="62">
        <f t="shared" si="0"/>
        <v>295.76719928637186</v>
      </c>
      <c r="S5" s="62">
        <f ca="1">AVERAGE(OFFSET($R$3,0,0,'Données projet'!$E$9+1,1))-AVERAGE(OFFSET($H$3,0,0,'Données projet'!$E$9+1,1))</f>
        <v>382.94446752777549</v>
      </c>
      <c r="T5" s="62">
        <f t="shared" ref="T5:T68" si="34">$T$3</f>
        <v>476.29465646955543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4.8666666666666663</v>
      </c>
      <c r="AI5" s="14">
        <f>IF('Données projet'!$A$62&gt;35,AI4+AH5-AQ4,IF(A5&lt;'Données projet'!$A$62,$AF$205^A5,IF(A5='Données projet'!$A$62,'Données projet'!$B$62,AI4+AH5-AQ4)))</f>
        <v>1.3940880047555948</v>
      </c>
      <c r="AJ5" s="14">
        <f>AI5*VLOOKUP('Données projet'!$B$10,Paramètres!$A$1:$I$89,3,0)*VLOOKUP('Données projet'!$B$10,Paramètres!$A$1:$I$89,5,0)</f>
        <v>0.68867947434926391</v>
      </c>
      <c r="AK5" s="14">
        <f t="shared" ref="AK5:AK68" si="35">EXP(-1.0587+0.8836*LN(AJ5)+0.284)</f>
        <v>0.33145456835251913</v>
      </c>
      <c r="AL5" s="22">
        <f t="shared" si="4"/>
        <v>1.7767334577056053</v>
      </c>
      <c r="AM5" s="62">
        <f t="shared" si="5"/>
        <v>295.11006679103895</v>
      </c>
      <c r="AN5" s="62">
        <f ca="1">AVERAGE(OFFSET($AM$3,0,0,'Données projet'!$E$10+1,1))-AVERAGE(OFFSET($H$3,0,0,'Données projet'!$E$10+1,1))</f>
        <v>473.90982075211258</v>
      </c>
      <c r="AO5" s="62">
        <f t="shared" ref="AO5:AO68" si="36">$AO$3</f>
        <v>127.17661287657279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2">
        <f t="shared" si="32"/>
        <v>0.63720590978354918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70">
        <f t="shared" si="1"/>
        <v>296.95635862620634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8.526315789473685</v>
      </c>
      <c r="N6" s="14">
        <f>IF('Données projet'!$A$36&gt;35,N5+M6-V5,IF(A6&lt;'Données projet'!$A$36,$K$205^A6,IF(A6='Données projet'!$A$36,'Données projet'!$B$36,N5+M6-V5)))</f>
        <v>2.2329078050230127</v>
      </c>
      <c r="O6" s="14">
        <f>N6*VLOOKUP('Données projet'!$B$9,Paramètres!$A$1:$I$89,3,0)*VLOOKUP('Données projet'!$B$9,Paramètres!$A$1:$I$89,5,0)</f>
        <v>1.248195463007864</v>
      </c>
      <c r="P6" s="14">
        <f t="shared" si="33"/>
        <v>0.56056679634040518</v>
      </c>
      <c r="Q6" s="22">
        <f t="shared" si="2"/>
        <v>3.1502609350315693</v>
      </c>
      <c r="R6" s="62">
        <f t="shared" si="0"/>
        <v>296.48359426836487</v>
      </c>
      <c r="S6" s="62">
        <f ca="1">AVERAGE(OFFSET($R$3,0,0,'Données projet'!$E$9+1,1))-AVERAGE(OFFSET($H$3,0,0,'Données projet'!$E$9+1,1))</f>
        <v>382.94446752777549</v>
      </c>
      <c r="T6" s="62">
        <f t="shared" si="34"/>
        <v>476.29465646955543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4.8666666666666663</v>
      </c>
      <c r="AI6" s="14">
        <f>IF('Données projet'!$A$62&gt;35,AI5+AH6-AQ5,IF(A6&lt;'Données projet'!$A$62,$AF$205^A6,IF(A6='Données projet'!$A$62,'Données projet'!$B$62,AI5+AH6-AQ5)))</f>
        <v>1.6460206737514931</v>
      </c>
      <c r="AJ6" s="14">
        <f>AI6*VLOOKUP('Données projet'!$B$10,Paramètres!$A$1:$I$89,3,0)*VLOOKUP('Données projet'!$B$10,Paramètres!$A$1:$I$89,5,0)</f>
        <v>0.81313421283323761</v>
      </c>
      <c r="AK6" s="14">
        <f t="shared" si="35"/>
        <v>0.38385872396595144</v>
      </c>
      <c r="AL6" s="22">
        <f t="shared" si="4"/>
        <v>2.0847626982585878</v>
      </c>
      <c r="AM6" s="62">
        <f t="shared" si="5"/>
        <v>295.41809603159192</v>
      </c>
      <c r="AN6" s="62">
        <f ca="1">AVERAGE(OFFSET($AM$3,0,0,'Données projet'!$E$10+1,1))-AVERAGE(OFFSET($H$3,0,0,'Données projet'!$E$10+1,1))</f>
        <v>473.90982075211258</v>
      </c>
      <c r="AO6" s="62">
        <f t="shared" si="36"/>
        <v>127.17661287657279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2">
        <f t="shared" si="32"/>
        <v>0.82162881665480925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70">
        <f t="shared" si="1"/>
        <v>298.11530352234041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8.526315789473685</v>
      </c>
      <c r="N7" s="14">
        <f>IF('Données projet'!$A$36&gt;35,N6+M7-V6,IF(A7&lt;'Données projet'!$A$36,$K$205^A7,IF(A7='Données projet'!$A$36,'Données projet'!$B$36,N6+M7-V6)))</f>
        <v>2.9185091262186176</v>
      </c>
      <c r="O7" s="14">
        <f>N7*VLOOKUP('Données projet'!$B$9,Paramètres!$A$1:$I$89,3,0)*VLOOKUP('Données projet'!$B$9,Paramètres!$A$1:$I$89,5,0)</f>
        <v>1.6314466015562072</v>
      </c>
      <c r="P7" s="14">
        <f t="shared" si="33"/>
        <v>0.71020127416305878</v>
      </c>
      <c r="Q7" s="22">
        <f t="shared" si="2"/>
        <v>4.0783700502110554</v>
      </c>
      <c r="R7" s="62">
        <f t="shared" si="0"/>
        <v>297.41170338354436</v>
      </c>
      <c r="S7" s="62">
        <f ca="1">AVERAGE(OFFSET($R$3,0,0,'Données projet'!$E$9+1,1))-AVERAGE(OFFSET($H$3,0,0,'Données projet'!$E$9+1,1))</f>
        <v>382.94446752777549</v>
      </c>
      <c r="T7" s="62">
        <f t="shared" si="34"/>
        <v>476.29465646955543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4.8666666666666663</v>
      </c>
      <c r="AI7" s="14">
        <f>IF('Données projet'!$A$62&gt;35,AI6+AH7-AQ6,IF(A7&lt;'Données projet'!$A$62,$AF$205^A7,IF(A7='Données projet'!$A$62,'Données projet'!$B$62,AI6+AH7-AQ6)))</f>
        <v>1.9434813650034353</v>
      </c>
      <c r="AJ7" s="14">
        <f>AI7*VLOOKUP('Données projet'!$B$10,Paramètres!$A$1:$I$89,3,0)*VLOOKUP('Données projet'!$B$10,Paramètres!$A$1:$I$89,5,0)</f>
        <v>0.96007979431169699</v>
      </c>
      <c r="AK7" s="14">
        <f t="shared" si="35"/>
        <v>0.44454816446535378</v>
      </c>
      <c r="AL7" s="22">
        <f t="shared" si="4"/>
        <v>2.44639369487003</v>
      </c>
      <c r="AM7" s="62">
        <f t="shared" si="5"/>
        <v>295.77972702820335</v>
      </c>
      <c r="AN7" s="62">
        <f ca="1">AVERAGE(OFFSET($AM$3,0,0,'Données projet'!$E$10+1,1))-AVERAGE(OFFSET($H$3,0,0,'Données projet'!$E$10+1,1))</f>
        <v>473.90982075211258</v>
      </c>
      <c r="AO7" s="62">
        <f t="shared" si="36"/>
        <v>127.17661287657279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2">
        <f t="shared" si="32"/>
        <v>1.0007033420126812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70">
        <f t="shared" si="1"/>
        <v>299.26493332067207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8.526315789473685</v>
      </c>
      <c r="N8" s="14">
        <f>IF('Données projet'!$A$36&gt;35,N7+M8-V7,IF(A8&lt;'Données projet'!$A$36,$K$205^A8,IF(A8='Données projet'!$A$36,'Données projet'!$B$36,N7+M8-V7)))</f>
        <v>3.8146203352688688</v>
      </c>
      <c r="O8" s="14">
        <f>N8*VLOOKUP('Données projet'!$B$9,Paramètres!$A$1:$I$89,3,0)*VLOOKUP('Données projet'!$B$9,Paramètres!$A$1:$I$89,5,0)</f>
        <v>2.1323727674152977</v>
      </c>
      <c r="P8" s="14">
        <f t="shared" si="33"/>
        <v>0.89977831922200224</v>
      </c>
      <c r="Q8" s="22">
        <f t="shared" si="2"/>
        <v>5.2809964758932972</v>
      </c>
      <c r="R8" s="62">
        <f t="shared" si="0"/>
        <v>298.6143298092266</v>
      </c>
      <c r="S8" s="62">
        <f ca="1">AVERAGE(OFFSET($R$3,0,0,'Données projet'!$E$9+1,1))-AVERAGE(OFFSET($H$3,0,0,'Données projet'!$E$9+1,1))</f>
        <v>382.94446752777549</v>
      </c>
      <c r="T8" s="62">
        <f t="shared" si="34"/>
        <v>476.29465646955543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4.8666666666666663</v>
      </c>
      <c r="AI8" s="14">
        <f>IF('Données projet'!$A$62&gt;35,AI7+AH8-AQ7,IF(A8&lt;'Données projet'!$A$62,$AF$205^A8,IF(A8='Données projet'!$A$62,'Données projet'!$B$62,AI7+AH8-AQ7)))</f>
        <v>2.2946976768566789</v>
      </c>
      <c r="AJ8" s="14">
        <f>AI8*VLOOKUP('Données projet'!$B$10,Paramètres!$A$1:$I$89,3,0)*VLOOKUP('Données projet'!$B$10,Paramètres!$A$1:$I$89,5,0)</f>
        <v>1.1335806523671994</v>
      </c>
      <c r="AK8" s="14">
        <f t="shared" si="35"/>
        <v>0.51483282309625078</v>
      </c>
      <c r="AL8" s="22">
        <f t="shared" si="4"/>
        <v>2.8709868030988424</v>
      </c>
      <c r="AM8" s="62">
        <f t="shared" si="5"/>
        <v>296.20432013643216</v>
      </c>
      <c r="AN8" s="62">
        <f ca="1">AVERAGE(OFFSET($AM$3,0,0,'Données projet'!$E$10+1,1))-AVERAGE(OFFSET($H$3,0,0,'Données projet'!$E$10+1,1))</f>
        <v>473.90982075211258</v>
      </c>
      <c r="AO8" s="62">
        <f t="shared" si="36"/>
        <v>127.17661287657279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2">
        <f t="shared" si="32"/>
        <v>1.1756279405869494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70">
        <f t="shared" si="1"/>
        <v>300.40733532985558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8.526315789473685</v>
      </c>
      <c r="N9" s="14">
        <f>IF('Données projet'!$A$36&gt;35,N8+M9-V8,IF(A9&lt;'Données projet'!$A$36,$K$205^A9,IF(A9='Données projet'!$A$36,'Données projet'!$B$36,N8+M9-V8)))</f>
        <v>4.9858772657326877</v>
      </c>
      <c r="O9" s="14">
        <f>N9*VLOOKUP('Données projet'!$B$9,Paramètres!$A$1:$I$89,3,0)*VLOOKUP('Données projet'!$B$9,Paramètres!$A$1:$I$89,5,0)</f>
        <v>2.7871053915445723</v>
      </c>
      <c r="P9" s="14">
        <f t="shared" si="33"/>
        <v>1.1399599707787778</v>
      </c>
      <c r="Q9" s="22">
        <f t="shared" si="2"/>
        <v>6.839638839379834</v>
      </c>
      <c r="R9" s="62">
        <f t="shared" si="0"/>
        <v>300.17297217271317</v>
      </c>
      <c r="S9" s="62">
        <f ca="1">AVERAGE(OFFSET($R$3,0,0,'Données projet'!$E$9+1,1))-AVERAGE(OFFSET($H$3,0,0,'Données projet'!$E$9+1,1))</f>
        <v>382.94446752777549</v>
      </c>
      <c r="T9" s="62">
        <f t="shared" si="34"/>
        <v>476.29465646955543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4.8666666666666663</v>
      </c>
      <c r="AI9" s="14">
        <f>IF('Données projet'!$A$62&gt;35,AI8+AH9-AQ8,IF(A9&lt;'Données projet'!$A$62,$AF$205^A9,IF(A9='Données projet'!$A$62,'Données projet'!$B$62,AI8+AH9-AQ8)))</f>
        <v>2.709384058417319</v>
      </c>
      <c r="AJ9" s="14">
        <f>AI9*VLOOKUP('Données projet'!$B$10,Paramètres!$A$1:$I$89,3,0)*VLOOKUP('Données projet'!$B$10,Paramètres!$A$1:$I$89,5,0)</f>
        <v>1.3384357248581555</v>
      </c>
      <c r="AK9" s="14">
        <f t="shared" si="35"/>
        <v>0.59622973824675984</v>
      </c>
      <c r="AL9" s="22">
        <f t="shared" si="4"/>
        <v>3.3695423482410605</v>
      </c>
      <c r="AM9" s="62">
        <f t="shared" si="5"/>
        <v>296.70287568157437</v>
      </c>
      <c r="AN9" s="62">
        <f ca="1">AVERAGE(OFFSET($AM$3,0,0,'Données projet'!$E$10+1,1))-AVERAGE(OFFSET($H$3,0,0,'Données projet'!$E$10+1,1))</f>
        <v>473.90982075211258</v>
      </c>
      <c r="AO9" s="62">
        <f t="shared" si="36"/>
        <v>127.17661287657279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2">
        <f t="shared" si="32"/>
        <v>1.3471752098029792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70">
        <f t="shared" si="1"/>
        <v>301.54385515707349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8.526315789473685</v>
      </c>
      <c r="N10" s="14">
        <f>IF('Données projet'!$A$36&gt;35,N9+M10-V9,IF(A10&lt;'Données projet'!$A$36,$K$205^A10,IF(A10='Données projet'!$A$36,'Données projet'!$B$36,N9+M10-V9)))</f>
        <v>6.5167618069644444</v>
      </c>
      <c r="O10" s="14">
        <f>N10*VLOOKUP('Données projet'!$B$9,Paramètres!$A$1:$I$89,3,0)*VLOOKUP('Données projet'!$B$9,Paramètres!$A$1:$I$89,5,0)</f>
        <v>3.6428698500931249</v>
      </c>
      <c r="P10" s="14">
        <f t="shared" si="33"/>
        <v>1.4442543315575544</v>
      </c>
      <c r="Q10" s="22">
        <f t="shared" si="2"/>
        <v>8.8600746163749324</v>
      </c>
      <c r="R10" s="62">
        <f t="shared" si="0"/>
        <v>302.19340794970827</v>
      </c>
      <c r="S10" s="62">
        <f ca="1">AVERAGE(OFFSET($R$3,0,0,'Données projet'!$E$9+1,1))-AVERAGE(OFFSET($H$3,0,0,'Données projet'!$E$9+1,1))</f>
        <v>382.94446752777549</v>
      </c>
      <c r="T10" s="62">
        <f t="shared" si="34"/>
        <v>476.29465646955543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4.8666666666666663</v>
      </c>
      <c r="AI10" s="14">
        <f>IF('Données projet'!$A$62&gt;35,AI9+AH10-AQ9,IF(A10&lt;'Données projet'!$A$62,$AF$205^A10,IF(A10='Données projet'!$A$62,'Données projet'!$B$62,AI9+AH10-AQ9)))</f>
        <v>3.199010505846426</v>
      </c>
      <c r="AJ10" s="14">
        <f>AI10*VLOOKUP('Données projet'!$B$10,Paramètres!$A$1:$I$89,3,0)*VLOOKUP('Données projet'!$B$10,Paramètres!$A$1:$I$89,5,0)</f>
        <v>1.5803111898881346</v>
      </c>
      <c r="AK10" s="14">
        <f t="shared" si="35"/>
        <v>0.69049579751316492</v>
      </c>
      <c r="AL10" s="22">
        <f t="shared" si="4"/>
        <v>3.9549888363905965</v>
      </c>
      <c r="AM10" s="62">
        <f t="shared" si="5"/>
        <v>297.28832216972393</v>
      </c>
      <c r="AN10" s="62">
        <f ca="1">AVERAGE(OFFSET($AM$3,0,0,'Données projet'!$E$10+1,1))-AVERAGE(OFFSET($H$3,0,0,'Données projet'!$E$10+1,1))</f>
        <v>473.90982075211258</v>
      </c>
      <c r="AO10" s="62">
        <f t="shared" si="36"/>
        <v>127.17661287657279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2">
        <f t="shared" si="32"/>
        <v>1.5158832942696652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70">
        <f t="shared" si="1"/>
        <v>302.675430070853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8.526315789473685</v>
      </c>
      <c r="N11" s="14">
        <f>IF('Données projet'!$A$36&gt;35,N10+M11-V10,IF(A11&lt;'Données projet'!$A$36,$K$205^A11,IF(A11='Données projet'!$A$36,'Données projet'!$B$36,N10+M11-V10)))</f>
        <v>8.5176955198213591</v>
      </c>
      <c r="O11" s="14">
        <f>N11*VLOOKUP('Données projet'!$B$9,Paramètres!$A$1:$I$89,3,0)*VLOOKUP('Données projet'!$B$9,Paramètres!$A$1:$I$89,5,0)</f>
        <v>4.7613917955801393</v>
      </c>
      <c r="P11" s="14">
        <f t="shared" si="33"/>
        <v>1.8297752795633417</v>
      </c>
      <c r="Q11" s="22">
        <f t="shared" si="2"/>
        <v>11.479615989208229</v>
      </c>
      <c r="R11" s="62">
        <f t="shared" si="0"/>
        <v>304.81294932254156</v>
      </c>
      <c r="S11" s="62">
        <f ca="1">AVERAGE(OFFSET($R$3,0,0,'Données projet'!$E$9+1,1))-AVERAGE(OFFSET($H$3,0,0,'Données projet'!$E$9+1,1))</f>
        <v>382.94446752777549</v>
      </c>
      <c r="T11" s="62">
        <f t="shared" si="34"/>
        <v>476.29465646955543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4.8666666666666663</v>
      </c>
      <c r="AI11" s="14">
        <f>IF('Données projet'!$A$62&gt;35,AI10+AH11-AQ10,IF(A11&lt;'Données projet'!$A$62,$AF$205^A11,IF(A11='Données projet'!$A$62,'Données projet'!$B$62,AI10+AH11-AQ10)))</f>
        <v>3.7771198161156159</v>
      </c>
      <c r="AJ11" s="14">
        <f>AI11*VLOOKUP('Données projet'!$B$10,Paramètres!$A$1:$I$89,3,0)*VLOOKUP('Données projet'!$B$10,Paramètres!$A$1:$I$89,5,0)</f>
        <v>1.8658971891611145</v>
      </c>
      <c r="AK11" s="14">
        <f t="shared" si="35"/>
        <v>0.79966565871965312</v>
      </c>
      <c r="AL11" s="22">
        <f t="shared" si="4"/>
        <v>4.6425219600590033</v>
      </c>
      <c r="AM11" s="62">
        <f t="shared" si="5"/>
        <v>297.97585529339233</v>
      </c>
      <c r="AN11" s="62">
        <f ca="1">AVERAGE(OFFSET($AM$3,0,0,'Données projet'!$E$10+1,1))-AVERAGE(OFFSET($H$3,0,0,'Données projet'!$E$10+1,1))</f>
        <v>473.90982075211258</v>
      </c>
      <c r="AO11" s="62">
        <f t="shared" si="36"/>
        <v>127.17661287657279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2">
        <f t="shared" si="32"/>
        <v>1.6821477371202938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70">
        <f t="shared" si="1"/>
        <v>303.80274897548452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8.526315789473685</v>
      </c>
      <c r="N12" s="14">
        <f>IF('Données projet'!$A$36&gt;35,N11+M12-V11,IF(A12&lt;'Données projet'!$A$36,$K$205^A12,IF(A12='Données projet'!$A$36,'Données projet'!$B$36,N11+M12-V11)))</f>
        <v>11.133004261541316</v>
      </c>
      <c r="O12" s="14">
        <f>N12*VLOOKUP('Données projet'!$B$9,Paramètres!$A$1:$I$89,3,0)*VLOOKUP('Données projet'!$B$9,Paramètres!$A$1:$I$89,5,0)</f>
        <v>6.2233493822015964</v>
      </c>
      <c r="P12" s="14">
        <f t="shared" si="33"/>
        <v>2.3182049730052579</v>
      </c>
      <c r="Q12" s="22">
        <f t="shared" si="2"/>
        <v>14.87654050198527</v>
      </c>
      <c r="R12" s="62">
        <f t="shared" si="0"/>
        <v>308.2098738353186</v>
      </c>
      <c r="S12" s="62">
        <f ca="1">AVERAGE(OFFSET($R$3,0,0,'Données projet'!$E$9+1,1))-AVERAGE(OFFSET($H$3,0,0,'Données projet'!$E$9+1,1))</f>
        <v>382.94446752777549</v>
      </c>
      <c r="T12" s="62">
        <f t="shared" si="34"/>
        <v>476.29465646955543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4.8666666666666663</v>
      </c>
      <c r="AI12" s="14">
        <f>IF('Données projet'!$A$62&gt;35,AI11+AH12-AQ11,IF(A12&lt;'Données projet'!$A$62,$AF$205^A12,IF(A12='Données projet'!$A$62,'Données projet'!$B$62,AI11+AH12-AQ11)))</f>
        <v>4.4597021732876296</v>
      </c>
      <c r="AJ12" s="14">
        <f>AI12*VLOOKUP('Données projet'!$B$10,Paramètres!$A$1:$I$89,3,0)*VLOOKUP('Données projet'!$B$10,Paramètres!$A$1:$I$89,5,0)</f>
        <v>2.2030928736040893</v>
      </c>
      <c r="AK12" s="14">
        <f t="shared" si="35"/>
        <v>0.92609566638723062</v>
      </c>
      <c r="AL12" s="22">
        <f t="shared" si="4"/>
        <v>5.4500033738182152</v>
      </c>
      <c r="AM12" s="62">
        <f t="shared" si="5"/>
        <v>298.78333670715153</v>
      </c>
      <c r="AN12" s="62">
        <f ca="1">AVERAGE(OFFSET($AM$3,0,0,'Données projet'!$E$10+1,1))-AVERAGE(OFFSET($H$3,0,0,'Données projet'!$E$10+1,1))</f>
        <v>473.90982075211258</v>
      </c>
      <c r="AO12" s="62">
        <f t="shared" si="36"/>
        <v>127.17661287657279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2">
        <f t="shared" si="32"/>
        <v>1.8462710264386484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70">
        <f t="shared" si="1"/>
        <v>304.92633870438061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8.526315789473685</v>
      </c>
      <c r="N13" s="14">
        <f>IF('Données projet'!$A$36&gt;35,N12+M13-V12,IF(A13&lt;'Données projet'!$A$36,$K$205^A13,IF(A13='Données projet'!$A$36,'Données projet'!$B$36,N12+M13-V12)))</f>
        <v>14.551328302246779</v>
      </c>
      <c r="O13" s="14">
        <f>N13*VLOOKUP('Données projet'!$B$9,Paramètres!$A$1:$I$89,3,0)*VLOOKUP('Données projet'!$B$9,Paramètres!$A$1:$I$89,5,0)</f>
        <v>8.1341925209559491</v>
      </c>
      <c r="P13" s="14">
        <f t="shared" si="33"/>
        <v>2.9370132807503975</v>
      </c>
      <c r="Q13" s="22">
        <f t="shared" si="2"/>
        <v>19.282350104638549</v>
      </c>
      <c r="R13" s="62">
        <f t="shared" si="0"/>
        <v>312.61568343797188</v>
      </c>
      <c r="S13" s="62">
        <f ca="1">AVERAGE(OFFSET($R$3,0,0,'Données projet'!$E$9+1,1))-AVERAGE(OFFSET($H$3,0,0,'Données projet'!$E$9+1,1))</f>
        <v>382.94446752777549</v>
      </c>
      <c r="T13" s="62">
        <f t="shared" si="34"/>
        <v>476.29465646955543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4.8666666666666663</v>
      </c>
      <c r="AI13" s="14">
        <f>IF('Données projet'!$A$62&gt;35,AI12+AH13-AQ12,IF(A13&lt;'Données projet'!$A$62,$AF$205^A13,IF(A13='Données projet'!$A$62,'Données projet'!$B$62,AI12+AH13-AQ12)))</f>
        <v>5.2656374281714378</v>
      </c>
      <c r="AJ13" s="14">
        <f>AI13*VLOOKUP('Données projet'!$B$10,Paramètres!$A$1:$I$89,3,0)*VLOOKUP('Données projet'!$B$10,Paramètres!$A$1:$I$89,5,0)</f>
        <v>2.6012248895166907</v>
      </c>
      <c r="AK13" s="14">
        <f t="shared" si="35"/>
        <v>1.0725147115538256</v>
      </c>
      <c r="AL13" s="22">
        <f t="shared" si="4"/>
        <v>6.3984298051978152</v>
      </c>
      <c r="AM13" s="62">
        <f t="shared" si="5"/>
        <v>299.73176313853111</v>
      </c>
      <c r="AN13" s="62">
        <f ca="1">AVERAGE(OFFSET($AM$3,0,0,'Données projet'!$E$10+1,1))-AVERAGE(OFFSET($H$3,0,0,'Données projet'!$E$10+1,1))</f>
        <v>473.90982075211258</v>
      </c>
      <c r="AO13" s="62">
        <f t="shared" si="36"/>
        <v>127.17661287657279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2">
        <f t="shared" si="32"/>
        <v>2.0084916518563651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70">
        <f t="shared" si="1"/>
        <v>306.04661462698317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8.526315789473685</v>
      </c>
      <c r="N14" s="14">
        <f>IF('Données projet'!$A$36&gt;35,N13+M14-V13,IF(A14&lt;'Données projet'!$A$36,$K$205^A14,IF(A14='Données projet'!$A$36,'Données projet'!$B$36,N13+M14-V13)))</f>
        <v>19.01922880701866</v>
      </c>
      <c r="O14" s="14">
        <f>N14*VLOOKUP('Données projet'!$B$9,Paramètres!$A$1:$I$89,3,0)*VLOOKUP('Données projet'!$B$9,Paramètres!$A$1:$I$89,5,0)</f>
        <v>10.631748903123432</v>
      </c>
      <c r="P14" s="14">
        <f t="shared" si="33"/>
        <v>3.7210027205323613</v>
      </c>
      <c r="Q14" s="22">
        <f t="shared" si="2"/>
        <v>24.997709077867171</v>
      </c>
      <c r="R14" s="62">
        <f t="shared" si="0"/>
        <v>318.33104241120049</v>
      </c>
      <c r="S14" s="62">
        <f ca="1">AVERAGE(OFFSET($R$3,0,0,'Données projet'!$E$9+1,1))-AVERAGE(OFFSET($H$3,0,0,'Données projet'!$E$9+1,1))</f>
        <v>382.94446752777549</v>
      </c>
      <c r="T14" s="62">
        <f t="shared" si="34"/>
        <v>476.29465646955543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4.8666666666666663</v>
      </c>
      <c r="AI14" s="14">
        <f>IF('Données projet'!$A$62&gt;35,AI13+AH14-AQ13,IF(A14&lt;'Données projet'!$A$62,$AF$205^A14,IF(A14='Données projet'!$A$62,'Données projet'!$B$62,AI13+AH14-AQ13)))</f>
        <v>6.2172173045627419</v>
      </c>
      <c r="AJ14" s="14">
        <f>AI14*VLOOKUP('Données projet'!$B$10,Paramètres!$A$1:$I$89,3,0)*VLOOKUP('Données projet'!$B$10,Paramètres!$A$1:$I$89,5,0)</f>
        <v>3.0713053484539947</v>
      </c>
      <c r="AK14" s="14">
        <f t="shared" si="35"/>
        <v>1.2420831327142972</v>
      </c>
      <c r="AL14" s="22">
        <f t="shared" si="4"/>
        <v>7.512484938034774</v>
      </c>
      <c r="AM14" s="62">
        <f t="shared" si="5"/>
        <v>300.8458182713681</v>
      </c>
      <c r="AN14" s="62">
        <f ca="1">AVERAGE(OFFSET($AM$3,0,0,'Données projet'!$E$10+1,1))-AVERAGE(OFFSET($H$3,0,0,'Données projet'!$E$10+1,1))</f>
        <v>473.90982075211258</v>
      </c>
      <c r="AO14" s="62">
        <f t="shared" si="36"/>
        <v>127.17661287657279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2">
        <f t="shared" si="32"/>
        <v>2.1690022541664664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70">
        <f t="shared" si="1"/>
        <v>307.1639122593399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8.526315789473685</v>
      </c>
      <c r="N15" s="14">
        <f>IF('Données projet'!$A$36&gt;35,N14+M15-V14,IF(A15&lt;'Données projet'!$A$36,$K$205^A15,IF(A15='Données projet'!$A$36,'Données projet'!$B$36,N14+M15-V14)))</f>
        <v>24.85897210895007</v>
      </c>
      <c r="O15" s="14">
        <f>N15*VLOOKUP('Données projet'!$B$9,Paramètres!$A$1:$I$89,3,0)*VLOOKUP('Données projet'!$B$9,Paramètres!$A$1:$I$89,5,0)</f>
        <v>13.896165408903089</v>
      </c>
      <c r="P15" s="14">
        <f t="shared" si="33"/>
        <v>4.7142657940830492</v>
      </c>
      <c r="Q15" s="22">
        <f t="shared" si="2"/>
        <v>32.413167678534187</v>
      </c>
      <c r="R15" s="62">
        <f t="shared" si="0"/>
        <v>325.74650101186751</v>
      </c>
      <c r="S15" s="62">
        <f ca="1">AVERAGE(OFFSET($R$3,0,0,'Données projet'!$E$9+1,1))-AVERAGE(OFFSET($H$3,0,0,'Données projet'!$E$9+1,1))</f>
        <v>382.94446752777549</v>
      </c>
      <c r="T15" s="62">
        <f t="shared" si="34"/>
        <v>476.29465646955543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4.8666666666666663</v>
      </c>
      <c r="AI15" s="14">
        <f>IF('Données projet'!$A$62&gt;35,AI14+AH15-AQ14,IF(A15&lt;'Données projet'!$A$62,$AF$205^A15,IF(A15='Données projet'!$A$62,'Données projet'!$B$62,AI14+AH15-AQ14)))</f>
        <v>7.3407619760059015</v>
      </c>
      <c r="AJ15" s="14">
        <f>AI15*VLOOKUP('Données projet'!$B$10,Paramètres!$A$1:$I$89,3,0)*VLOOKUP('Données projet'!$B$10,Paramètres!$A$1:$I$89,5,0)</f>
        <v>3.6263364161469154</v>
      </c>
      <c r="AK15" s="14">
        <f t="shared" si="35"/>
        <v>1.4384609292102335</v>
      </c>
      <c r="AL15" s="22">
        <f t="shared" si="4"/>
        <v>8.8211887098303681</v>
      </c>
      <c r="AM15" s="62">
        <f t="shared" si="5"/>
        <v>302.15452204316369</v>
      </c>
      <c r="AN15" s="62">
        <f ca="1">AVERAGE(OFFSET($AM$3,0,0,'Données projet'!$E$10+1,1))-AVERAGE(OFFSET($H$3,0,0,'Données projet'!$E$10+1,1))</f>
        <v>473.90982075211258</v>
      </c>
      <c r="AO15" s="62">
        <f t="shared" si="36"/>
        <v>127.17661287657279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2">
        <f t="shared" si="32"/>
        <v>2.3279615364980017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70">
        <f t="shared" si="1"/>
        <v>308.27850800940064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8.526315789473685</v>
      </c>
      <c r="N16" s="14">
        <f>IF('Données projet'!$A$36&gt;35,N15+M16-V15,IF(A16&lt;'Données projet'!$A$36,$K$205^A16,IF(A16='Données projet'!$A$36,'Données projet'!$B$36,N15+M16-V15)))</f>
        <v>32.491774539539094</v>
      </c>
      <c r="O16" s="14">
        <f>N16*VLOOKUP('Données projet'!$B$9,Paramètres!$A$1:$I$89,3,0)*VLOOKUP('Données projet'!$B$9,Paramètres!$A$1:$I$89,5,0)</f>
        <v>18.162901967602355</v>
      </c>
      <c r="P16" s="14">
        <f t="shared" si="33"/>
        <v>5.9726648020514927</v>
      </c>
      <c r="Q16" s="22">
        <f t="shared" si="2"/>
        <v>42.036112123813787</v>
      </c>
      <c r="R16" s="62">
        <f t="shared" si="0"/>
        <v>335.36944545714709</v>
      </c>
      <c r="S16" s="62">
        <f ca="1">AVERAGE(OFFSET($R$3,0,0,'Données projet'!$E$9+1,1))-AVERAGE(OFFSET($H$3,0,0,'Données projet'!$E$9+1,1))</f>
        <v>382.94446752777549</v>
      </c>
      <c r="T16" s="62">
        <f t="shared" si="34"/>
        <v>476.29465646955543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4.8666666666666663</v>
      </c>
      <c r="AI16" s="14">
        <f>IF('Données projet'!$A$62&gt;35,AI15+AH16-AQ15,IF(A16&lt;'Données projet'!$A$62,$AF$205^A16,IF(A16='Données projet'!$A$62,'Données projet'!$B$62,AI15+AH16-AQ15)))</f>
        <v>8.6673480672498293</v>
      </c>
      <c r="AJ16" s="14">
        <f>AI16*VLOOKUP('Données projet'!$B$10,Paramètres!$A$1:$I$89,3,0)*VLOOKUP('Données projet'!$B$10,Paramètres!$A$1:$I$89,5,0)</f>
        <v>4.2816699452214158</v>
      </c>
      <c r="AK16" s="14">
        <f t="shared" si="35"/>
        <v>1.665886759401247</v>
      </c>
      <c r="AL16" s="22">
        <f t="shared" si="4"/>
        <v>10.358661260551138</v>
      </c>
      <c r="AM16" s="62">
        <f t="shared" si="5"/>
        <v>303.69199459388443</v>
      </c>
      <c r="AN16" s="62">
        <f ca="1">AVERAGE(OFFSET($AM$3,0,0,'Données projet'!$E$10+1,1))-AVERAGE(OFFSET($H$3,0,0,'Données projet'!$E$10+1,1))</f>
        <v>473.90982075211258</v>
      </c>
      <c r="AO16" s="62">
        <f t="shared" si="36"/>
        <v>127.17661287657279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2">
        <f t="shared" si="32"/>
        <v>2.4855023991357164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70">
        <f t="shared" si="1"/>
        <v>309.39063334516135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8.526315789473685</v>
      </c>
      <c r="N17" s="14">
        <f>IF('Données projet'!$A$36&gt;35,N16+M17-V16,IF(A17&lt;'Données projet'!$A$36,$K$205^A17,IF(A17='Données projet'!$A$36,'Données projet'!$B$36,N16+M17-V16)))</f>
        <v>42.468184448710481</v>
      </c>
      <c r="O17" s="14">
        <f>N17*VLOOKUP('Données projet'!$B$9,Paramètres!$A$1:$I$89,3,0)*VLOOKUP('Données projet'!$B$9,Paramètres!$A$1:$I$89,5,0)</f>
        <v>23.739715106829159</v>
      </c>
      <c r="P17" s="14">
        <f t="shared" si="33"/>
        <v>7.5669736064602473</v>
      </c>
      <c r="Q17" s="22">
        <f t="shared" si="2"/>
        <v>54.525816175645708</v>
      </c>
      <c r="R17" s="62">
        <f t="shared" si="0"/>
        <v>347.85914950897904</v>
      </c>
      <c r="S17" s="62">
        <f ca="1">AVERAGE(OFFSET($R$3,0,0,'Données projet'!$E$9+1,1))-AVERAGE(OFFSET($H$3,0,0,'Données projet'!$E$9+1,1))</f>
        <v>382.94446752777549</v>
      </c>
      <c r="T17" s="62">
        <f t="shared" si="34"/>
        <v>476.29465646955543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4.8666666666666663</v>
      </c>
      <c r="AI17" s="14">
        <f>IF('Données projet'!$A$62&gt;35,AI16+AH17-AQ16,IF(A17&lt;'Données projet'!$A$62,$AF$205^A17,IF(A17='Données projet'!$A$62,'Données projet'!$B$62,AI16+AH17-AQ16)))</f>
        <v>10.233668216515804</v>
      </c>
      <c r="AJ17" s="14">
        <f>AI17*VLOOKUP('Données projet'!$B$10,Paramètres!$A$1:$I$89,3,0)*VLOOKUP('Données projet'!$B$10,Paramètres!$A$1:$I$89,5,0)</f>
        <v>5.0554320989588071</v>
      </c>
      <c r="AK17" s="14">
        <f t="shared" si="35"/>
        <v>1.929269428730372</v>
      </c>
      <c r="AL17" s="22">
        <f t="shared" si="4"/>
        <v>12.165021827391987</v>
      </c>
      <c r="AM17" s="62">
        <f t="shared" si="5"/>
        <v>305.49835516072528</v>
      </c>
      <c r="AN17" s="62">
        <f ca="1">AVERAGE(OFFSET($AM$3,0,0,'Données projet'!$E$10+1,1))-AVERAGE(OFFSET($H$3,0,0,'Données projet'!$E$10+1,1))</f>
        <v>473.90982075211258</v>
      </c>
      <c r="AO17" s="62">
        <f t="shared" si="36"/>
        <v>127.17661287657279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2">
        <f t="shared" si="32"/>
        <v>2.6417376807869739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70">
        <f t="shared" si="1"/>
        <v>310.50048479403728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8.526315789473685</v>
      </c>
      <c r="N18" s="14">
        <f>IF('Données projet'!$A$36&gt;35,N17+M18-V17,IF(A18&lt;'Données projet'!$A$36,$K$205^A18,IF(A18='Données projet'!$A$36,'Données projet'!$B$36,N17+M18-V17)))</f>
        <v>55.507792846923991</v>
      </c>
      <c r="O18" s="14">
        <f>N18*VLOOKUP('Données projet'!$B$9,Paramètres!$A$1:$I$89,3,0)*VLOOKUP('Données projet'!$B$9,Paramètres!$A$1:$I$89,5,0)</f>
        <v>31.028856201430514</v>
      </c>
      <c r="P18" s="14">
        <f t="shared" si="33"/>
        <v>9.5868580371693835</v>
      </c>
      <c r="Q18" s="22">
        <f t="shared" si="2"/>
        <v>70.739035632228152</v>
      </c>
      <c r="R18" s="62">
        <f t="shared" si="0"/>
        <v>364.07236896556145</v>
      </c>
      <c r="S18" s="62">
        <f ca="1">AVERAGE(OFFSET($R$3,0,0,'Données projet'!$E$9+1,1))-AVERAGE(OFFSET($H$3,0,0,'Données projet'!$E$9+1,1))</f>
        <v>382.94446752777549</v>
      </c>
      <c r="T18" s="62">
        <f t="shared" si="34"/>
        <v>476.29465646955543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4.8666666666666663</v>
      </c>
      <c r="AI18" s="14">
        <f>IF('Données projet'!$A$62&gt;35,AI17+AH18-AQ17,IF(A18&lt;'Données projet'!$A$62,$AF$205^A18,IF(A18='Données projet'!$A$62,'Données projet'!$B$62,AI17+AH18-AQ17)))</f>
        <v>12.083045973594576</v>
      </c>
      <c r="AJ18" s="14">
        <f>AI18*VLOOKUP('Données projet'!$B$10,Paramètres!$A$1:$I$89,3,0)*VLOOKUP('Données projet'!$B$10,Paramètres!$A$1:$I$89,5,0)</f>
        <v>5.9690247109557211</v>
      </c>
      <c r="AK18" s="14">
        <f t="shared" si="35"/>
        <v>2.2342938423806236</v>
      </c>
      <c r="AL18" s="22">
        <f t="shared" si="4"/>
        <v>14.287446480394133</v>
      </c>
      <c r="AM18" s="62">
        <f t="shared" si="5"/>
        <v>307.62077981372744</v>
      </c>
      <c r="AN18" s="62">
        <f ca="1">AVERAGE(OFFSET($AM$3,0,0,'Données projet'!$E$10+1,1))-AVERAGE(OFFSET($H$3,0,0,'Données projet'!$E$10+1,1))</f>
        <v>473.90982075211258</v>
      </c>
      <c r="AO18" s="62">
        <f t="shared" si="36"/>
        <v>127.17661287657279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2">
        <f t="shared" si="32"/>
        <v>2.7967643238239419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70">
        <f t="shared" si="1"/>
        <v>311.60823119732669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8.526315789473685</v>
      </c>
      <c r="N19" s="14">
        <f>IF('Données projet'!$A$36&gt;35,N18+M19-V18,IF(A19&lt;'Données projet'!$A$36,$K$205^A19,IF(A19='Données projet'!$A$36,'Données projet'!$B$36,N18+M19-V18)))</f>
        <v>72.551136968384853</v>
      </c>
      <c r="O19" s="14">
        <f>N19*VLOOKUP('Données projet'!$B$9,Paramètres!$A$1:$I$89,3,0)*VLOOKUP('Données projet'!$B$9,Paramètres!$A$1:$I$89,5,0)</f>
        <v>40.55608556532713</v>
      </c>
      <c r="P19" s="14">
        <f t="shared" si="33"/>
        <v>12.145918805157919</v>
      </c>
      <c r="Q19" s="22">
        <f t="shared" si="2"/>
        <v>91.78932427859479</v>
      </c>
      <c r="R19" s="62">
        <f t="shared" si="0"/>
        <v>385.1226576119281</v>
      </c>
      <c r="S19" s="62">
        <f ca="1">AVERAGE(OFFSET($R$3,0,0,'Données projet'!$E$9+1,1))-AVERAGE(OFFSET($H$3,0,0,'Données projet'!$E$9+1,1))</f>
        <v>382.94446752777549</v>
      </c>
      <c r="T19" s="62">
        <f t="shared" si="34"/>
        <v>476.29465646955543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4.8666666666666663</v>
      </c>
      <c r="AI19" s="14">
        <f>IF('Données projet'!$A$62&gt;35,AI18+AH19-AQ18,IF(A19&lt;'Données projet'!$A$62,$AF$205^A19,IF(A19='Données projet'!$A$62,'Données projet'!$B$62,AI18+AH19-AQ18)))</f>
        <v>14.266634105293264</v>
      </c>
      <c r="AJ19" s="14">
        <f>AI19*VLOOKUP('Données projet'!$B$10,Paramètres!$A$1:$I$89,3,0)*VLOOKUP('Données projet'!$B$10,Paramètres!$A$1:$I$89,5,0)</f>
        <v>7.0477172480148731</v>
      </c>
      <c r="AK19" s="14">
        <f t="shared" si="35"/>
        <v>2.5875437094264155</v>
      </c>
      <c r="AL19" s="22">
        <f t="shared" si="4"/>
        <v>16.781412834210247</v>
      </c>
      <c r="AM19" s="62">
        <f t="shared" si="5"/>
        <v>310.11474616754356</v>
      </c>
      <c r="AN19" s="62">
        <f ca="1">AVERAGE(OFFSET($AM$3,0,0,'Données projet'!$E$10+1,1))-AVERAGE(OFFSET($H$3,0,0,'Données projet'!$E$10+1,1))</f>
        <v>473.90982075211258</v>
      </c>
      <c r="AO19" s="62">
        <f t="shared" si="36"/>
        <v>127.17661287657279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2">
        <f t="shared" si="32"/>
        <v>2.9506664679221988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70">
        <f t="shared" si="1"/>
        <v>312.7140190982978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8.526315789473685</v>
      </c>
      <c r="N20" s="14">
        <f>IF('Données projet'!$A$36&gt;35,N19+M20-V19,IF(A20&lt;'Données projet'!$A$36,$K$205^A20,IF(A20='Données projet'!$A$36,'Données projet'!$B$36,N19+M20-V19)))</f>
        <v>94.827540520682575</v>
      </c>
      <c r="O20" s="14">
        <f>N20*VLOOKUP('Données projet'!$B$9,Paramètres!$A$1:$I$89,3,0)*VLOOKUP('Données projet'!$B$9,Paramètres!$A$1:$I$89,5,0)</f>
        <v>53.008595151061563</v>
      </c>
      <c r="P20" s="14">
        <f t="shared" si="33"/>
        <v>15.388080542084102</v>
      </c>
      <c r="Q20" s="22">
        <f t="shared" si="2"/>
        <v>119.12421016556203</v>
      </c>
      <c r="R20" s="62">
        <f t="shared" si="0"/>
        <v>412.45754349889535</v>
      </c>
      <c r="S20" s="62">
        <f ca="1">AVERAGE(OFFSET($R$3,0,0,'Données projet'!$E$9+1,1))-AVERAGE(OFFSET($H$3,0,0,'Données projet'!$E$9+1,1))</f>
        <v>382.94446752777549</v>
      </c>
      <c r="T20" s="62">
        <f t="shared" si="34"/>
        <v>476.29465646955543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4.8666666666666663</v>
      </c>
      <c r="AI20" s="14">
        <f>IF('Données projet'!$A$62&gt;35,AI19+AH20-AQ19,IF(A20&lt;'Données projet'!$A$62,$AF$205^A20,IF(A20='Données projet'!$A$62,'Données projet'!$B$62,AI19+AH20-AQ19)))</f>
        <v>16.844829452698583</v>
      </c>
      <c r="AJ20" s="14">
        <f>AI20*VLOOKUP('Données projet'!$B$10,Paramètres!$A$1:$I$89,3,0)*VLOOKUP('Données projet'!$B$10,Paramètres!$A$1:$I$89,5,0)</f>
        <v>8.3213457496330996</v>
      </c>
      <c r="AK20" s="14">
        <f t="shared" si="35"/>
        <v>2.9966436469512598</v>
      </c>
      <c r="AL20" s="22">
        <f t="shared" si="4"/>
        <v>19.712164865717757</v>
      </c>
      <c r="AM20" s="62">
        <f t="shared" si="5"/>
        <v>313.04549819905105</v>
      </c>
      <c r="AN20" s="62">
        <f ca="1">AVERAGE(OFFSET($AM$3,0,0,'Données projet'!$E$10+1,1))-AVERAGE(OFFSET($H$3,0,0,'Données projet'!$E$10+1,1))</f>
        <v>473.90982075211258</v>
      </c>
      <c r="AO20" s="62">
        <f t="shared" si="36"/>
        <v>127.17661287657279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2">
        <f t="shared" si="32"/>
        <v>3.1035177947823605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70">
        <f t="shared" si="1"/>
        <v>313.81797682591258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8.526315789473685</v>
      </c>
      <c r="N21" s="14">
        <f>IF('Données projet'!$A$36&gt;35,N20+M21-V20,IF(A21&lt;'Données projet'!$A$36,$K$205^A21,IF(A21='Données projet'!$A$36,'Données projet'!$B$36,N20+M21-V20)))</f>
        <v>123.94378388749713</v>
      </c>
      <c r="O21" s="14">
        <f>N21*VLOOKUP('Données projet'!$B$9,Paramètres!$A$1:$I$89,3,0)*VLOOKUP('Données projet'!$B$9,Paramètres!$A$1:$I$89,5,0)</f>
        <v>69.284575193110896</v>
      </c>
      <c r="P21" s="14">
        <f t="shared" si="33"/>
        <v>19.495686293334202</v>
      </c>
      <c r="Q21" s="22">
        <f t="shared" si="2"/>
        <v>154.62562208889187</v>
      </c>
      <c r="R21" s="62">
        <f t="shared" si="0"/>
        <v>447.95895542222519</v>
      </c>
      <c r="S21" s="62">
        <f ca="1">AVERAGE(OFFSET($R$3,0,0,'Données projet'!$E$9+1,1))-AVERAGE(OFFSET($H$3,0,0,'Données projet'!$E$9+1,1))</f>
        <v>382.94446752777549</v>
      </c>
      <c r="T21" s="62">
        <f t="shared" si="34"/>
        <v>476.29465646955543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4.8666666666666663</v>
      </c>
      <c r="AI21" s="14">
        <f>IF('Données projet'!$A$62&gt;35,AI20+AH21-AQ20,IF(A21&lt;'Données projet'!$A$62,$AF$205^A21,IF(A21='Données projet'!$A$62,'Données projet'!$B$62,AI20+AH21-AQ20)))</f>
        <v>19.888943474426405</v>
      </c>
      <c r="AJ21" s="14">
        <f>AI21*VLOOKUP('Données projet'!$B$10,Paramètres!$A$1:$I$89,3,0)*VLOOKUP('Données projet'!$B$10,Paramètres!$A$1:$I$89,5,0)</f>
        <v>9.8251380763666454</v>
      </c>
      <c r="AK21" s="14">
        <f t="shared" si="35"/>
        <v>3.4704237513359462</v>
      </c>
      <c r="AL21" s="22">
        <f t="shared" si="4"/>
        <v>23.156436849915348</v>
      </c>
      <c r="AM21" s="62">
        <f t="shared" si="5"/>
        <v>316.48977018324865</v>
      </c>
      <c r="AN21" s="62">
        <f ca="1">AVERAGE(OFFSET($AM$3,0,0,'Données projet'!$E$10+1,1))-AVERAGE(OFFSET($H$3,0,0,'Données projet'!$E$10+1,1))</f>
        <v>473.90982075211258</v>
      </c>
      <c r="AO21" s="62">
        <f t="shared" si="36"/>
        <v>127.17661287657279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2">
        <f t="shared" si="32"/>
        <v>3.2553833368644418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70">
        <f t="shared" si="1"/>
        <v>314.92021764503886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>
        <f>VLOOKUP(A22,'Données projet'!$A$35:$I$55,2,0)</f>
        <v>162</v>
      </c>
      <c r="L22" s="13">
        <f>VLOOKUP(A22,'Données projet'!$A$35:$I$55,9,0)</f>
        <v>8.526315789473685</v>
      </c>
      <c r="M22" s="13">
        <f t="array" ref="M22">INDEX(L:L,MIN(IF(ISNUMBER(L22:L218),ROW(L22:L218),"")))</f>
        <v>8.526315789473685</v>
      </c>
      <c r="N22" s="14">
        <f>IF('Données projet'!$A$36&gt;35,N21+M22-V21,IF(A22&lt;'Données projet'!$A$36,$K$205^A22,IF(A22='Données projet'!$A$36,'Données projet'!$B$36,N21+M22-V21)))</f>
        <v>162</v>
      </c>
      <c r="O22" s="14">
        <f>N22*VLOOKUP('Données projet'!$B$9,Paramètres!$A$1:$I$89,3,0)*VLOOKUP('Données projet'!$B$9,Paramètres!$A$1:$I$89,5,0)</f>
        <v>90.557999999999993</v>
      </c>
      <c r="P22" s="14">
        <f t="shared" si="33"/>
        <v>24.699752708509138</v>
      </c>
      <c r="Q22" s="22">
        <f t="shared" si="2"/>
        <v>200.74058596732007</v>
      </c>
      <c r="R22" s="62">
        <f t="shared" si="0"/>
        <v>494.07391930065342</v>
      </c>
      <c r="S22" s="62">
        <f ca="1">AVERAGE(OFFSET($R$3,0,0,'Données projet'!$E$9+1,1))-AVERAGE(OFFSET($H$3,0,0,'Données projet'!$E$9+1,1))</f>
        <v>382.94446752777549</v>
      </c>
      <c r="T22" s="62">
        <f t="shared" si="34"/>
        <v>476.29465646955543</v>
      </c>
      <c r="U22" s="16">
        <f>IF(ISNA(VLOOKUP(A22,'Données projet'!$A$35:$I$55,3,0)),0,VLOOKUP(A22,'Données projet'!$A$35:$I$55,3,0))</f>
        <v>1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5.5000000000000007E-2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0.9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4.8666666666666663</v>
      </c>
      <c r="AI22" s="14">
        <f>IF('Données projet'!$A$62&gt;35,AI21+AH22-AQ21,IF(A22&lt;'Données projet'!$A$62,$AF$205^A22,IF(A22='Données projet'!$A$62,'Données projet'!$B$62,AI21+AH22-AQ21)))</f>
        <v>23.483174682160847</v>
      </c>
      <c r="AJ22" s="14">
        <f>AI22*VLOOKUP('Données projet'!$B$10,Paramètres!$A$1:$I$89,3,0)*VLOOKUP('Données projet'!$B$10,Paramètres!$A$1:$I$89,5,0)</f>
        <v>11.600688292987458</v>
      </c>
      <c r="AK22" s="14">
        <f t="shared" si="35"/>
        <v>4.0191101888574163</v>
      </c>
      <c r="AL22" s="22">
        <f t="shared" si="4"/>
        <v>27.204482355879822</v>
      </c>
      <c r="AM22" s="62">
        <f t="shared" si="5"/>
        <v>320.53781568921312</v>
      </c>
      <c r="AN22" s="62">
        <f ca="1">AVERAGE(OFFSET($AM$3,0,0,'Données projet'!$E$10+1,1))-AVERAGE(OFFSET($H$3,0,0,'Données projet'!$E$10+1,1))</f>
        <v>473.90982075211258</v>
      </c>
      <c r="AO22" s="62">
        <f t="shared" si="36"/>
        <v>127.17661287657279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2">
        <f t="shared" si="32"/>
        <v>3.4063208944730636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70">
        <f t="shared" si="1"/>
        <v>316.02084222454056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28.833333333333332</v>
      </c>
      <c r="N23" s="14">
        <f>IF('Données projet'!$A$36&gt;35,N22+M23-V22,IF(A23&lt;'Données projet'!$A$36,$K$205^A23,IF(A23='Données projet'!$A$36,'Données projet'!$B$36,N22+M23-V22)))</f>
        <v>190.83333333333334</v>
      </c>
      <c r="O23" s="14">
        <f>N23*VLOOKUP('Données projet'!$B$9,Paramètres!$A$1:$I$89,3,0)*VLOOKUP('Données projet'!$B$9,Paramètres!$A$1:$I$89,5,0)</f>
        <v>106.67583333333334</v>
      </c>
      <c r="P23" s="14">
        <f t="shared" si="33"/>
        <v>28.546391754319739</v>
      </c>
      <c r="Q23" s="22">
        <f t="shared" si="2"/>
        <v>235.51204202766243</v>
      </c>
      <c r="R23" s="62">
        <f t="shared" si="0"/>
        <v>528.84537536099572</v>
      </c>
      <c r="S23" s="62">
        <f ca="1">AVERAGE(OFFSET($R$3,0,0,'Données projet'!$E$9+1,1))-AVERAGE(OFFSET($H$3,0,0,'Données projet'!$E$9+1,1))</f>
        <v>382.94446752777549</v>
      </c>
      <c r="T23" s="62">
        <f t="shared" si="34"/>
        <v>476.29465646955543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4.8666666666666663</v>
      </c>
      <c r="AI23" s="14">
        <f>IF('Données projet'!$A$62&gt;35,AI22+AH23-AQ22,IF(A23&lt;'Données projet'!$A$62,$AF$205^A23,IF(A23='Données projet'!$A$62,'Données projet'!$B$62,AI22+AH23-AQ22)))</f>
        <v>27.726937524959915</v>
      </c>
      <c r="AJ23" s="14">
        <f>AI23*VLOOKUP('Données projet'!$B$10,Paramètres!$A$1:$I$89,3,0)*VLOOKUP('Données projet'!$B$10,Paramètres!$A$1:$I$89,5,0)</f>
        <v>13.6971071373302</v>
      </c>
      <c r="AK23" s="14">
        <f t="shared" si="35"/>
        <v>4.6545459193446561</v>
      </c>
      <c r="AL23" s="22">
        <f t="shared" si="4"/>
        <v>31.96246240704204</v>
      </c>
      <c r="AM23" s="62">
        <f t="shared" si="5"/>
        <v>325.29579574037535</v>
      </c>
      <c r="AN23" s="62">
        <f ca="1">AVERAGE(OFFSET($AM$3,0,0,'Données projet'!$E$10+1,1))-AVERAGE(OFFSET($H$3,0,0,'Données projet'!$E$10+1,1))</f>
        <v>473.90982075211258</v>
      </c>
      <c r="AO23" s="62">
        <f t="shared" si="36"/>
        <v>127.17661287657279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2">
        <f t="shared" si="32"/>
        <v>3.556382161371384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70">
        <f t="shared" si="1"/>
        <v>317.11994059772178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28.833333333333332</v>
      </c>
      <c r="N24" s="14">
        <f>IF('Données projet'!$A$36&gt;35,N23+M24-V23,IF(A24&lt;'Données projet'!$A$36,$K$205^A24,IF(A24='Données projet'!$A$36,'Données projet'!$B$36,N23+M24-V23)))</f>
        <v>219.66666666666669</v>
      </c>
      <c r="O24" s="14">
        <f>N24*VLOOKUP('Données projet'!$B$9,Paramètres!$A$1:$I$89,3,0)*VLOOKUP('Données projet'!$B$9,Paramètres!$A$1:$I$89,5,0)</f>
        <v>122.79366666666668</v>
      </c>
      <c r="P24" s="14">
        <f t="shared" si="33"/>
        <v>32.32570088253398</v>
      </c>
      <c r="Q24" s="22">
        <f t="shared" si="2"/>
        <v>270.16623181485778</v>
      </c>
      <c r="R24" s="62">
        <f t="shared" si="0"/>
        <v>563.4995651481911</v>
      </c>
      <c r="S24" s="62">
        <f ca="1">AVERAGE(OFFSET($R$3,0,0,'Données projet'!$E$9+1,1))-AVERAGE(OFFSET($H$3,0,0,'Données projet'!$E$9+1,1))</f>
        <v>382.94446752777549</v>
      </c>
      <c r="T24" s="62">
        <f t="shared" si="34"/>
        <v>476.29465646955543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4.8666666666666663</v>
      </c>
      <c r="AI24" s="14">
        <f>IF('Données projet'!$A$62&gt;35,AI23+AH24-AQ23,IF(A24&lt;'Données projet'!$A$62,$AF$205^A24,IF(A24='Données projet'!$A$62,'Données projet'!$B$62,AI23+AH24-AQ23)))</f>
        <v>32.737612137980719</v>
      </c>
      <c r="AJ24" s="14">
        <f>AI24*VLOOKUP('Données projet'!$B$10,Paramètres!$A$1:$I$89,3,0)*VLOOKUP('Données projet'!$B$10,Paramètres!$A$1:$I$89,5,0)</f>
        <v>16.172380396162474</v>
      </c>
      <c r="AK24" s="14">
        <f t="shared" si="35"/>
        <v>5.3904463170359174</v>
      </c>
      <c r="AL24" s="22">
        <f t="shared" si="4"/>
        <v>37.555256525487188</v>
      </c>
      <c r="AM24" s="62">
        <f t="shared" si="5"/>
        <v>330.88858985882052</v>
      </c>
      <c r="AN24" s="62">
        <f ca="1">AVERAGE(OFFSET($AM$3,0,0,'Données projet'!$E$10+1,1))-AVERAGE(OFFSET($H$3,0,0,'Données projet'!$E$10+1,1))</f>
        <v>473.90982075211258</v>
      </c>
      <c r="AO24" s="62">
        <f t="shared" si="36"/>
        <v>127.17661287657279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2">
        <f t="shared" si="32"/>
        <v>3.7056136299176217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70">
        <f t="shared" si="1"/>
        <v>318.21759373877319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28.833333333333332</v>
      </c>
      <c r="N25" s="14">
        <f>IF('Données projet'!$A$36&gt;35,N24+M25-V24,IF(A25&lt;'Données projet'!$A$36,$K$205^A25,IF(A25='Données projet'!$A$36,'Données projet'!$B$36,N24+M25-V24)))</f>
        <v>248.50000000000003</v>
      </c>
      <c r="O25" s="14">
        <f>N25*VLOOKUP('Données projet'!$B$9,Paramètres!$A$1:$I$89,3,0)*VLOOKUP('Données projet'!$B$9,Paramètres!$A$1:$I$89,5,0)</f>
        <v>138.91150000000002</v>
      </c>
      <c r="P25" s="14">
        <f t="shared" si="33"/>
        <v>36.047532265727178</v>
      </c>
      <c r="Q25" s="22">
        <f t="shared" si="2"/>
        <v>304.72031452947482</v>
      </c>
      <c r="R25" s="62">
        <f t="shared" si="0"/>
        <v>598.05364786280813</v>
      </c>
      <c r="S25" s="62">
        <f ca="1">AVERAGE(OFFSET($R$3,0,0,'Données projet'!$E$9+1,1))-AVERAGE(OFFSET($H$3,0,0,'Données projet'!$E$9+1,1))</f>
        <v>382.94446752777549</v>
      </c>
      <c r="T25" s="62">
        <f t="shared" si="34"/>
        <v>476.29465646955543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4.8666666666666663</v>
      </c>
      <c r="AI25" s="14">
        <f>IF('Données projet'!$A$62&gt;35,AI24+AH25-AQ24,IF(A25&lt;'Données projet'!$A$62,$AF$205^A25,IF(A25='Données projet'!$A$62,'Données projet'!$B$62,AI24+AH25-AQ24)))</f>
        <v>38.6537910121544</v>
      </c>
      <c r="AJ25" s="14">
        <f>AI25*VLOOKUP('Données projet'!$B$10,Paramètres!$A$1:$I$89,3,0)*VLOOKUP('Données projet'!$B$10,Paramètres!$A$1:$I$89,5,0)</f>
        <v>19.094972760004275</v>
      </c>
      <c r="AK25" s="14">
        <f t="shared" si="35"/>
        <v>6.2426952060099534</v>
      </c>
      <c r="AL25" s="22">
        <f t="shared" si="4"/>
        <v>44.129771707474781</v>
      </c>
      <c r="AM25" s="62">
        <f t="shared" si="5"/>
        <v>337.4631050408081</v>
      </c>
      <c r="AN25" s="62">
        <f ca="1">AVERAGE(OFFSET($AM$3,0,0,'Données projet'!$E$10+1,1))-AVERAGE(OFFSET($H$3,0,0,'Données projet'!$E$10+1,1))</f>
        <v>473.90982075211258</v>
      </c>
      <c r="AO25" s="62">
        <f t="shared" si="36"/>
        <v>127.17661287657279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2">
        <f t="shared" si="32"/>
        <v>3.8540573269792704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70">
        <f t="shared" si="1"/>
        <v>319.31387484448885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28.833333333333332</v>
      </c>
      <c r="N26" s="14">
        <f>IF('Données projet'!$A$36&gt;35,N25+M26-V25,IF(A26&lt;'Données projet'!$A$36,$K$205^A26,IF(A26='Données projet'!$A$36,'Données projet'!$B$36,N25+M26-V25)))</f>
        <v>277.33333333333337</v>
      </c>
      <c r="O26" s="14">
        <f>N26*VLOOKUP('Données projet'!$B$9,Paramètres!$A$1:$I$89,3,0)*VLOOKUP('Données projet'!$B$9,Paramètres!$A$1:$I$89,5,0)</f>
        <v>155.02933333333334</v>
      </c>
      <c r="P26" s="14">
        <f t="shared" si="33"/>
        <v>39.719316712120367</v>
      </c>
      <c r="Q26" s="22">
        <f t="shared" si="2"/>
        <v>339.1872321624985</v>
      </c>
      <c r="R26" s="62">
        <f t="shared" si="0"/>
        <v>632.52056549583176</v>
      </c>
      <c r="S26" s="62">
        <f ca="1">AVERAGE(OFFSET($R$3,0,0,'Données projet'!$E$9+1,1))-AVERAGE(OFFSET($H$3,0,0,'Données projet'!$E$9+1,1))</f>
        <v>382.94446752777549</v>
      </c>
      <c r="T26" s="62">
        <f t="shared" si="34"/>
        <v>476.29465646955543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4.8666666666666663</v>
      </c>
      <c r="AI26" s="14">
        <f>IF('Données projet'!$A$62&gt;35,AI25+AH26-AQ25,IF(A26&lt;'Données projet'!$A$62,$AF$205^A26,IF(A26='Données projet'!$A$62,'Données projet'!$B$62,AI25+AH26-AQ25)))</f>
        <v>45.639112385900077</v>
      </c>
      <c r="AJ26" s="14">
        <f>AI26*VLOOKUP('Données projet'!$B$10,Paramètres!$A$1:$I$89,3,0)*VLOOKUP('Données projet'!$B$10,Paramètres!$A$1:$I$89,5,0)</f>
        <v>22.54572151863464</v>
      </c>
      <c r="AK26" s="14">
        <f t="shared" si="35"/>
        <v>7.2296876998803059</v>
      </c>
      <c r="AL26" s="22">
        <f t="shared" si="4"/>
        <v>51.858837722246854</v>
      </c>
      <c r="AM26" s="62">
        <f t="shared" si="5"/>
        <v>345.19217105558016</v>
      </c>
      <c r="AN26" s="62">
        <f ca="1">AVERAGE(OFFSET($AM$3,0,0,'Données projet'!$E$10+1,1))-AVERAGE(OFFSET($H$3,0,0,'Données projet'!$E$10+1,1))</f>
        <v>473.90982075211258</v>
      </c>
      <c r="AO26" s="62">
        <f t="shared" si="36"/>
        <v>127.17661287657279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2">
        <f t="shared" si="32"/>
        <v>4.0017514182509002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70">
        <f t="shared" si="1"/>
        <v>320.40885038678698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28.833333333333332</v>
      </c>
      <c r="N27" s="14">
        <f>IF('Données projet'!$A$36&gt;35,N26+M27-V26,IF(A27&lt;'Données projet'!$A$36,$K$205^A27,IF(A27='Données projet'!$A$36,'Données projet'!$B$36,N26+M27-V26)))</f>
        <v>306.16666666666669</v>
      </c>
      <c r="O27" s="14">
        <f>N27*VLOOKUP('Données projet'!$B$9,Paramètres!$A$1:$I$89,3,0)*VLOOKUP('Données projet'!$B$9,Paramètres!$A$1:$I$89,5,0)</f>
        <v>171.14716666666669</v>
      </c>
      <c r="P27" s="14">
        <f t="shared" si="33"/>
        <v>43.346850105371793</v>
      </c>
      <c r="Q27" s="22">
        <f t="shared" si="2"/>
        <v>373.57707921130037</v>
      </c>
      <c r="R27" s="62">
        <f t="shared" si="0"/>
        <v>666.91041254463369</v>
      </c>
      <c r="S27" s="62">
        <f ca="1">AVERAGE(OFFSET($R$3,0,0,'Données projet'!$E$9+1,1))-AVERAGE(OFFSET($H$3,0,0,'Données projet'!$E$9+1,1))</f>
        <v>382.94446752777549</v>
      </c>
      <c r="T27" s="62">
        <f t="shared" si="34"/>
        <v>476.29465646955543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4.8666666666666663</v>
      </c>
      <c r="AI27" s="14">
        <f>IF('Données projet'!$A$62&gt;35,AI26+AH27-AQ26,IF(A27&lt;'Données projet'!$A$62,$AF$205^A27,IF(A27='Données projet'!$A$62,'Données projet'!$B$62,AI26+AH27-AQ26)))</f>
        <v>53.88678638837407</v>
      </c>
      <c r="AJ27" s="14">
        <f>AI27*VLOOKUP('Données projet'!$B$10,Paramètres!$A$1:$I$89,3,0)*VLOOKUP('Données projet'!$B$10,Paramètres!$A$1:$I$89,5,0)</f>
        <v>26.620072475856794</v>
      </c>
      <c r="AK27" s="14">
        <f t="shared" si="35"/>
        <v>8.3727272456744117</v>
      </c>
      <c r="AL27" s="22">
        <f t="shared" si="4"/>
        <v>60.945792848333518</v>
      </c>
      <c r="AM27" s="62">
        <f t="shared" si="5"/>
        <v>354.27912618166681</v>
      </c>
      <c r="AN27" s="62">
        <f ca="1">AVERAGE(OFFSET($AM$3,0,0,'Données projet'!$E$10+1,1))-AVERAGE(OFFSET($H$3,0,0,'Données projet'!$E$10+1,1))</f>
        <v>473.90982075211258</v>
      </c>
      <c r="AO27" s="62">
        <f t="shared" si="36"/>
        <v>127.17661287657279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2">
        <f t="shared" si="32"/>
        <v>4.1487307090142194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70">
        <f t="shared" si="1"/>
        <v>321.50258098486643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335</v>
      </c>
      <c r="L28" s="13">
        <f>VLOOKUP(A28,'Données projet'!$A$35:$I$55,9,0)</f>
        <v>28.833333333333332</v>
      </c>
      <c r="M28" s="13">
        <f t="array" ref="M28">INDEX(L:L,MIN(IF(ISNUMBER(L28:L224),ROW(L28:L224),"")))</f>
        <v>28.833333333333332</v>
      </c>
      <c r="N28" s="14">
        <f>IF('Données projet'!$A$36&gt;35,N27+M28-V27,IF(A28&lt;'Données projet'!$A$36,$K$205^A28,IF(A28='Données projet'!$A$36,'Données projet'!$B$36,N27+M28-V27)))</f>
        <v>335</v>
      </c>
      <c r="O28" s="14">
        <f>N28*VLOOKUP('Données projet'!$B$9,Paramètres!$A$1:$I$89,3,0)*VLOOKUP('Données projet'!$B$9,Paramètres!$A$1:$I$89,5,0)</f>
        <v>187.26500000000001</v>
      </c>
      <c r="P28" s="14">
        <f t="shared" si="33"/>
        <v>46.934773872544483</v>
      </c>
      <c r="Q28" s="22">
        <f t="shared" si="2"/>
        <v>407.89793949468162</v>
      </c>
      <c r="R28" s="62">
        <f t="shared" si="0"/>
        <v>701.23127282801488</v>
      </c>
      <c r="S28" s="62">
        <f ca="1">AVERAGE(OFFSET($R$3,0,0,'Données projet'!$E$9+1,1))-AVERAGE(OFFSET($H$3,0,0,'Données projet'!$E$9+1,1))</f>
        <v>382.94446752777549</v>
      </c>
      <c r="T28" s="62">
        <f t="shared" si="34"/>
        <v>476.29465646955543</v>
      </c>
      <c r="U28" s="16">
        <f>IF(ISNA(VLOOKUP(A28,'Données projet'!$A$35:$I$55,3,0)),0,VLOOKUP(A28,'Données projet'!$A$35:$I$55,3,0))</f>
        <v>2</v>
      </c>
      <c r="V28" s="16">
        <f>IF(ISNA(VLOOKUP(A28,'Données projet'!$A$35:$I$55,4,0)),0,VLOOKUP(A28,'Données projet'!$A$35:$I$55,4,0))</f>
        <v>54</v>
      </c>
      <c r="W28" s="17">
        <f>IF(ISNA(VLOOKUP(A28,'Données projet'!$A$35:$I$55,5,0)),0%,VLOOKUP(A28,'Données projet'!$A$35:$I$55,5,0)*VLOOKUP('Données projet'!$B$9,Paramètres!$A$1:$I$89,7,0))</f>
        <v>8.2500000000000004E-2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0.85</v>
      </c>
      <c r="Z28" s="23">
        <f>EXP(-LN(2)/35)*Z27+(1-EXP(-LN(2)/35))/(LN(2)/35)*V28*W28*VLOOKUP('Données projet'!$B$9,Paramètres!$A$1:$I$89,3,0)*0.475*44/12</f>
        <v>3.3036031587815811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29.050929513163819</v>
      </c>
      <c r="AC28" s="24">
        <f t="shared" si="3"/>
        <v>32.3545326719454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4.8666666666666663</v>
      </c>
      <c r="AI28" s="14">
        <f>IF('Données projet'!$A$62&gt;35,AI27+AH28-AQ27,IF(A28&lt;'Données projet'!$A$62,$AF$205^A28,IF(A28='Données projet'!$A$62,'Données projet'!$B$62,AI27+AH28-AQ27)))</f>
        <v>63.624939124875787</v>
      </c>
      <c r="AJ28" s="14">
        <f>AI28*VLOOKUP('Données projet'!$B$10,Paramètres!$A$1:$I$89,3,0)*VLOOKUP('Données projet'!$B$10,Paramètres!$A$1:$I$89,5,0)</f>
        <v>31.430719927688642</v>
      </c>
      <c r="AK28" s="14">
        <f t="shared" si="35"/>
        <v>9.6964854417735413</v>
      </c>
      <c r="AL28" s="22">
        <f t="shared" si="4"/>
        <v>71.629882685146626</v>
      </c>
      <c r="AM28" s="62">
        <f t="shared" si="5"/>
        <v>364.96321601847995</v>
      </c>
      <c r="AN28" s="62">
        <f ca="1">AVERAGE(OFFSET($AM$3,0,0,'Données projet'!$E$10+1,1))-AVERAGE(OFFSET($H$3,0,0,'Données projet'!$E$10+1,1))</f>
        <v>473.90982075211258</v>
      </c>
      <c r="AO28" s="62">
        <f t="shared" si="36"/>
        <v>127.17661287657279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2">
        <f t="shared" si="32"/>
        <v>4.2950270625211857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70">
        <f t="shared" si="1"/>
        <v>322.59512213389104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28</v>
      </c>
      <c r="N29" s="14">
        <f>IF('Données projet'!$A$36&gt;35,N28+M29-V28,IF(A29&lt;'Données projet'!$A$36,$K$205^A29,IF(A29='Données projet'!$A$36,'Données projet'!$B$36,N28+M29-V28)))</f>
        <v>309</v>
      </c>
      <c r="O29" s="14">
        <f>N29*VLOOKUP('Données projet'!$B$9,Paramètres!$A$1:$I$89,3,0)*VLOOKUP('Données projet'!$B$9,Paramètres!$A$1:$I$89,5,0)</f>
        <v>172.73100000000002</v>
      </c>
      <c r="P29" s="14">
        <f t="shared" si="33"/>
        <v>43.701108252019125</v>
      </c>
      <c r="Q29" s="22">
        <f t="shared" si="2"/>
        <v>376.9525885389333</v>
      </c>
      <c r="R29" s="62">
        <f t="shared" si="0"/>
        <v>670.28592187226661</v>
      </c>
      <c r="S29" s="62">
        <f ca="1">AVERAGE(OFFSET($R$3,0,0,'Données projet'!$E$9+1,1))-AVERAGE(OFFSET($H$3,0,0,'Données projet'!$E$9+1,1))</f>
        <v>382.94446752777549</v>
      </c>
      <c r="T29" s="62">
        <f t="shared" si="34"/>
        <v>476.29465646955543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3.2388215158368365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20.542109258530544</v>
      </c>
      <c r="AC29" s="24">
        <f t="shared" si="3"/>
        <v>23.780930774367381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4.8666666666666663</v>
      </c>
      <c r="AI29" s="14">
        <f>IF('Données projet'!$A$62&gt;35,AI28+AH29-AQ28,IF(A29&lt;'Données projet'!$A$62,$AF$205^A29,IF(A29='Données projet'!$A$62,'Données projet'!$B$62,AI28+AH29-AQ28)))</f>
        <v>75.12292251885934</v>
      </c>
      <c r="AJ29" s="14">
        <f>AI29*VLOOKUP('Données projet'!$B$10,Paramètres!$A$1:$I$89,3,0)*VLOOKUP('Données projet'!$B$10,Paramètres!$A$1:$I$89,5,0)</f>
        <v>37.110723724316514</v>
      </c>
      <c r="AK29" s="14">
        <f t="shared" si="35"/>
        <v>11.22953455471759</v>
      </c>
      <c r="AL29" s="22">
        <f t="shared" si="4"/>
        <v>84.192616502651063</v>
      </c>
      <c r="AM29" s="62">
        <f t="shared" si="5"/>
        <v>377.52594983598436</v>
      </c>
      <c r="AN29" s="62">
        <f ca="1">AVERAGE(OFFSET($AM$3,0,0,'Données projet'!$E$10+1,1))-AVERAGE(OFFSET($H$3,0,0,'Données projet'!$E$10+1,1))</f>
        <v>473.90982075211258</v>
      </c>
      <c r="AO29" s="62">
        <f t="shared" si="36"/>
        <v>127.17661287657279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2">
        <f t="shared" si="32"/>
        <v>4.4406697522000558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70">
        <f t="shared" si="1"/>
        <v>323.68652481841508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28</v>
      </c>
      <c r="N30" s="14">
        <f>IF('Données projet'!$A$36&gt;35,N29+M30-V29,IF(A30&lt;'Données projet'!$A$36,$K$205^A30,IF(A30='Données projet'!$A$36,'Données projet'!$B$36,N29+M30-V29)))</f>
        <v>337</v>
      </c>
      <c r="O30" s="14">
        <f>N30*VLOOKUP('Données projet'!$B$9,Paramètres!$A$1:$I$89,3,0)*VLOOKUP('Données projet'!$B$9,Paramètres!$A$1:$I$89,5,0)</f>
        <v>188.38300000000001</v>
      </c>
      <c r="P30" s="14">
        <f t="shared" si="33"/>
        <v>47.182279474248382</v>
      </c>
      <c r="Q30" s="22">
        <f t="shared" si="2"/>
        <v>410.27619508431599</v>
      </c>
      <c r="R30" s="62">
        <f t="shared" si="0"/>
        <v>703.60952841764924</v>
      </c>
      <c r="S30" s="62">
        <f ca="1">AVERAGE(OFFSET($R$3,0,0,'Données projet'!$E$9+1,1))-AVERAGE(OFFSET($H$3,0,0,'Données projet'!$E$9+1,1))</f>
        <v>382.94446752777549</v>
      </c>
      <c r="T30" s="62">
        <f t="shared" si="34"/>
        <v>476.29465646955543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3.175310201397338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14.525464756581911</v>
      </c>
      <c r="AC30" s="24">
        <f t="shared" si="3"/>
        <v>17.700774957979249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4.8666666666666663</v>
      </c>
      <c r="AI30" s="14">
        <f>IF('Données projet'!$A$62&gt;35,AI29+AH30-AQ29,IF(A30&lt;'Données projet'!$A$62,$AF$205^A30,IF(A30='Données projet'!$A$62,'Données projet'!$B$62,AI29+AH30-AQ29)))</f>
        <v>88.698764437294273</v>
      </c>
      <c r="AJ30" s="14">
        <f>AI30*VLOOKUP('Données projet'!$B$10,Paramètres!$A$1:$I$89,3,0)*VLOOKUP('Données projet'!$B$10,Paramètres!$A$1:$I$89,5,0)</f>
        <v>43.817189632023371</v>
      </c>
      <c r="AK30" s="14">
        <f t="shared" si="35"/>
        <v>13.004964228825935</v>
      </c>
      <c r="AL30" s="22">
        <f t="shared" si="4"/>
        <v>98.965251307645872</v>
      </c>
      <c r="AM30" s="62">
        <f t="shared" si="5"/>
        <v>392.29858464097919</v>
      </c>
      <c r="AN30" s="62">
        <f ca="1">AVERAGE(OFFSET($AM$3,0,0,'Données projet'!$E$10+1,1))-AVERAGE(OFFSET($H$3,0,0,'Données projet'!$E$10+1,1))</f>
        <v>473.90982075211258</v>
      </c>
      <c r="AO30" s="62">
        <f t="shared" si="36"/>
        <v>127.17661287657279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2">
        <f t="shared" si="32"/>
        <v>4.5856857602159096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70">
        <f t="shared" si="1"/>
        <v>324.77683603237602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28</v>
      </c>
      <c r="N31" s="14">
        <f>IF('Données projet'!$A$36&gt;35,N30+M31-V30,IF(A31&lt;'Données projet'!$A$36,$K$205^A31,IF(A31='Données projet'!$A$36,'Données projet'!$B$36,N30+M31-V30)))</f>
        <v>365</v>
      </c>
      <c r="O31" s="14">
        <f>N31*VLOOKUP('Données projet'!$B$9,Paramètres!$A$1:$I$89,3,0)*VLOOKUP('Données projet'!$B$9,Paramètres!$A$1:$I$89,5,0)</f>
        <v>204.035</v>
      </c>
      <c r="P31" s="14">
        <f t="shared" si="33"/>
        <v>50.629905099971396</v>
      </c>
      <c r="Q31" s="22">
        <f t="shared" si="2"/>
        <v>443.54137638245015</v>
      </c>
      <c r="R31" s="62">
        <f t="shared" si="0"/>
        <v>736.87470971578341</v>
      </c>
      <c r="S31" s="62">
        <f ca="1">AVERAGE(OFFSET($R$3,0,0,'Données projet'!$E$9+1,1))-AVERAGE(OFFSET($H$3,0,0,'Données projet'!$E$9+1,1))</f>
        <v>382.94446752777549</v>
      </c>
      <c r="T31" s="62">
        <f t="shared" si="34"/>
        <v>476.29465646955543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3.1130443050959209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10.271054629265274</v>
      </c>
      <c r="AC31" s="24">
        <f t="shared" si="3"/>
        <v>13.384098934361194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4.8666666666666663</v>
      </c>
      <c r="AI31" s="14">
        <f>IF('Données projet'!$A$62&gt;35,AI30+AH31-AQ30,IF(A31&lt;'Données projet'!$A$62,$AF$205^A31,IF(A31='Données projet'!$A$62,'Données projet'!$B$62,AI30+AH31-AQ30)))</f>
        <v>104.72796516572576</v>
      </c>
      <c r="AJ31" s="14">
        <f>AI31*VLOOKUP('Données projet'!$B$10,Paramètres!$A$1:$I$89,3,0)*VLOOKUP('Données projet'!$B$10,Paramètres!$A$1:$I$89,5,0)</f>
        <v>51.735614791868528</v>
      </c>
      <c r="AK31" s="14">
        <f t="shared" si="35"/>
        <v>15.061095699820449</v>
      </c>
      <c r="AL31" s="22">
        <f t="shared" si="4"/>
        <v>116.33760410635828</v>
      </c>
      <c r="AM31" s="62">
        <f t="shared" si="5"/>
        <v>409.67093743969161</v>
      </c>
      <c r="AN31" s="62">
        <f ca="1">AVERAGE(OFFSET($AM$3,0,0,'Données projet'!$E$10+1,1))-AVERAGE(OFFSET($H$3,0,0,'Données projet'!$E$10+1,1))</f>
        <v>473.90982075211258</v>
      </c>
      <c r="AO31" s="62">
        <f t="shared" si="36"/>
        <v>127.17661287657279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2">
        <f t="shared" si="32"/>
        <v>4.7301000321811131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70">
        <f t="shared" si="1"/>
        <v>325.86609922271543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28</v>
      </c>
      <c r="N32" s="14">
        <f>IF('Données projet'!$A$36&gt;35,N31+M32-V31,IF(A32&lt;'Données projet'!$A$36,$K$205^A32,IF(A32='Données projet'!$A$36,'Données projet'!$B$36,N31+M32-V31)))</f>
        <v>393</v>
      </c>
      <c r="O32" s="14">
        <f>N32*VLOOKUP('Données projet'!$B$9,Paramètres!$A$1:$I$89,3,0)*VLOOKUP('Données projet'!$B$9,Paramètres!$A$1:$I$89,5,0)</f>
        <v>219.68700000000001</v>
      </c>
      <c r="P32" s="14">
        <f t="shared" si="33"/>
        <v>54.046851081096591</v>
      </c>
      <c r="Q32" s="22">
        <f t="shared" si="2"/>
        <v>476.75312396624321</v>
      </c>
      <c r="R32" s="62">
        <f t="shared" si="0"/>
        <v>770.08645729957652</v>
      </c>
      <c r="S32" s="62">
        <f ca="1">AVERAGE(OFFSET($R$3,0,0,'Données projet'!$E$9+1,1))-AVERAGE(OFFSET($H$3,0,0,'Données projet'!$E$9+1,1))</f>
        <v>382.94446752777549</v>
      </c>
      <c r="T32" s="62">
        <f t="shared" si="34"/>
        <v>476.29465646955543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3.0519994050425279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7.2627323782909565</v>
      </c>
      <c r="AC32" s="24">
        <f t="shared" si="3"/>
        <v>10.314731783333485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4.8666666666666663</v>
      </c>
      <c r="AI32" s="14">
        <f>IF('Données projet'!$A$62&gt;35,AI31+AH32-AQ31,IF(A32&lt;'Données projet'!$A$62,$AF$205^A32,IF(A32='Données projet'!$A$62,'Données projet'!$B$62,AI31+AH32-AQ31)))</f>
        <v>123.65388353867407</v>
      </c>
      <c r="AJ32" s="14">
        <f>AI32*VLOOKUP('Données projet'!$B$10,Paramètres!$A$1:$I$89,3,0)*VLOOKUP('Données projet'!$B$10,Paramètres!$A$1:$I$89,5,0)</f>
        <v>61.085018468104991</v>
      </c>
      <c r="AK32" s="14">
        <f t="shared" si="35"/>
        <v>17.442308928182911</v>
      </c>
      <c r="AL32" s="22">
        <f t="shared" si="4"/>
        <v>136.76842854853476</v>
      </c>
      <c r="AM32" s="62">
        <f t="shared" si="5"/>
        <v>430.10176188186807</v>
      </c>
      <c r="AN32" s="62">
        <f ca="1">AVERAGE(OFFSET($AM$3,0,0,'Données projet'!$E$10+1,1))-AVERAGE(OFFSET($H$3,0,0,'Données projet'!$E$10+1,1))</f>
        <v>473.90982075211258</v>
      </c>
      <c r="AO32" s="62">
        <f t="shared" si="36"/>
        <v>127.17661287657279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2">
        <f t="shared" si="32"/>
        <v>4.8739356957462956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70">
        <f t="shared" si="1"/>
        <v>326.95435467009145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421</v>
      </c>
      <c r="L33" s="13">
        <f>VLOOKUP(A33,'Données projet'!$A$35:$I$55,9,0)</f>
        <v>28</v>
      </c>
      <c r="M33" s="13">
        <f t="array" ref="M33">INDEX(L:L,MIN(IF(ISNUMBER(L33:L229),ROW(L33:L229),"")))</f>
        <v>28</v>
      </c>
      <c r="N33" s="14">
        <f>IF('Données projet'!$A$36&gt;35,N32+M33-V32,IF(A33&lt;'Données projet'!$A$36,$K$205^A33,IF(A33='Données projet'!$A$36,'Données projet'!$B$36,N32+M33-V32)))</f>
        <v>421</v>
      </c>
      <c r="O33" s="14">
        <f>N33*VLOOKUP('Données projet'!$B$9,Paramètres!$A$1:$I$89,3,0)*VLOOKUP('Données projet'!$B$9,Paramètres!$A$1:$I$89,5,0)</f>
        <v>235.339</v>
      </c>
      <c r="P33" s="14">
        <f t="shared" si="33"/>
        <v>57.43555185051494</v>
      </c>
      <c r="Q33" s="22">
        <f t="shared" si="2"/>
        <v>509.91567780631357</v>
      </c>
      <c r="R33" s="62">
        <f t="shared" si="0"/>
        <v>803.24901113964688</v>
      </c>
      <c r="S33" s="62">
        <f ca="1">AVERAGE(OFFSET($R$3,0,0,'Données projet'!$E$9+1,1))-AVERAGE(OFFSET($H$3,0,0,'Données projet'!$E$9+1,1))</f>
        <v>382.94446752777549</v>
      </c>
      <c r="T33" s="62">
        <f t="shared" si="34"/>
        <v>476.29465646955543</v>
      </c>
      <c r="U33" s="16">
        <f>IF(ISNA(VLOOKUP(A33,'Données projet'!$A$35:$I$55,3,0)),0,VLOOKUP(A33,'Données projet'!$A$35:$I$55,3,0))</f>
        <v>3</v>
      </c>
      <c r="V33" s="16">
        <f>IF(ISNA(VLOOKUP(A33,'Données projet'!$A$35:$I$55,4,0)),0,VLOOKUP(A33,'Données projet'!$A$35:$I$55,4,0))</f>
        <v>54</v>
      </c>
      <c r="W33" s="17">
        <f>IF(ISNA(VLOOKUP(A33,'Données projet'!$A$35:$I$55,5,0)),0%,VLOOKUP(A33,'Données projet'!$A$35:$I$55,5,0)*VLOOKUP('Données projet'!$B$9,Paramètres!$A$1:$I$89,7,0))</f>
        <v>0.13750000000000001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0.75</v>
      </c>
      <c r="Z33" s="23">
        <f>EXP(-LN(2)/35)*Z32+(1-EXP(-LN(2)/35))/(LN(2)/35)*V33*W33*VLOOKUP('Données projet'!$B$9,Paramètres!$A$1:$I$89,3,0)*0.475*44/12</f>
        <v>8.4981568228814393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30.768700414483064</v>
      </c>
      <c r="AC33" s="24">
        <f t="shared" si="3"/>
        <v>39.266857237364505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146</v>
      </c>
      <c r="AG33" s="13">
        <f>VLOOKUP(A33,'Données projet'!$A$61:$I$81,9,0)</f>
        <v>4.8666666666666663</v>
      </c>
      <c r="AH33" s="13">
        <f t="array" ref="AH33">INDEX(AG:AG,MIN(IF(ISNUMBER(AG33:AG229),ROW(AG33:AG229),"")))</f>
        <v>4.8666666666666663</v>
      </c>
      <c r="AI33" s="14">
        <f>IF('Données projet'!$A$62&gt;35,AI32+AH33-AQ32,IF(A33&lt;'Données projet'!$A$62,$AF$205^A33,IF(A33='Données projet'!$A$62,'Données projet'!$B$62,AI32+AH33-AQ32)))</f>
        <v>146</v>
      </c>
      <c r="AJ33" s="14">
        <f>AI33*VLOOKUP('Données projet'!$B$10,Paramètres!$A$1:$I$89,3,0)*VLOOKUP('Données projet'!$B$10,Paramètres!$A$1:$I$89,5,0)</f>
        <v>72.124000000000009</v>
      </c>
      <c r="AK33" s="14">
        <f t="shared" si="35"/>
        <v>20.200000505261784</v>
      </c>
      <c r="AL33" s="22">
        <f t="shared" si="4"/>
        <v>160.79763421333095</v>
      </c>
      <c r="AM33" s="62">
        <f t="shared" si="5"/>
        <v>454.13096754666424</v>
      </c>
      <c r="AN33" s="62">
        <f ca="1">AVERAGE(OFFSET($AM$3,0,0,'Données projet'!$E$10+1,1))-AVERAGE(OFFSET($H$3,0,0,'Données projet'!$E$10+1,1))</f>
        <v>473.90982075211258</v>
      </c>
      <c r="AO33" s="62">
        <f t="shared" si="36"/>
        <v>127.17661287657279</v>
      </c>
      <c r="AP33" s="16">
        <f>IF(ISNA(VLOOKUP(A33,'Données projet'!$A$61:$I$81,3,0)),0,VLOOKUP(A33,'Données projet'!$A$61:$I$81,3,0))</f>
        <v>1</v>
      </c>
      <c r="AQ33" s="16">
        <f>IF(ISNA(VLOOKUP(A33,'Données projet'!$A$61:$I$81,4,0)),0,VLOOKUP(A33,'Données projet'!$A$61:$I$81,4,0))</f>
        <v>25</v>
      </c>
      <c r="AR33" s="17">
        <f>IF(ISNA(VLOOKUP(A33,'Données projet'!$A$61:$I$81,5,0)),0%,VLOOKUP(A33,'Données projet'!$A$61:$I$81,5,0)*VLOOKUP('Données projet'!$B$10,Paramètres!$A$1:$I$89,7,0))</f>
        <v>0.38500000000000001</v>
      </c>
      <c r="AS33" s="17">
        <f>IF(ISNA(VLOOKUP(A33,'Données projet'!$A$61:$I$81,6,0)),0%,VLOOKUP(A33,'Données projet'!$A$61:$I$81,6,0)*VLOOKUP('Données projet'!$B$10,Paramètres!$A$1:$I$89,7,0))</f>
        <v>8.2500000000000004E-2</v>
      </c>
      <c r="AT33" s="17">
        <f>IF(ISNA(VLOOKUP(A33,'Données projet'!$A$61:$I$81,7,0)),0%,VLOOKUP(A33,'Données projet'!$A$61:$I$81,7,0))</f>
        <v>0.15</v>
      </c>
      <c r="AU33" s="23">
        <f>EXP(-LN(2)/35)*AU32+(1-EXP(-LN(2)/35))/(LN(2)/35)*AQ33*AR33*VLOOKUP('Données projet'!$B$10,Paramètres!$A$1:$I$89,3,0)*0.475*44/12</f>
        <v>6.3074823445011541</v>
      </c>
      <c r="AV33" s="23">
        <f>EXP(-LN(2)/25)*AV32+(1-EXP(-LN(2)/25))/(LN(2)/25)*Calculateur!AQ33*Calculateur!AS33*VLOOKUP('Données projet'!$B$10,Paramètres!$A$1:$I$89,3,0)*0.475*44/12</f>
        <v>1.3462815821082128</v>
      </c>
      <c r="AW33" s="23">
        <f>EXP(-LN(2)/2)*AW32+(1-EXP(-LN(2)/2))/(LN(2)/2)*AQ33*AT33*VLOOKUP('Données projet'!$B$10,Paramètres!$A$1:$I$89,3,0)*0.475*44/12</f>
        <v>2.097460331167778</v>
      </c>
      <c r="AX33" s="23">
        <f t="shared" si="6"/>
        <v>9.7512242577771442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2">
        <f t="shared" si="32"/>
        <v>5.0172142492270986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70">
        <f t="shared" si="1"/>
        <v>328.04163981740385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29.6</v>
      </c>
      <c r="N34" s="14">
        <f>IF('Données projet'!$A$36&gt;35,N33+M34-V33,IF(A34&lt;'Données projet'!$A$36,$K$205^A34,IF(A34='Données projet'!$A$36,'Données projet'!$B$36,N33+M34-V33)))</f>
        <v>396.6</v>
      </c>
      <c r="O34" s="14">
        <f>N34*VLOOKUP('Données projet'!$B$9,Paramètres!$A$1:$I$89,3,0)*VLOOKUP('Données projet'!$B$9,Paramètres!$A$1:$I$89,5,0)</f>
        <v>221.69940000000003</v>
      </c>
      <c r="P34" s="14">
        <f t="shared" si="33"/>
        <v>54.484076338645842</v>
      </c>
      <c r="Q34" s="22">
        <f t="shared" si="2"/>
        <v>481.01955462314157</v>
      </c>
      <c r="R34" s="62">
        <f t="shared" si="0"/>
        <v>774.35288795647489</v>
      </c>
      <c r="S34" s="62">
        <f ca="1">AVERAGE(OFFSET($R$3,0,0,'Données projet'!$E$9+1,1))-AVERAGE(OFFSET($H$3,0,0,'Données projet'!$E$9+1,1))</f>
        <v>382.94446752777549</v>
      </c>
      <c r="T34" s="62">
        <f t="shared" si="34"/>
        <v>476.29465646955543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8.3315131509485809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21.756756711378312</v>
      </c>
      <c r="AC34" s="24">
        <f t="shared" si="3"/>
        <v>30.088269862326893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28.4</v>
      </c>
      <c r="AI34" s="14">
        <f>IF('Données projet'!$A$62&gt;35,AI33+AH34-AQ33,IF(A34&lt;'Données projet'!$A$62,$AF$205^A34,IF(A34='Données projet'!$A$62,'Données projet'!$B$62,AI33+AH34-AQ33)))</f>
        <v>149.4</v>
      </c>
      <c r="AJ34" s="14">
        <f>AI34*VLOOKUP('Données projet'!$B$10,Paramètres!$A$1:$I$89,3,0)*VLOOKUP('Données projet'!$B$10,Paramètres!$A$1:$I$89,5,0)</f>
        <v>73.803600000000003</v>
      </c>
      <c r="AK34" s="14">
        <f t="shared" si="35"/>
        <v>20.615097106698759</v>
      </c>
      <c r="AL34" s="22">
        <f t="shared" si="4"/>
        <v>164.44589746083366</v>
      </c>
      <c r="AM34" s="62">
        <f t="shared" si="5"/>
        <v>457.77923079416701</v>
      </c>
      <c r="AN34" s="62">
        <f ca="1">AVERAGE(OFFSET($AM$3,0,0,'Données projet'!$E$10+1,1))-AVERAGE(OFFSET($H$3,0,0,'Données projet'!$E$10+1,1))</f>
        <v>473.90982075211258</v>
      </c>
      <c r="AO34" s="62">
        <f t="shared" si="36"/>
        <v>127.17661287657279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6.1837964629098385</v>
      </c>
      <c r="AV34" s="23">
        <f>EXP(-LN(2)/25)*AV33+(1-EXP(-LN(2)/25))/(LN(2)/25)*Calculateur!AQ34*Calculateur!AS34*VLOOKUP('Données projet'!$B$10,Paramètres!$A$1:$I$89,3,0)*0.475*44/12</f>
        <v>1.3094674414475922</v>
      </c>
      <c r="AW34" s="23">
        <f>EXP(-LN(2)/2)*AW33+(1-EXP(-LN(2)/2))/(LN(2)/2)*AQ34*AT34*VLOOKUP('Données projet'!$B$10,Paramètres!$A$1:$I$89,3,0)*0.475*44/12</f>
        <v>1.4831284234385176</v>
      </c>
      <c r="AX34" s="23">
        <f t="shared" si="6"/>
        <v>8.9763923277959474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2">
        <f t="shared" si="32"/>
        <v>5.1599557252083068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70">
        <f t="shared" si="1"/>
        <v>329.12798955473778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29.6</v>
      </c>
      <c r="N35" s="14">
        <f>IF('Données projet'!$A$36&gt;35,N34+M35-V34,IF(A35&lt;'Données projet'!$A$36,$K$205^A35,IF(A35='Données projet'!$A$36,'Données projet'!$B$36,N34+M35-V34)))</f>
        <v>426.20000000000005</v>
      </c>
      <c r="O35" s="14">
        <f>N35*VLOOKUP('Données projet'!$B$9,Paramètres!$A$1:$I$89,3,0)*VLOOKUP('Données projet'!$B$9,Paramètres!$A$1:$I$89,5,0)</f>
        <v>238.24580000000003</v>
      </c>
      <c r="P35" s="14">
        <f t="shared" si="33"/>
        <v>58.061944814414012</v>
      </c>
      <c r="Q35" s="22">
        <f t="shared" ref="Q35:Q66" si="53">(O35+P35)*0.475*44/12</f>
        <v>516.06932221843772</v>
      </c>
      <c r="R35" s="62">
        <f t="shared" si="0"/>
        <v>809.40265555177098</v>
      </c>
      <c r="S35" s="62">
        <f ca="1">AVERAGE(OFFSET($R$3,0,0,'Données projet'!$E$9+1,1))-AVERAGE(OFFSET($H$3,0,0,'Données projet'!$E$9+1,1))</f>
        <v>382.94446752777549</v>
      </c>
      <c r="T35" s="62">
        <f t="shared" si="34"/>
        <v>476.29465646955543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8.1681372597797228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15.384350207241534</v>
      </c>
      <c r="AC35" s="24">
        <f t="shared" si="3"/>
        <v>23.552487467021258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28.4</v>
      </c>
      <c r="AI35" s="14">
        <f>IF('Données projet'!$A$62&gt;35,AI34+AH35-AQ34,IF(A35&lt;'Données projet'!$A$62,$AF$205^A35,IF(A35='Données projet'!$A$62,'Données projet'!$B$62,AI34+AH35-AQ34)))</f>
        <v>177.8</v>
      </c>
      <c r="AJ35" s="14">
        <f>AI35*VLOOKUP('Données projet'!$B$10,Paramètres!$A$1:$I$89,3,0)*VLOOKUP('Données projet'!$B$10,Paramètres!$A$1:$I$89,5,0)</f>
        <v>87.833200000000019</v>
      </c>
      <c r="AK35" s="14">
        <f t="shared" si="35"/>
        <v>24.041906127470241</v>
      </c>
      <c r="AL35" s="22">
        <f t="shared" si="4"/>
        <v>194.84914317201068</v>
      </c>
      <c r="AM35" s="62">
        <f t="shared" si="5"/>
        <v>488.18247650534397</v>
      </c>
      <c r="AN35" s="62">
        <f ca="1">AVERAGE(OFFSET($AM$3,0,0,'Données projet'!$E$10+1,1))-AVERAGE(OFFSET($H$3,0,0,'Données projet'!$E$10+1,1))</f>
        <v>473.90982075211258</v>
      </c>
      <c r="AO35" s="62">
        <f t="shared" si="36"/>
        <v>127.17661287657279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6.0625359860155905</v>
      </c>
      <c r="AV35" s="23">
        <f>EXP(-LN(2)/25)*AV34+(1-EXP(-LN(2)/25))/(LN(2)/25)*Calculateur!AQ35*Calculateur!AS35*VLOOKUP('Données projet'!$B$10,Paramètres!$A$1:$I$89,3,0)*0.475*44/12</f>
        <v>1.2736599853993078</v>
      </c>
      <c r="AW35" s="23">
        <f>EXP(-LN(2)/2)*AW34+(1-EXP(-LN(2)/2))/(LN(2)/2)*AQ35*AT35*VLOOKUP('Données projet'!$B$10,Paramètres!$A$1:$I$89,3,0)*0.475*44/12</f>
        <v>1.0487301655838892</v>
      </c>
      <c r="AX35" s="23">
        <f t="shared" si="6"/>
        <v>8.3849261369987875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2">
        <f t="shared" si="32"/>
        <v>5.3021788331229462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70">
        <f t="shared" si="1"/>
        <v>330.21343646768912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29.6</v>
      </c>
      <c r="N36" s="14">
        <f>IF('Données projet'!$A$36&gt;35,N35+M36-V35,IF(A36&lt;'Données projet'!$A$36,$K$205^A36,IF(A36='Données projet'!$A$36,'Données projet'!$B$36,N35+M36-V35)))</f>
        <v>455.80000000000007</v>
      </c>
      <c r="O36" s="14">
        <f>N36*VLOOKUP('Données projet'!$B$9,Paramètres!$A$1:$I$89,3,0)*VLOOKUP('Données projet'!$B$9,Paramètres!$A$1:$I$89,5,0)</f>
        <v>254.79220000000004</v>
      </c>
      <c r="P36" s="14">
        <f t="shared" si="33"/>
        <v>61.610981612808445</v>
      </c>
      <c r="Q36" s="22">
        <f t="shared" si="53"/>
        <v>551.06887464230806</v>
      </c>
      <c r="R36" s="62">
        <f t="shared" si="0"/>
        <v>844.40220797564143</v>
      </c>
      <c r="S36" s="62">
        <f ca="1">AVERAGE(OFFSET($R$3,0,0,'Données projet'!$E$9+1,1))-AVERAGE(OFFSET($H$3,0,0,'Données projet'!$E$9+1,1))</f>
        <v>382.94446752777549</v>
      </c>
      <c r="T36" s="62">
        <f t="shared" si="34"/>
        <v>476.29465646955543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8.0079650701872325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10.878378355689158</v>
      </c>
      <c r="AC36" s="24">
        <f t="shared" si="3"/>
        <v>18.88634342587639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28.4</v>
      </c>
      <c r="AI36" s="14">
        <f>IF('Données projet'!$A$62&gt;35,AI35+AH36-AQ35,IF(A36&lt;'Données projet'!$A$62,$AF$205^A36,IF(A36='Données projet'!$A$62,'Données projet'!$B$62,AI35+AH36-AQ35)))</f>
        <v>206.20000000000002</v>
      </c>
      <c r="AJ36" s="14">
        <f>AI36*VLOOKUP('Données projet'!$B$10,Paramètres!$A$1:$I$89,3,0)*VLOOKUP('Données projet'!$B$10,Paramètres!$A$1:$I$89,5,0)</f>
        <v>101.86280000000002</v>
      </c>
      <c r="AK36" s="14">
        <f t="shared" si="35"/>
        <v>27.405306132856975</v>
      </c>
      <c r="AL36" s="22">
        <f t="shared" si="4"/>
        <v>225.14195151472589</v>
      </c>
      <c r="AM36" s="62">
        <f t="shared" si="5"/>
        <v>518.47528484805923</v>
      </c>
      <c r="AN36" s="62">
        <f ca="1">AVERAGE(OFFSET($AM$3,0,0,'Données projet'!$E$10+1,1))-AVERAGE(OFFSET($H$3,0,0,'Données projet'!$E$10+1,1))</f>
        <v>473.90982075211258</v>
      </c>
      <c r="AO36" s="62">
        <f t="shared" si="36"/>
        <v>127.17661287657279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5.9436533531116504</v>
      </c>
      <c r="AV36" s="23">
        <f>EXP(-LN(2)/25)*AV35+(1-EXP(-LN(2)/25))/(LN(2)/25)*Calculateur!AQ36*Calculateur!AS36*VLOOKUP('Données projet'!$B$10,Paramètres!$A$1:$I$89,3,0)*0.475*44/12</f>
        <v>1.2388316861196962</v>
      </c>
      <c r="AW36" s="23">
        <f>EXP(-LN(2)/2)*AW35+(1-EXP(-LN(2)/2))/(LN(2)/2)*AQ36*AT36*VLOOKUP('Données projet'!$B$10,Paramètres!$A$1:$I$89,3,0)*0.475*44/12</f>
        <v>0.7415642117192589</v>
      </c>
      <c r="AX36" s="23">
        <f t="shared" si="6"/>
        <v>7.9240492509506062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2">
        <f t="shared" si="32"/>
        <v>5.4439010840635174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70">
        <f t="shared" si="1"/>
        <v>331.29801105474394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29.6</v>
      </c>
      <c r="N37" s="14">
        <f>IF('Données projet'!$A$36&gt;35,N36+M37-V36,IF(A37&lt;'Données projet'!$A$36,$K$205^A37,IF(A37='Données projet'!$A$36,'Données projet'!$B$36,N36+M37-V36)))</f>
        <v>485.40000000000009</v>
      </c>
      <c r="O37" s="14">
        <f>N37*VLOOKUP('Données projet'!$B$9,Paramètres!$A$1:$I$89,3,0)*VLOOKUP('Données projet'!$B$9,Paramètres!$A$1:$I$89,5,0)</f>
        <v>271.33860000000004</v>
      </c>
      <c r="P37" s="14">
        <f t="shared" si="33"/>
        <v>65.133272172114076</v>
      </c>
      <c r="Q37" s="22">
        <f t="shared" si="53"/>
        <v>586.02184403309866</v>
      </c>
      <c r="R37" s="62">
        <f t="shared" si="0"/>
        <v>879.35517736643192</v>
      </c>
      <c r="S37" s="62">
        <f ca="1">AVERAGE(OFFSET($R$3,0,0,'Données projet'!$E$9+1,1))-AVERAGE(OFFSET($H$3,0,0,'Données projet'!$E$9+1,1))</f>
        <v>382.94446752777549</v>
      </c>
      <c r="T37" s="62">
        <f t="shared" si="34"/>
        <v>476.29465646955543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7.8509337595372619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7.6921751036207686</v>
      </c>
      <c r="AC37" s="24">
        <f t="shared" si="3"/>
        <v>15.543108863158031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28.4</v>
      </c>
      <c r="AI37" s="14">
        <f>IF('Données projet'!$A$62&gt;35,AI36+AH37-AQ36,IF(A37&lt;'Données projet'!$A$62,$AF$205^A37,IF(A37='Données projet'!$A$62,'Données projet'!$B$62,AI36+AH37-AQ36)))</f>
        <v>234.60000000000002</v>
      </c>
      <c r="AJ37" s="14">
        <f>AI37*VLOOKUP('Données projet'!$B$10,Paramètres!$A$1:$I$89,3,0)*VLOOKUP('Données projet'!$B$10,Paramètres!$A$1:$I$89,5,0)</f>
        <v>115.89240000000002</v>
      </c>
      <c r="AK37" s="14">
        <f t="shared" si="35"/>
        <v>30.715035712541109</v>
      </c>
      <c r="AL37" s="22">
        <f t="shared" si="4"/>
        <v>255.34128386600915</v>
      </c>
      <c r="AM37" s="62">
        <f t="shared" si="5"/>
        <v>548.67461719934249</v>
      </c>
      <c r="AN37" s="62">
        <f ca="1">AVERAGE(OFFSET($AM$3,0,0,'Données projet'!$E$10+1,1))-AVERAGE(OFFSET($H$3,0,0,'Données projet'!$E$10+1,1))</f>
        <v>473.90982075211258</v>
      </c>
      <c r="AO37" s="62">
        <f t="shared" si="36"/>
        <v>127.17661287657279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5.8271019361277103</v>
      </c>
      <c r="AV37" s="23">
        <f>EXP(-LN(2)/25)*AV36+(1-EXP(-LN(2)/25))/(LN(2)/25)*Calculateur!AQ37*Calculateur!AS37*VLOOKUP('Données projet'!$B$10,Paramètres!$A$1:$I$89,3,0)*0.475*44/12</f>
        <v>1.2049557685154262</v>
      </c>
      <c r="AW37" s="23">
        <f>EXP(-LN(2)/2)*AW36+(1-EXP(-LN(2)/2))/(LN(2)/2)*AQ37*AT37*VLOOKUP('Données projet'!$B$10,Paramètres!$A$1:$I$89,3,0)*0.475*44/12</f>
        <v>0.5243650827919446</v>
      </c>
      <c r="AX37" s="23">
        <f t="shared" si="6"/>
        <v>7.5564227874350811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2">
        <f t="shared" si="32"/>
        <v>5.5851389004969132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70">
        <f t="shared" si="1"/>
        <v>332.38174191836544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515</v>
      </c>
      <c r="L38" s="13">
        <f>VLOOKUP(A38,'Données projet'!$A$35:$I$55,9,0)</f>
        <v>29.6</v>
      </c>
      <c r="M38" s="13">
        <f t="array" ref="M38">INDEX(L:L,MIN(IF(ISNUMBER(L38:L234),ROW(L38:L234),"")))</f>
        <v>29.6</v>
      </c>
      <c r="N38" s="14">
        <f>IF('Données projet'!$A$36&gt;35,N37+M38-V37,IF(A38&lt;'Données projet'!$A$36,$K$205^A38,IF(A38='Données projet'!$A$36,'Données projet'!$B$36,N37+M38-V37)))</f>
        <v>515.00000000000011</v>
      </c>
      <c r="O38" s="14">
        <f>N38*VLOOKUP('Données projet'!$B$9,Paramètres!$A$1:$I$89,3,0)*VLOOKUP('Données projet'!$B$9,Paramètres!$A$1:$I$89,5,0)</f>
        <v>287.88500000000005</v>
      </c>
      <c r="P38" s="14">
        <f t="shared" si="33"/>
        <v>68.630633216048935</v>
      </c>
      <c r="Q38" s="22">
        <f t="shared" si="53"/>
        <v>620.93139451795184</v>
      </c>
      <c r="R38" s="62">
        <f t="shared" si="0"/>
        <v>914.26472785128522</v>
      </c>
      <c r="S38" s="62">
        <f ca="1">AVERAGE(OFFSET($R$3,0,0,'Données projet'!$E$9+1,1))-AVERAGE(OFFSET($H$3,0,0,'Données projet'!$E$9+1,1))</f>
        <v>382.94446752777549</v>
      </c>
      <c r="T38" s="62">
        <f t="shared" si="34"/>
        <v>476.29465646955543</v>
      </c>
      <c r="U38" s="16">
        <f>IF(ISNA(VLOOKUP(A38,'Données projet'!$A$35:$I$55,3,0)),0,VLOOKUP(A38,'Données projet'!$A$35:$I$55,3,0))</f>
        <v>4</v>
      </c>
      <c r="V38" s="16">
        <f>IF(ISNA(VLOOKUP(A38,'Données projet'!$A$35:$I$55,4,0)),0,VLOOKUP(A38,'Données projet'!$A$35:$I$55,4,0))</f>
        <v>69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7.6969817371094953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5.4391891778445798</v>
      </c>
      <c r="AC38" s="24">
        <f t="shared" si="3"/>
        <v>13.136170914954075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263</v>
      </c>
      <c r="AG38" s="13">
        <f>VLOOKUP(A38,'Données projet'!$A$61:$I$81,9,0)</f>
        <v>28.4</v>
      </c>
      <c r="AH38" s="13">
        <f t="array" ref="AH38">INDEX(AG:AG,MIN(IF(ISNUMBER(AG38:AG234),ROW(AG38:AG234),"")))</f>
        <v>28.4</v>
      </c>
      <c r="AI38" s="14">
        <f>IF('Données projet'!$A$62&gt;35,AI37+AH38-AQ37,IF(A38&lt;'Données projet'!$A$62,$AF$205^A38,IF(A38='Données projet'!$A$62,'Données projet'!$B$62,AI37+AH38-AQ37)))</f>
        <v>263</v>
      </c>
      <c r="AJ38" s="14">
        <f>AI38*VLOOKUP('Données projet'!$B$10,Paramètres!$A$1:$I$89,3,0)*VLOOKUP('Données projet'!$B$10,Paramètres!$A$1:$I$89,5,0)</f>
        <v>129.922</v>
      </c>
      <c r="AK38" s="14">
        <f t="shared" si="35"/>
        <v>33.978335192964579</v>
      </c>
      <c r="AL38" s="22">
        <f t="shared" si="4"/>
        <v>285.45975046107998</v>
      </c>
      <c r="AM38" s="62">
        <f t="shared" si="5"/>
        <v>578.79308379441329</v>
      </c>
      <c r="AN38" s="62">
        <f ca="1">AVERAGE(OFFSET($AM$3,0,0,'Données projet'!$E$10+1,1))-AVERAGE(OFFSET($H$3,0,0,'Données projet'!$E$10+1,1))</f>
        <v>473.90982075211258</v>
      </c>
      <c r="AO38" s="62">
        <f t="shared" si="36"/>
        <v>127.17661287657279</v>
      </c>
      <c r="AP38" s="16">
        <f>IF(ISNA(VLOOKUP(A38,'Données projet'!$A$61:$I$81,3,0)),0,VLOOKUP(A38,'Données projet'!$A$61:$I$81,3,0))</f>
        <v>2</v>
      </c>
      <c r="AQ38" s="16">
        <f>IF(ISNA(VLOOKUP(A38,'Données projet'!$A$61:$I$81,4,0)),0,VLOOKUP(A38,'Données projet'!$A$61:$I$81,4,0))</f>
        <v>50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5.7128360213414808</v>
      </c>
      <c r="AV38" s="23">
        <f>EXP(-LN(2)/25)*AV37+(1-EXP(-LN(2)/25))/(LN(2)/25)*Calculateur!AQ38*Calculateur!AS38*VLOOKUP('Données projet'!$B$10,Paramètres!$A$1:$I$89,3,0)*0.475*44/12</f>
        <v>1.172006189659502</v>
      </c>
      <c r="AW38" s="23">
        <f>EXP(-LN(2)/2)*AW37+(1-EXP(-LN(2)/2))/(LN(2)/2)*AQ38*AT38*VLOOKUP('Données projet'!$B$10,Paramètres!$A$1:$I$89,3,0)*0.475*44/12</f>
        <v>0.37078210585962945</v>
      </c>
      <c r="AX38" s="23">
        <f t="shared" si="6"/>
        <v>7.2556243168606125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2">
        <f t="shared" si="32"/>
        <v>5.7259077130880893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70">
        <f t="shared" si="1"/>
        <v>333.46465593362842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23.6</v>
      </c>
      <c r="N39" s="14">
        <f>IF('Données projet'!$A$36&gt;35,N38+M39-V38,IF(A39&lt;'Données projet'!$A$36,$K$205^A39,IF(A39='Données projet'!$A$36,'Données projet'!$B$36,N38+M39-V38)))</f>
        <v>469.60000000000014</v>
      </c>
      <c r="O39" s="14">
        <f>N39*VLOOKUP('Données projet'!$B$9,Paramètres!$A$1:$I$89,3,0)*VLOOKUP('Données projet'!$B$9,Paramètres!$A$1:$I$89,5,0)</f>
        <v>262.5064000000001</v>
      </c>
      <c r="P39" s="14">
        <f t="shared" si="33"/>
        <v>63.256342472799716</v>
      </c>
      <c r="Q39" s="22">
        <f t="shared" si="53"/>
        <v>567.37010980679293</v>
      </c>
      <c r="R39" s="62">
        <f t="shared" si="0"/>
        <v>860.70344314012618</v>
      </c>
      <c r="S39" s="62">
        <f ca="1">AVERAGE(OFFSET($R$3,0,0,'Données projet'!$E$9+1,1))-AVERAGE(OFFSET($H$3,0,0,'Données projet'!$E$9+1,1))</f>
        <v>382.94446752777549</v>
      </c>
      <c r="T39" s="62">
        <f t="shared" si="34"/>
        <v>476.29465646955543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7.5460486199400751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3.8460875518103848</v>
      </c>
      <c r="AC39" s="24">
        <f t="shared" si="3"/>
        <v>11.39213617175046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34.6</v>
      </c>
      <c r="AI39" s="14">
        <f>IF('Données projet'!$A$62&gt;35,AI38+AH39-AQ38,IF(A39&lt;'Données projet'!$A$62,$AF$205^A39,IF(A39='Données projet'!$A$62,'Données projet'!$B$62,AI38+AH39-AQ38)))</f>
        <v>247.60000000000002</v>
      </c>
      <c r="AJ39" s="14">
        <f>AI39*VLOOKUP('Données projet'!$B$10,Paramètres!$A$1:$I$89,3,0)*VLOOKUP('Données projet'!$B$10,Paramètres!$A$1:$I$89,5,0)</f>
        <v>122.31440000000002</v>
      </c>
      <c r="AK39" s="14">
        <f t="shared" si="35"/>
        <v>32.214193480128053</v>
      </c>
      <c r="AL39" s="22">
        <f t="shared" si="4"/>
        <v>269.1373003112231</v>
      </c>
      <c r="AM39" s="62">
        <f t="shared" si="5"/>
        <v>562.47063364455641</v>
      </c>
      <c r="AN39" s="62">
        <f ca="1">AVERAGE(OFFSET($AM$3,0,0,'Données projet'!$E$10+1,1))-AVERAGE(OFFSET($H$3,0,0,'Données projet'!$E$10+1,1))</f>
        <v>473.90982075211258</v>
      </c>
      <c r="AO39" s="62">
        <f t="shared" si="36"/>
        <v>127.17661287657279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5.6008107914488834</v>
      </c>
      <c r="AV39" s="23">
        <f>EXP(-LN(2)/25)*AV38+(1-EXP(-LN(2)/25))/(LN(2)/25)*Calculateur!AQ39*Calculateur!AS39*VLOOKUP('Données projet'!$B$10,Paramètres!$A$1:$I$89,3,0)*0.475*44/12</f>
        <v>1.1399576187701361</v>
      </c>
      <c r="AW39" s="23">
        <f>EXP(-LN(2)/2)*AW38+(1-EXP(-LN(2)/2))/(LN(2)/2)*AQ39*AT39*VLOOKUP('Données projet'!$B$10,Paramètres!$A$1:$I$89,3,0)*0.475*44/12</f>
        <v>0.2621825413959723</v>
      </c>
      <c r="AX39" s="23">
        <f t="shared" si="6"/>
        <v>7.0029509516149924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2">
        <f t="shared" si="32"/>
        <v>5.8662220464630659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70">
        <f t="shared" si="1"/>
        <v>334.54677839758983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23.6</v>
      </c>
      <c r="N40" s="14">
        <f>IF('Données projet'!$A$36&gt;35,N39+M40-V39,IF(A40&lt;'Données projet'!$A$36,$K$205^A40,IF(A40='Données projet'!$A$36,'Données projet'!$B$36,N39+M40-V39)))</f>
        <v>493.20000000000016</v>
      </c>
      <c r="O40" s="14">
        <f>N40*VLOOKUP('Données projet'!$B$9,Paramètres!$A$1:$I$89,3,0)*VLOOKUP('Données projet'!$B$9,Paramètres!$A$1:$I$89,5,0)</f>
        <v>275.69880000000012</v>
      </c>
      <c r="P40" s="14">
        <f t="shared" si="33"/>
        <v>66.057224343988935</v>
      </c>
      <c r="Q40" s="22">
        <f t="shared" si="53"/>
        <v>595.22507573244764</v>
      </c>
      <c r="R40" s="62">
        <f t="shared" si="0"/>
        <v>888.55840906578101</v>
      </c>
      <c r="S40" s="62">
        <f ca="1">AVERAGE(OFFSET($R$3,0,0,'Données projet'!$E$9+1,1))-AVERAGE(OFFSET($H$3,0,0,'Données projet'!$E$9+1,1))</f>
        <v>382.94446752777549</v>
      </c>
      <c r="T40" s="62">
        <f t="shared" si="34"/>
        <v>476.29465646955543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7.398075209138236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2.7195945889222903</v>
      </c>
      <c r="AC40" s="24">
        <f t="shared" si="3"/>
        <v>10.117669798060525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34.6</v>
      </c>
      <c r="AI40" s="14">
        <f>IF('Données projet'!$A$62&gt;35,AI39+AH40-AQ39,IF(A40&lt;'Données projet'!$A$62,$AF$205^A40,IF(A40='Données projet'!$A$62,'Données projet'!$B$62,AI39+AH40-AQ39)))</f>
        <v>282.20000000000005</v>
      </c>
      <c r="AJ40" s="14">
        <f>AI40*VLOOKUP('Données projet'!$B$10,Paramètres!$A$1:$I$89,3,0)*VLOOKUP('Données projet'!$B$10,Paramètres!$A$1:$I$89,5,0)</f>
        <v>139.40680000000003</v>
      </c>
      <c r="AK40" s="14">
        <f t="shared" si="35"/>
        <v>36.16107814039524</v>
      </c>
      <c r="AL40" s="22">
        <f t="shared" si="4"/>
        <v>305.78072109452177</v>
      </c>
      <c r="AM40" s="62">
        <f t="shared" si="5"/>
        <v>599.11405442785508</v>
      </c>
      <c r="AN40" s="62">
        <f ca="1">AVERAGE(OFFSET($AM$3,0,0,'Données projet'!$E$10+1,1))-AVERAGE(OFFSET($H$3,0,0,'Données projet'!$E$10+1,1))</f>
        <v>473.90982075211258</v>
      </c>
      <c r="AO40" s="62">
        <f t="shared" si="36"/>
        <v>127.17661287657279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5.4909823079858358</v>
      </c>
      <c r="AV40" s="23">
        <f>EXP(-LN(2)/25)*AV39+(1-EXP(-LN(2)/25))/(LN(2)/25)*Calculateur!AQ40*Calculateur!AS40*VLOOKUP('Données projet'!$B$10,Paramètres!$A$1:$I$89,3,0)*0.475*44/12</f>
        <v>1.108785417737101</v>
      </c>
      <c r="AW40" s="23">
        <f>EXP(-LN(2)/2)*AW39+(1-EXP(-LN(2)/2))/(LN(2)/2)*AQ40*AT40*VLOOKUP('Données projet'!$B$10,Paramètres!$A$1:$I$89,3,0)*0.475*44/12</f>
        <v>0.18539105292981473</v>
      </c>
      <c r="AX40" s="23">
        <f t="shared" si="6"/>
        <v>6.7851587786527512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2">
        <f t="shared" si="32"/>
        <v>6.0060955954395361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70">
        <f t="shared" si="1"/>
        <v>335.62813316205717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23.6</v>
      </c>
      <c r="N41" s="14">
        <f>IF('Données projet'!$A$36&gt;35,N40+M41-V40,IF(A41&lt;'Données projet'!$A$36,$K$205^A41,IF(A41='Données projet'!$A$36,'Données projet'!$B$36,N40+M41-V40)))</f>
        <v>516.80000000000018</v>
      </c>
      <c r="O41" s="14">
        <f>N41*VLOOKUP('Données projet'!$B$9,Paramètres!$A$1:$I$89,3,0)*VLOOKUP('Données projet'!$B$9,Paramètres!$A$1:$I$89,5,0)</f>
        <v>288.89120000000008</v>
      </c>
      <c r="P41" s="14">
        <f t="shared" si="33"/>
        <v>68.842542874646128</v>
      </c>
      <c r="Q41" s="22">
        <f t="shared" si="53"/>
        <v>623.05293550667545</v>
      </c>
      <c r="R41" s="62">
        <f t="shared" si="0"/>
        <v>916.38626884000882</v>
      </c>
      <c r="S41" s="62">
        <f ca="1">AVERAGE(OFFSET($R$3,0,0,'Données projet'!$E$9+1,1))-AVERAGE(OFFSET($H$3,0,0,'Données projet'!$E$9+1,1))</f>
        <v>382.94446752777549</v>
      </c>
      <c r="T41" s="62">
        <f t="shared" si="34"/>
        <v>476.29465646955543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7.2530034666673524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1.9230437759051928</v>
      </c>
      <c r="AC41" s="24">
        <f t="shared" si="3"/>
        <v>9.1760472425725457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34.6</v>
      </c>
      <c r="AI41" s="14">
        <f>IF('Données projet'!$A$62&gt;35,AI40+AH41-AQ40,IF(A41&lt;'Données projet'!$A$62,$AF$205^A41,IF(A41='Données projet'!$A$62,'Données projet'!$B$62,AI40+AH41-AQ40)))</f>
        <v>316.80000000000007</v>
      </c>
      <c r="AJ41" s="14">
        <f>AI41*VLOOKUP('Données projet'!$B$10,Paramètres!$A$1:$I$89,3,0)*VLOOKUP('Données projet'!$B$10,Paramètres!$A$1:$I$89,5,0)</f>
        <v>156.49920000000003</v>
      </c>
      <c r="AK41" s="14">
        <f t="shared" si="35"/>
        <v>40.051886402928389</v>
      </c>
      <c r="AL41" s="22">
        <f t="shared" si="4"/>
        <v>342.32647548510039</v>
      </c>
      <c r="AM41" s="62">
        <f t="shared" si="5"/>
        <v>635.6598088184337</v>
      </c>
      <c r="AN41" s="62">
        <f ca="1">AVERAGE(OFFSET($AM$3,0,0,'Données projet'!$E$10+1,1))-AVERAGE(OFFSET($H$3,0,0,'Données projet'!$E$10+1,1))</f>
        <v>473.90982075211258</v>
      </c>
      <c r="AO41" s="62">
        <f t="shared" si="36"/>
        <v>127.17661287657279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5.3833074940947387</v>
      </c>
      <c r="AV41" s="23">
        <f>EXP(-LN(2)/25)*AV40+(1-EXP(-LN(2)/25))/(LN(2)/25)*Calculateur!AQ41*Calculateur!AS41*VLOOKUP('Données projet'!$B$10,Paramètres!$A$1:$I$89,3,0)*0.475*44/12</f>
        <v>1.0784656221805891</v>
      </c>
      <c r="AW41" s="23">
        <f>EXP(-LN(2)/2)*AW40+(1-EXP(-LN(2)/2))/(LN(2)/2)*AQ41*AT41*VLOOKUP('Données projet'!$B$10,Paramètres!$A$1:$I$89,3,0)*0.475*44/12</f>
        <v>0.13109127069798615</v>
      </c>
      <c r="AX41" s="23">
        <f t="shared" si="6"/>
        <v>6.5928643869733143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2">
        <f t="shared" si="32"/>
        <v>6.1455412930074749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70">
        <f t="shared" si="1"/>
        <v>336.70874275198798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23.6</v>
      </c>
      <c r="N42" s="14">
        <f>IF('Données projet'!$A$36&gt;35,N41+M42-V41,IF(A42&lt;'Données projet'!$A$36,$K$205^A42,IF(A42='Données projet'!$A$36,'Données projet'!$B$36,N41+M42-V41)))</f>
        <v>540.4000000000002</v>
      </c>
      <c r="O42" s="14">
        <f>N42*VLOOKUP('Données projet'!$B$9,Paramètres!$A$1:$I$89,3,0)*VLOOKUP('Données projet'!$B$9,Paramètres!$A$1:$I$89,5,0)</f>
        <v>302.0836000000001</v>
      </c>
      <c r="P42" s="14">
        <f t="shared" si="33"/>
        <v>71.61308995867725</v>
      </c>
      <c r="Q42" s="22">
        <f t="shared" si="53"/>
        <v>650.85506834469629</v>
      </c>
      <c r="R42" s="62">
        <f t="shared" si="0"/>
        <v>944.18840167802955</v>
      </c>
      <c r="S42" s="62">
        <f ca="1">AVERAGE(OFFSET($R$3,0,0,'Données projet'!$E$9+1,1))-AVERAGE(OFFSET($H$3,0,0,'Données projet'!$E$9+1,1))</f>
        <v>382.94446752777549</v>
      </c>
      <c r="T42" s="62">
        <f t="shared" si="34"/>
        <v>476.29465646955543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7.1107764925812971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1.3597972944611454</v>
      </c>
      <c r="AC42" s="24">
        <f t="shared" si="3"/>
        <v>8.4705737870424418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34.6</v>
      </c>
      <c r="AI42" s="14">
        <f>IF('Données projet'!$A$62&gt;35,AI41+AH42-AQ41,IF(A42&lt;'Données projet'!$A$62,$AF$205^A42,IF(A42='Données projet'!$A$62,'Données projet'!$B$62,AI41+AH42-AQ41)))</f>
        <v>351.40000000000009</v>
      </c>
      <c r="AJ42" s="14">
        <f>AI42*VLOOKUP('Données projet'!$B$10,Paramètres!$A$1:$I$89,3,0)*VLOOKUP('Données projet'!$B$10,Paramètres!$A$1:$I$89,5,0)</f>
        <v>173.59160000000006</v>
      </c>
      <c r="AK42" s="14">
        <f t="shared" si="35"/>
        <v>43.893441114130759</v>
      </c>
      <c r="AL42" s="22">
        <f t="shared" si="4"/>
        <v>378.78644660711115</v>
      </c>
      <c r="AM42" s="62">
        <f t="shared" si="5"/>
        <v>672.11977994044446</v>
      </c>
      <c r="AN42" s="62">
        <f ca="1">AVERAGE(OFFSET($AM$3,0,0,'Données projet'!$E$10+1,1))-AVERAGE(OFFSET($H$3,0,0,'Données projet'!$E$10+1,1))</f>
        <v>473.90982075211258</v>
      </c>
      <c r="AO42" s="62">
        <f t="shared" si="36"/>
        <v>127.17661287657279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5.2777441176288944</v>
      </c>
      <c r="AV42" s="23">
        <f>EXP(-LN(2)/25)*AV41+(1-EXP(-LN(2)/25))/(LN(2)/25)*Calculateur!AQ42*Calculateur!AS42*VLOOKUP('Données projet'!$B$10,Paramètres!$A$1:$I$89,3,0)*0.475*44/12</f>
        <v>1.0489749230280185</v>
      </c>
      <c r="AW42" s="23">
        <f>EXP(-LN(2)/2)*AW41+(1-EXP(-LN(2)/2))/(LN(2)/2)*AQ42*AT42*VLOOKUP('Données projet'!$B$10,Paramètres!$A$1:$I$89,3,0)*0.475*44/12</f>
        <v>9.2695526464907363E-2</v>
      </c>
      <c r="AX42" s="23">
        <f t="shared" si="6"/>
        <v>6.4194145671218203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2">
        <f t="shared" si="32"/>
        <v>6.2845713711411841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70">
        <f t="shared" si="1"/>
        <v>337.78862847140419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564</v>
      </c>
      <c r="L43" s="13">
        <f>VLOOKUP(A43,'Données projet'!$A$35:$I$55,9,0)</f>
        <v>23.6</v>
      </c>
      <c r="M43" s="13">
        <f t="array" ref="M43">INDEX(L:L,MIN(IF(ISNUMBER(L43:L239),ROW(L43:L239),"")))</f>
        <v>23.6</v>
      </c>
      <c r="N43" s="14">
        <f>IF('Données projet'!$A$36&gt;35,N42+M43-V42,IF(A43&lt;'Données projet'!$A$36,$K$205^A43,IF(A43='Données projet'!$A$36,'Données projet'!$B$36,N42+M43-V42)))</f>
        <v>564.00000000000023</v>
      </c>
      <c r="O43" s="14">
        <f>N43*VLOOKUP('Données projet'!$B$9,Paramètres!$A$1:$I$89,3,0)*VLOOKUP('Données projet'!$B$9,Paramètres!$A$1:$I$89,5,0)</f>
        <v>315.27600000000012</v>
      </c>
      <c r="P43" s="14">
        <f t="shared" si="33"/>
        <v>74.36958441265493</v>
      </c>
      <c r="Q43" s="22">
        <f t="shared" si="53"/>
        <v>678.63272618537417</v>
      </c>
      <c r="R43" s="62">
        <f t="shared" si="0"/>
        <v>971.96605951870743</v>
      </c>
      <c r="S43" s="62">
        <f ca="1">AVERAGE(OFFSET($R$3,0,0,'Données projet'!$E$9+1,1))-AVERAGE(OFFSET($H$3,0,0,'Données projet'!$E$9+1,1))</f>
        <v>382.94446752777549</v>
      </c>
      <c r="T43" s="62">
        <f t="shared" si="34"/>
        <v>476.29465646955543</v>
      </c>
      <c r="U43" s="16">
        <f>IF(ISNA(VLOOKUP(A43,'Données projet'!$A$35:$I$55,3,0)),0,VLOOKUP(A43,'Données projet'!$A$35:$I$55,3,0))</f>
        <v>5</v>
      </c>
      <c r="V43" s="16">
        <f>IF(ISNA(VLOOKUP(A43,'Données projet'!$A$35:$I$55,4,0)),0,VLOOKUP(A43,'Données projet'!$A$35:$I$55,4,0))</f>
        <v>72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6.971338502707181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0.96152188795259652</v>
      </c>
      <c r="AC43" s="24">
        <f t="shared" si="3"/>
        <v>7.9328603906597772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386</v>
      </c>
      <c r="AG43" s="13">
        <f>VLOOKUP(A43,'Données projet'!$A$61:$I$81,9,0)</f>
        <v>34.6</v>
      </c>
      <c r="AH43" s="13">
        <f t="array" ref="AH43">INDEX(AG:AG,MIN(IF(ISNUMBER(AG43:AG239),ROW(AG43:AG239),"")))</f>
        <v>34.6</v>
      </c>
      <c r="AI43" s="14">
        <f>IF('Données projet'!$A$62&gt;35,AI42+AH43-AQ42,IF(A43&lt;'Données projet'!$A$62,$AF$205^A43,IF(A43='Données projet'!$A$62,'Données projet'!$B$62,AI42+AH43-AQ42)))</f>
        <v>386.00000000000011</v>
      </c>
      <c r="AJ43" s="14">
        <f>AI43*VLOOKUP('Données projet'!$B$10,Paramètres!$A$1:$I$89,3,0)*VLOOKUP('Données projet'!$B$10,Paramètres!$A$1:$I$89,5,0)</f>
        <v>190.68400000000005</v>
      </c>
      <c r="AK43" s="14">
        <f t="shared" si="35"/>
        <v>47.691143897838018</v>
      </c>
      <c r="AL43" s="22">
        <f t="shared" si="4"/>
        <v>415.17004228873458</v>
      </c>
      <c r="AM43" s="62">
        <f t="shared" si="5"/>
        <v>708.50337562206789</v>
      </c>
      <c r="AN43" s="62">
        <f ca="1">AVERAGE(OFFSET($AM$3,0,0,'Données projet'!$E$10+1,1))-AVERAGE(OFFSET($H$3,0,0,'Données projet'!$E$10+1,1))</f>
        <v>473.90982075211258</v>
      </c>
      <c r="AO43" s="62">
        <f t="shared" si="36"/>
        <v>127.17661287657279</v>
      </c>
      <c r="AP43" s="16">
        <f>IF(ISNA(VLOOKUP(A43,'Données projet'!$A$61:$I$81,3,0)),0,VLOOKUP(A43,'Données projet'!$A$61:$I$81,3,0))</f>
        <v>3</v>
      </c>
      <c r="AQ43" s="16">
        <f>IF(ISNA(VLOOKUP(A43,'Données projet'!$A$61:$I$81,4,0)),0,VLOOKUP(A43,'Données projet'!$A$61:$I$81,4,0))</f>
        <v>75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5.1742507745882431</v>
      </c>
      <c r="AV43" s="23">
        <f>EXP(-LN(2)/25)*AV42+(1-EXP(-LN(2)/25))/(LN(2)/25)*Calculateur!AQ43*Calculateur!AS43*VLOOKUP('Données projet'!$B$10,Paramètres!$A$1:$I$89,3,0)*0.475*44/12</f>
        <v>1.0202906485946237</v>
      </c>
      <c r="AW43" s="23">
        <f>EXP(-LN(2)/2)*AW42+(1-EXP(-LN(2)/2))/(LN(2)/2)*AQ43*AT43*VLOOKUP('Données projet'!$B$10,Paramètres!$A$1:$I$89,3,0)*0.475*44/12</f>
        <v>6.5545635348993075E-2</v>
      </c>
      <c r="AX43" s="23">
        <f t="shared" si="6"/>
        <v>6.2600870585318598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2">
        <f t="shared" si="32"/>
        <v>6.4231974153589526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70">
        <f t="shared" si="1"/>
        <v>338.86781049841682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22.8</v>
      </c>
      <c r="N44" s="14">
        <f>IF('Données projet'!$A$36&gt;35,N43+M44-V43,IF(A44&lt;'Données projet'!$A$36,$K$205^A44,IF(A44='Données projet'!$A$36,'Données projet'!$B$36,N43+M44-V43)))</f>
        <v>514.80000000000018</v>
      </c>
      <c r="O44" s="14">
        <f>N44*VLOOKUP('Données projet'!$B$9,Paramètres!$A$1:$I$89,3,0)*VLOOKUP('Données projet'!$B$9,Paramètres!$A$1:$I$89,5,0)</f>
        <v>287.77320000000009</v>
      </c>
      <c r="P44" s="14">
        <f t="shared" si="33"/>
        <v>68.607082381743922</v>
      </c>
      <c r="Q44" s="22">
        <f t="shared" si="53"/>
        <v>620.69565848153741</v>
      </c>
      <c r="R44" s="62">
        <f t="shared" si="0"/>
        <v>914.02899181487078</v>
      </c>
      <c r="S44" s="62">
        <f ca="1">AVERAGE(OFFSET($R$3,0,0,'Données projet'!$E$9+1,1))-AVERAGE(OFFSET($H$3,0,0,'Données projet'!$E$9+1,1))</f>
        <v>382.94446752777549</v>
      </c>
      <c r="T44" s="62">
        <f t="shared" si="34"/>
        <v>476.29465646955543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6.8346348067657203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0.67989864723057281</v>
      </c>
      <c r="AC44" s="24">
        <f t="shared" si="3"/>
        <v>7.5145334539962931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36.799999999999997</v>
      </c>
      <c r="AI44" s="14">
        <f>IF('Données projet'!$A$62&gt;35,AI43+AH44-AQ43,IF(A44&lt;'Données projet'!$A$62,$AF$205^A44,IF(A44='Données projet'!$A$62,'Données projet'!$B$62,AI43+AH44-AQ43)))</f>
        <v>347.80000000000013</v>
      </c>
      <c r="AJ44" s="14">
        <f>AI44*VLOOKUP('Données projet'!$B$10,Paramètres!$A$1:$I$89,3,0)*VLOOKUP('Données projet'!$B$10,Paramètres!$A$1:$I$89,5,0)</f>
        <v>171.81320000000005</v>
      </c>
      <c r="AK44" s="14">
        <f t="shared" si="35"/>
        <v>43.495868976834934</v>
      </c>
      <c r="AL44" s="22">
        <f t="shared" si="4"/>
        <v>374.99662846798759</v>
      </c>
      <c r="AM44" s="62">
        <f t="shared" si="5"/>
        <v>668.32996180132091</v>
      </c>
      <c r="AN44" s="62">
        <f ca="1">AVERAGE(OFFSET($AM$3,0,0,'Données projet'!$E$10+1,1))-AVERAGE(OFFSET($H$3,0,0,'Données projet'!$E$10+1,1))</f>
        <v>473.90982075211258</v>
      </c>
      <c r="AO44" s="62">
        <f t="shared" si="36"/>
        <v>127.17661287657279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5.072786872879913</v>
      </c>
      <c r="AV44" s="23">
        <f>EXP(-LN(2)/25)*AV43+(1-EXP(-LN(2)/25))/(LN(2)/25)*Calculateur!AQ44*Calculateur!AS44*VLOOKUP('Données projet'!$B$10,Paramètres!$A$1:$I$89,3,0)*0.475*44/12</f>
        <v>0.9923907471540504</v>
      </c>
      <c r="AW44" s="23">
        <f>EXP(-LN(2)/2)*AW43+(1-EXP(-LN(2)/2))/(LN(2)/2)*AQ44*AT44*VLOOKUP('Données projet'!$B$10,Paramètres!$A$1:$I$89,3,0)*0.475*44/12</f>
        <v>4.6347763232453681E-2</v>
      </c>
      <c r="AX44" s="23">
        <f t="shared" si="6"/>
        <v>6.1115253832664171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2">
        <f t="shared" si="32"/>
        <v>6.5614304138099335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70">
        <f t="shared" si="1"/>
        <v>339.94630797071898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22.8</v>
      </c>
      <c r="N45" s="14">
        <f>IF('Données projet'!$A$36&gt;35,N44+M45-V44,IF(A45&lt;'Données projet'!$A$36,$K$205^A45,IF(A45='Données projet'!$A$36,'Données projet'!$B$36,N44+M45-V44)))</f>
        <v>537.60000000000014</v>
      </c>
      <c r="O45" s="14">
        <f>N45*VLOOKUP('Données projet'!$B$9,Paramètres!$A$1:$I$89,3,0)*VLOOKUP('Données projet'!$B$9,Paramètres!$A$1:$I$89,5,0)</f>
        <v>300.5184000000001</v>
      </c>
      <c r="P45" s="14">
        <f t="shared" si="33"/>
        <v>71.285129105116411</v>
      </c>
      <c r="Q45" s="22">
        <f t="shared" si="53"/>
        <v>647.55781319141124</v>
      </c>
      <c r="R45" s="62">
        <f t="shared" si="0"/>
        <v>940.8911465247445</v>
      </c>
      <c r="S45" s="62">
        <f ca="1">AVERAGE(OFFSET($R$3,0,0,'Données projet'!$E$9+1,1))-AVERAGE(OFFSET($H$3,0,0,'Données projet'!$E$9+1,1))</f>
        <v>382.94446752777549</v>
      </c>
      <c r="T45" s="62">
        <f t="shared" si="34"/>
        <v>476.29465646955543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6.7006117869206498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0.48076094397629832</v>
      </c>
      <c r="AC45" s="24">
        <f t="shared" si="3"/>
        <v>7.1813727308969479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36.799999999999997</v>
      </c>
      <c r="AI45" s="14">
        <f>IF('Données projet'!$A$62&gt;35,AI44+AH45-AQ44,IF(A45&lt;'Données projet'!$A$62,$AF$205^A45,IF(A45='Données projet'!$A$62,'Données projet'!$B$62,AI44+AH45-AQ44)))</f>
        <v>384.60000000000014</v>
      </c>
      <c r="AJ45" s="14">
        <f>AI45*VLOOKUP('Données projet'!$B$10,Paramètres!$A$1:$I$89,3,0)*VLOOKUP('Données projet'!$B$10,Paramètres!$A$1:$I$89,5,0)</f>
        <v>189.99240000000009</v>
      </c>
      <c r="AK45" s="14">
        <f t="shared" si="35"/>
        <v>47.538272595222807</v>
      </c>
      <c r="AL45" s="22">
        <f t="shared" si="4"/>
        <v>413.69925477001317</v>
      </c>
      <c r="AM45" s="62">
        <f t="shared" si="5"/>
        <v>707.03258810334648</v>
      </c>
      <c r="AN45" s="62">
        <f ca="1">AVERAGE(OFFSET($AM$3,0,0,'Données projet'!$E$10+1,1))-AVERAGE(OFFSET($H$3,0,0,'Données projet'!$E$10+1,1))</f>
        <v>473.90982075211258</v>
      </c>
      <c r="AO45" s="62">
        <f t="shared" si="36"/>
        <v>127.17661287657279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4.9733126163972141</v>
      </c>
      <c r="AV45" s="23">
        <f>EXP(-LN(2)/25)*AV44+(1-EXP(-LN(2)/25))/(LN(2)/25)*Calculateur!AQ45*Calculateur!AS45*VLOOKUP('Données projet'!$B$10,Paramètres!$A$1:$I$89,3,0)*0.475*44/12</f>
        <v>0.96525376998556167</v>
      </c>
      <c r="AW45" s="23">
        <f>EXP(-LN(2)/2)*AW44+(1-EXP(-LN(2)/2))/(LN(2)/2)*AQ45*AT45*VLOOKUP('Données projet'!$B$10,Paramètres!$A$1:$I$89,3,0)*0.475*44/12</f>
        <v>3.2772817674496538E-2</v>
      </c>
      <c r="AX45" s="23">
        <f t="shared" si="6"/>
        <v>5.9713392040572728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2">
        <f t="shared" si="32"/>
        <v>6.6992808015544414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70">
        <f t="shared" si="1"/>
        <v>341.02413906270732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22.8</v>
      </c>
      <c r="N46" s="14">
        <f>IF('Données projet'!$A$36&gt;35,N45+M46-V45,IF(A46&lt;'Données projet'!$A$36,$K$205^A46,IF(A46='Données projet'!$A$36,'Données projet'!$B$36,N45+M46-V45)))</f>
        <v>560.40000000000009</v>
      </c>
      <c r="O46" s="14">
        <f>N46*VLOOKUP('Données projet'!$B$9,Paramètres!$A$1:$I$89,3,0)*VLOOKUP('Données projet'!$B$9,Paramètres!$A$1:$I$89,5,0)</f>
        <v>313.26360000000005</v>
      </c>
      <c r="P46" s="14">
        <f t="shared" si="33"/>
        <v>73.949983766039026</v>
      </c>
      <c r="Q46" s="22">
        <f t="shared" si="53"/>
        <v>674.39699172585131</v>
      </c>
      <c r="R46" s="62">
        <f t="shared" si="0"/>
        <v>967.73032505918468</v>
      </c>
      <c r="S46" s="62">
        <f ca="1">AVERAGE(OFFSET($R$3,0,0,'Données projet'!$E$9+1,1))-AVERAGE(OFFSET($H$3,0,0,'Données projet'!$E$9+1,1))</f>
        <v>382.94446752777549</v>
      </c>
      <c r="T46" s="62">
        <f t="shared" si="34"/>
        <v>476.29465646955543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6.5692168767487713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0.3399493236152864</v>
      </c>
      <c r="AC46" s="24">
        <f t="shared" si="3"/>
        <v>6.9091662003640577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36.799999999999997</v>
      </c>
      <c r="AI46" s="14">
        <f>IF('Données projet'!$A$62&gt;35,AI45+AH46-AQ45,IF(A46&lt;'Données projet'!$A$62,$AF$205^A46,IF(A46='Données projet'!$A$62,'Données projet'!$B$62,AI45+AH46-AQ45)))</f>
        <v>421.40000000000015</v>
      </c>
      <c r="AJ46" s="14">
        <f>AI46*VLOOKUP('Données projet'!$B$10,Paramètres!$A$1:$I$89,3,0)*VLOOKUP('Données projet'!$B$10,Paramètres!$A$1:$I$89,5,0)</f>
        <v>208.1716000000001</v>
      </c>
      <c r="AK46" s="14">
        <f t="shared" si="35"/>
        <v>51.535831173514723</v>
      </c>
      <c r="AL46" s="22">
        <f t="shared" si="4"/>
        <v>452.32377596053828</v>
      </c>
      <c r="AM46" s="62">
        <f t="shared" si="5"/>
        <v>745.6571092938716</v>
      </c>
      <c r="AN46" s="62">
        <f ca="1">AVERAGE(OFFSET($AM$3,0,0,'Données projet'!$E$10+1,1))-AVERAGE(OFFSET($H$3,0,0,'Données projet'!$E$10+1,1))</f>
        <v>473.90982075211258</v>
      </c>
      <c r="AO46" s="62">
        <f t="shared" si="36"/>
        <v>127.17661287657279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4.8757889894108351</v>
      </c>
      <c r="AV46" s="23">
        <f>EXP(-LN(2)/25)*AV45+(1-EXP(-LN(2)/25))/(LN(2)/25)*Calculateur!AQ46*Calculateur!AS46*VLOOKUP('Données projet'!$B$10,Paramètres!$A$1:$I$89,3,0)*0.475*44/12</f>
        <v>0.9388588548848168</v>
      </c>
      <c r="AW46" s="23">
        <f>EXP(-LN(2)/2)*AW45+(1-EXP(-LN(2)/2))/(LN(2)/2)*AQ46*AT46*VLOOKUP('Données projet'!$B$10,Paramètres!$A$1:$I$89,3,0)*0.475*44/12</f>
        <v>2.3173881616226841E-2</v>
      </c>
      <c r="AX46" s="23">
        <f t="shared" si="6"/>
        <v>5.837821725911879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2">
        <f t="shared" si="32"/>
        <v>6.8367585006090259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70">
        <f t="shared" si="1"/>
        <v>342.1013210552274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22.8</v>
      </c>
      <c r="N47" s="14">
        <f>IF('Données projet'!$A$36&gt;35,N46+M47-V46,IF(A47&lt;'Données projet'!$A$36,$K$205^A47,IF(A47='Données projet'!$A$36,'Données projet'!$B$36,N46+M47-V46)))</f>
        <v>583.20000000000005</v>
      </c>
      <c r="O47" s="14">
        <f>N47*VLOOKUP('Données projet'!$B$9,Paramètres!$A$1:$I$89,3,0)*VLOOKUP('Données projet'!$B$9,Paramètres!$A$1:$I$89,5,0)</f>
        <v>326.00880000000001</v>
      </c>
      <c r="P47" s="14">
        <f t="shared" si="33"/>
        <v>76.602244480772981</v>
      </c>
      <c r="Q47" s="22">
        <f t="shared" si="53"/>
        <v>701.2142358040129</v>
      </c>
      <c r="R47" s="62">
        <f t="shared" si="0"/>
        <v>994.54756913734627</v>
      </c>
      <c r="S47" s="62">
        <f ca="1">AVERAGE(OFFSET($R$3,0,0,'Données projet'!$E$9+1,1))-AVERAGE(OFFSET($H$3,0,0,'Données projet'!$E$9+1,1))</f>
        <v>382.94446752777549</v>
      </c>
      <c r="T47" s="62">
        <f t="shared" si="34"/>
        <v>476.29465646955543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6.4403985406223816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0.24038047198814916</v>
      </c>
      <c r="AC47" s="24">
        <f t="shared" si="3"/>
        <v>6.6807790126105306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36.799999999999997</v>
      </c>
      <c r="AI47" s="14">
        <f>IF('Données projet'!$A$62&gt;35,AI46+AH47-AQ46,IF(A47&lt;'Données projet'!$A$62,$AF$205^A47,IF(A47='Données projet'!$A$62,'Données projet'!$B$62,AI46+AH47-AQ46)))</f>
        <v>458.20000000000016</v>
      </c>
      <c r="AJ47" s="14">
        <f>AI47*VLOOKUP('Données projet'!$B$10,Paramètres!$A$1:$I$89,3,0)*VLOOKUP('Données projet'!$B$10,Paramètres!$A$1:$I$89,5,0)</f>
        <v>226.35080000000011</v>
      </c>
      <c r="AK47" s="14">
        <f t="shared" si="35"/>
        <v>55.492906227790087</v>
      </c>
      <c r="AL47" s="22">
        <f t="shared" si="4"/>
        <v>490.87778834673463</v>
      </c>
      <c r="AM47" s="62">
        <f t="shared" si="5"/>
        <v>784.21112168006789</v>
      </c>
      <c r="AN47" s="62">
        <f ca="1">AVERAGE(OFFSET($AM$3,0,0,'Données projet'!$E$10+1,1))-AVERAGE(OFFSET($H$3,0,0,'Données projet'!$E$10+1,1))</f>
        <v>473.90982075211258</v>
      </c>
      <c r="AO47" s="62">
        <f t="shared" si="36"/>
        <v>127.17661287657279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4.7801777412661206</v>
      </c>
      <c r="AV47" s="23">
        <f>EXP(-LN(2)/25)*AV46+(1-EXP(-LN(2)/25))/(LN(2)/25)*Calculateur!AQ47*Calculateur!AS47*VLOOKUP('Données projet'!$B$10,Paramètres!$A$1:$I$89,3,0)*0.475*44/12</f>
        <v>0.91318571012555005</v>
      </c>
      <c r="AW47" s="23">
        <f>EXP(-LN(2)/2)*AW46+(1-EXP(-LN(2)/2))/(LN(2)/2)*AQ47*AT47*VLOOKUP('Données projet'!$B$10,Paramètres!$A$1:$I$89,3,0)*0.475*44/12</f>
        <v>1.6386408837248269E-2</v>
      </c>
      <c r="AX47" s="23">
        <f t="shared" si="6"/>
        <v>5.7097498602289187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2">
        <f t="shared" si="32"/>
        <v>6.973872956248516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70">
        <f t="shared" si="1"/>
        <v>343.17787039879954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606</v>
      </c>
      <c r="L48" s="13">
        <f>VLOOKUP(A48,'Données projet'!$A$35:$I$55,9,0)</f>
        <v>22.8</v>
      </c>
      <c r="M48" s="13">
        <f t="array" ref="M48">INDEX(L:L,MIN(IF(ISNUMBER(L48:L244),ROW(L48:L244),"")))</f>
        <v>22.8</v>
      </c>
      <c r="N48" s="14">
        <f>IF('Données projet'!$A$36&gt;35,N47+M48-V47,IF(A48&lt;'Données projet'!$A$36,$K$205^A48,IF(A48='Données projet'!$A$36,'Données projet'!$B$36,N47+M48-V47)))</f>
        <v>606</v>
      </c>
      <c r="O48" s="14">
        <f>N48*VLOOKUP('Données projet'!$B$9,Paramètres!$A$1:$I$89,3,0)*VLOOKUP('Données projet'!$B$9,Paramètres!$A$1:$I$89,5,0)</f>
        <v>338.75400000000002</v>
      </c>
      <c r="P48" s="14">
        <f t="shared" si="33"/>
        <v>79.242459951408904</v>
      </c>
      <c r="Q48" s="22">
        <f t="shared" si="53"/>
        <v>728.01050108203719</v>
      </c>
      <c r="R48" s="62">
        <f t="shared" si="0"/>
        <v>1021.3438344153706</v>
      </c>
      <c r="S48" s="62">
        <f ca="1">AVERAGE(OFFSET($R$3,0,0,'Données projet'!$E$9+1,1))-AVERAGE(OFFSET($H$3,0,0,'Données projet'!$E$9+1,1))</f>
        <v>382.94446752777549</v>
      </c>
      <c r="T48" s="62">
        <f t="shared" si="34"/>
        <v>476.29465646955543</v>
      </c>
      <c r="U48" s="16">
        <f>IF(ISNA(VLOOKUP(A48,'Données projet'!$A$35:$I$55,3,0)),0,VLOOKUP(A48,'Données projet'!$A$35:$I$55,3,0))</f>
        <v>6</v>
      </c>
      <c r="V48" s="16">
        <f>IF(ISNA(VLOOKUP(A48,'Données projet'!$A$35:$I$55,4,0)),0,VLOOKUP(A48,'Données projet'!$A$35:$I$55,4,0))</f>
        <v>66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6.3141062534960035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0.1699746618076432</v>
      </c>
      <c r="AC48" s="24">
        <f t="shared" si="3"/>
        <v>6.4840809153036467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495</v>
      </c>
      <c r="AG48" s="13">
        <f>VLOOKUP(A48,'Données projet'!$A$61:$I$81,9,0)</f>
        <v>36.799999999999997</v>
      </c>
      <c r="AH48" s="13">
        <f t="array" ref="AH48">INDEX(AG:AG,MIN(IF(ISNUMBER(AG48:AG244),ROW(AG48:AG244),"")))</f>
        <v>36.799999999999997</v>
      </c>
      <c r="AI48" s="14">
        <f>IF('Données projet'!$A$62&gt;35,AI47+AH48-AQ47,IF(A48&lt;'Données projet'!$A$62,$AF$205^A48,IF(A48='Données projet'!$A$62,'Données projet'!$B$62,AI47+AH48-AQ47)))</f>
        <v>495.00000000000017</v>
      </c>
      <c r="AJ48" s="14">
        <f>AI48*VLOOKUP('Données projet'!$B$10,Paramètres!$A$1:$I$89,3,0)*VLOOKUP('Données projet'!$B$10,Paramètres!$A$1:$I$89,5,0)</f>
        <v>244.53000000000011</v>
      </c>
      <c r="AK48" s="14">
        <f t="shared" si="35"/>
        <v>59.413118816742397</v>
      </c>
      <c r="AL48" s="22">
        <f t="shared" si="4"/>
        <v>529.36759860582652</v>
      </c>
      <c r="AM48" s="62">
        <f t="shared" si="5"/>
        <v>822.70093193915977</v>
      </c>
      <c r="AN48" s="62">
        <f ca="1">AVERAGE(OFFSET($AM$3,0,0,'Données projet'!$E$10+1,1))-AVERAGE(OFFSET($H$3,0,0,'Données projet'!$E$10+1,1))</f>
        <v>473.90982075211258</v>
      </c>
      <c r="AO48" s="62">
        <f t="shared" si="36"/>
        <v>127.17661287657279</v>
      </c>
      <c r="AP48" s="16">
        <f>IF(ISNA(VLOOKUP(A48,'Données projet'!$A$61:$I$81,3,0)),0,VLOOKUP(A48,'Données projet'!$A$61:$I$81,3,0))</f>
        <v>4</v>
      </c>
      <c r="AQ48" s="16">
        <f>IF(ISNA(VLOOKUP(A48,'Données projet'!$A$61:$I$81,4,0)),0,VLOOKUP(A48,'Données projet'!$A$61:$I$81,4,0))</f>
        <v>100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4.6864413713804209</v>
      </c>
      <c r="AV48" s="23">
        <f>EXP(-LN(2)/25)*AV47+(1-EXP(-LN(2)/25))/(LN(2)/25)*Calculateur!AQ48*Calculateur!AS48*VLOOKUP('Données projet'!$B$10,Paramètres!$A$1:$I$89,3,0)*0.475*44/12</f>
        <v>0.88821459885981746</v>
      </c>
      <c r="AW48" s="23">
        <f>EXP(-LN(2)/2)*AW47+(1-EXP(-LN(2)/2))/(LN(2)/2)*AQ48*AT48*VLOOKUP('Données projet'!$B$10,Paramètres!$A$1:$I$89,3,0)*0.475*44/12</f>
        <v>1.158694080811342E-2</v>
      </c>
      <c r="AX48" s="23">
        <f t="shared" si="6"/>
        <v>5.5862429110483518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2">
        <f t="shared" si="32"/>
        <v>7.1106331699901988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70">
        <f t="shared" si="1"/>
        <v>344.25380277106626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17.8</v>
      </c>
      <c r="N49" s="14">
        <f>IF('Données projet'!$A$36&gt;35,N48+M49-V48,IF(A49&lt;'Données projet'!$A$36,$K$205^A49,IF(A49='Données projet'!$A$36,'Données projet'!$B$36,N48+M49-V48)))</f>
        <v>557.79999999999995</v>
      </c>
      <c r="O49" s="14">
        <f>N49*VLOOKUP('Données projet'!$B$9,Paramètres!$A$1:$I$89,3,0)*VLOOKUP('Données projet'!$B$9,Paramètres!$A$1:$I$89,5,0)</f>
        <v>311.81020000000001</v>
      </c>
      <c r="P49" s="14">
        <f t="shared" si="33"/>
        <v>73.646743780370684</v>
      </c>
      <c r="Q49" s="22">
        <f t="shared" si="53"/>
        <v>671.33751041747894</v>
      </c>
      <c r="R49" s="62">
        <f t="shared" si="0"/>
        <v>964.67084375081231</v>
      </c>
      <c r="S49" s="62">
        <f ca="1">AVERAGE(OFFSET($R$3,0,0,'Données projet'!$E$9+1,1))-AVERAGE(OFFSET($H$3,0,0,'Données projet'!$E$9+1,1))</f>
        <v>382.94446752777549</v>
      </c>
      <c r="T49" s="62">
        <f t="shared" si="34"/>
        <v>476.29465646955543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6.1902904810894848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0.12019023599407458</v>
      </c>
      <c r="AC49" s="24">
        <f t="shared" si="3"/>
        <v>6.3104807170835597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35.428571428571431</v>
      </c>
      <c r="AI49" s="14">
        <f>IF('Données projet'!$A$62&gt;35,AI48+AH49-AQ48,IF(A49&lt;'Données projet'!$A$62,$AF$205^A49,IF(A49='Données projet'!$A$62,'Données projet'!$B$62,AI48+AH49-AQ48)))</f>
        <v>430.42857142857156</v>
      </c>
      <c r="AJ49" s="14">
        <f>AI49*VLOOKUP('Données projet'!$B$10,Paramètres!$A$1:$I$89,3,0)*VLOOKUP('Données projet'!$B$10,Paramètres!$A$1:$I$89,5,0)</f>
        <v>212.63171428571434</v>
      </c>
      <c r="AK49" s="14">
        <f t="shared" si="35"/>
        <v>52.510263973638473</v>
      </c>
      <c r="AL49" s="22">
        <f t="shared" si="4"/>
        <v>461.78894546837279</v>
      </c>
      <c r="AM49" s="62">
        <f t="shared" si="5"/>
        <v>755.1222788017061</v>
      </c>
      <c r="AN49" s="62">
        <f ca="1">AVERAGE(OFFSET($AM$3,0,0,'Données projet'!$E$10+1,1))-AVERAGE(OFFSET($H$3,0,0,'Données projet'!$E$10+1,1))</f>
        <v>473.90982075211258</v>
      </c>
      <c r="AO49" s="62">
        <f t="shared" si="36"/>
        <v>127.17661287657279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4.5945431145346394</v>
      </c>
      <c r="AV49" s="23">
        <f>EXP(-LN(2)/25)*AV48+(1-EXP(-LN(2)/25))/(LN(2)/25)*Calculateur!AQ49*Calculateur!AS49*VLOOKUP('Données projet'!$B$10,Paramètres!$A$1:$I$89,3,0)*0.475*44/12</f>
        <v>0.86392632394482005</v>
      </c>
      <c r="AW49" s="23">
        <f>EXP(-LN(2)/2)*AW48+(1-EXP(-LN(2)/2))/(LN(2)/2)*AQ49*AT49*VLOOKUP('Données projet'!$B$10,Paramètres!$A$1:$I$89,3,0)*0.475*44/12</f>
        <v>8.1932044186241344E-3</v>
      </c>
      <c r="AX49" s="23">
        <f t="shared" si="6"/>
        <v>5.4666626428980836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2">
        <f t="shared" si="32"/>
        <v>7.2470477296289397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70">
        <f t="shared" si="1"/>
        <v>345.32913312910375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17.8</v>
      </c>
      <c r="N50" s="14">
        <f>IF('Données projet'!$A$36&gt;35,N49+M50-V49,IF(A50&lt;'Données projet'!$A$36,$K$205^A50,IF(A50='Données projet'!$A$36,'Données projet'!$B$36,N49+M50-V49)))</f>
        <v>575.59999999999991</v>
      </c>
      <c r="O50" s="14">
        <f>N50*VLOOKUP('Données projet'!$B$9,Paramètres!$A$1:$I$89,3,0)*VLOOKUP('Données projet'!$B$9,Paramètres!$A$1:$I$89,5,0)</f>
        <v>321.76039999999995</v>
      </c>
      <c r="P50" s="14">
        <f t="shared" si="33"/>
        <v>75.719522083505169</v>
      </c>
      <c r="Q50" s="22">
        <f t="shared" si="53"/>
        <v>692.27753096210472</v>
      </c>
      <c r="R50" s="62">
        <f t="shared" si="0"/>
        <v>985.61086429543798</v>
      </c>
      <c r="S50" s="62">
        <f ca="1">AVERAGE(OFFSET($R$3,0,0,'Données projet'!$E$9+1,1))-AVERAGE(OFFSET($H$3,0,0,'Données projet'!$E$9+1,1))</f>
        <v>382.94446752777549</v>
      </c>
      <c r="T50" s="62">
        <f t="shared" si="34"/>
        <v>476.29465646955543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6.0689026604596936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8.4987330903821601E-2</v>
      </c>
      <c r="AC50" s="24">
        <f t="shared" si="3"/>
        <v>6.1538899913635152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35.428571428571431</v>
      </c>
      <c r="AI50" s="14">
        <f>IF('Données projet'!$A$62&gt;35,AI49+AH50-AQ49,IF(A50&lt;'Données projet'!$A$62,$AF$205^A50,IF(A50='Données projet'!$A$62,'Données projet'!$B$62,AI49+AH50-AQ49)))</f>
        <v>465.857142857143</v>
      </c>
      <c r="AJ50" s="14">
        <f>AI50*VLOOKUP('Données projet'!$B$10,Paramètres!$A$1:$I$89,3,0)*VLOOKUP('Données projet'!$B$10,Paramètres!$A$1:$I$89,5,0)</f>
        <v>230.13342857142865</v>
      </c>
      <c r="AK50" s="14">
        <f t="shared" si="35"/>
        <v>56.311530933972712</v>
      </c>
      <c r="AL50" s="22">
        <f t="shared" si="4"/>
        <v>498.89163780524063</v>
      </c>
      <c r="AM50" s="62">
        <f t="shared" si="5"/>
        <v>792.22497113857389</v>
      </c>
      <c r="AN50" s="62">
        <f ca="1">AVERAGE(OFFSET($AM$3,0,0,'Données projet'!$E$10+1,1))-AVERAGE(OFFSET($H$3,0,0,'Données projet'!$E$10+1,1))</f>
        <v>473.90982075211258</v>
      </c>
      <c r="AO50" s="62">
        <f t="shared" si="36"/>
        <v>127.17661287657279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4.5044469264532019</v>
      </c>
      <c r="AV50" s="23">
        <f>EXP(-LN(2)/25)*AV49+(1-EXP(-LN(2)/25))/(LN(2)/25)*Calculateur!AQ50*Calculateur!AS50*VLOOKUP('Données projet'!$B$10,Paramètres!$A$1:$I$89,3,0)*0.475*44/12</f>
        <v>0.84030221318463805</v>
      </c>
      <c r="AW50" s="23">
        <f>EXP(-LN(2)/2)*AW49+(1-EXP(-LN(2)/2))/(LN(2)/2)*AQ50*AT50*VLOOKUP('Données projet'!$B$10,Paramètres!$A$1:$I$89,3,0)*0.475*44/12</f>
        <v>5.7934704040567102E-3</v>
      </c>
      <c r="AX50" s="23">
        <f t="shared" si="6"/>
        <v>5.3505426100418969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2">
        <f t="shared" si="32"/>
        <v>7.3831248366439324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70">
        <f t="shared" si="1"/>
        <v>346.40387575715488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17.8</v>
      </c>
      <c r="N51" s="14">
        <f>IF('Données projet'!$A$36&gt;35,N50+M51-V50,IF(A51&lt;'Données projet'!$A$36,$K$205^A51,IF(A51='Données projet'!$A$36,'Données projet'!$B$36,N50+M51-V50)))</f>
        <v>593.39999999999986</v>
      </c>
      <c r="O51" s="14">
        <f>N51*VLOOKUP('Données projet'!$B$9,Paramètres!$A$1:$I$89,3,0)*VLOOKUP('Données projet'!$B$9,Paramètres!$A$1:$I$89,5,0)</f>
        <v>331.71059999999994</v>
      </c>
      <c r="P51" s="14">
        <f t="shared" si="33"/>
        <v>77.784851407016433</v>
      </c>
      <c r="Q51" s="22">
        <f t="shared" si="53"/>
        <v>713.20457786722011</v>
      </c>
      <c r="R51" s="62">
        <f t="shared" si="0"/>
        <v>1006.5379112005535</v>
      </c>
      <c r="S51" s="62">
        <f ca="1">AVERAGE(OFFSET($R$3,0,0,'Données projet'!$E$9+1,1))-AVERAGE(OFFSET($H$3,0,0,'Données projet'!$E$9+1,1))</f>
        <v>382.94446752777549</v>
      </c>
      <c r="T51" s="62">
        <f t="shared" si="34"/>
        <v>476.29465646955543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5.9498951809531926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6.009511799703729E-2</v>
      </c>
      <c r="AC51" s="24">
        <f t="shared" si="3"/>
        <v>6.0099902989502301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35.428571428571431</v>
      </c>
      <c r="AI51" s="14">
        <f>IF('Données projet'!$A$62&gt;35,AI50+AH51-AQ50,IF(A51&lt;'Données projet'!$A$62,$AF$205^A51,IF(A51='Données projet'!$A$62,'Données projet'!$B$62,AI50+AH51-AQ50)))</f>
        <v>501.28571428571445</v>
      </c>
      <c r="AJ51" s="14">
        <f>AI51*VLOOKUP('Données projet'!$B$10,Paramètres!$A$1:$I$89,3,0)*VLOOKUP('Données projet'!$B$10,Paramètres!$A$1:$I$89,5,0)</f>
        <v>247.63514285714297</v>
      </c>
      <c r="AK51" s="14">
        <f t="shared" si="35"/>
        <v>60.079262509477509</v>
      </c>
      <c r="AL51" s="22">
        <f t="shared" si="4"/>
        <v>535.93592268019734</v>
      </c>
      <c r="AM51" s="62">
        <f t="shared" si="5"/>
        <v>829.26925601353059</v>
      </c>
      <c r="AN51" s="62">
        <f ca="1">AVERAGE(OFFSET($AM$3,0,0,'Données projet'!$E$10+1,1))-AVERAGE(OFFSET($H$3,0,0,'Données projet'!$E$10+1,1))</f>
        <v>473.90982075211258</v>
      </c>
      <c r="AO51" s="62">
        <f t="shared" si="36"/>
        <v>127.17661287657279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4.4161174696667924</v>
      </c>
      <c r="AV51" s="23">
        <f>EXP(-LN(2)/25)*AV50+(1-EXP(-LN(2)/25))/(LN(2)/25)*Calculateur!AQ51*Calculateur!AS51*VLOOKUP('Données projet'!$B$10,Paramètres!$A$1:$I$89,3,0)*0.475*44/12</f>
        <v>0.81732410497553132</v>
      </c>
      <c r="AW51" s="23">
        <f>EXP(-LN(2)/2)*AW50+(1-EXP(-LN(2)/2))/(LN(2)/2)*AQ51*AT51*VLOOKUP('Données projet'!$B$10,Paramètres!$A$1:$I$89,3,0)*0.475*44/12</f>
        <v>4.0966022093120672E-3</v>
      </c>
      <c r="AX51" s="23">
        <f t="shared" si="6"/>
        <v>5.2375381768516363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2">
        <f t="shared" si="32"/>
        <v>7.5188723312571559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70">
        <f t="shared" si="1"/>
        <v>347.47804431027294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17.8</v>
      </c>
      <c r="N52" s="14">
        <f>IF('Données projet'!$A$36&gt;35,N51+M52-V51,IF(A52&lt;'Données projet'!$A$36,$K$205^A52,IF(A52='Données projet'!$A$36,'Données projet'!$B$36,N51+M52-V51)))</f>
        <v>611.19999999999982</v>
      </c>
      <c r="O52" s="14">
        <f>N52*VLOOKUP('Données projet'!$B$9,Paramètres!$A$1:$I$89,3,0)*VLOOKUP('Données projet'!$B$9,Paramètres!$A$1:$I$89,5,0)</f>
        <v>341.66079999999988</v>
      </c>
      <c r="P52" s="14">
        <f t="shared" si="33"/>
        <v>79.842980844864144</v>
      </c>
      <c r="Q52" s="22">
        <f t="shared" si="53"/>
        <v>734.11908497147158</v>
      </c>
      <c r="R52" s="62">
        <f t="shared" si="0"/>
        <v>1027.452418304805</v>
      </c>
      <c r="S52" s="62">
        <f ca="1">AVERAGE(OFFSET($R$3,0,0,'Données projet'!$E$9+1,1))-AVERAGE(OFFSET($H$3,0,0,'Données projet'!$E$9+1,1))</f>
        <v>382.94446752777549</v>
      </c>
      <c r="T52" s="62">
        <f t="shared" si="34"/>
        <v>476.29465646955543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5.8332213655324194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4.24936654519108E-2</v>
      </c>
      <c r="AC52" s="24">
        <f t="shared" si="3"/>
        <v>5.8757150309843302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35.428571428571431</v>
      </c>
      <c r="AI52" s="14">
        <f>IF('Données projet'!$A$62&gt;35,AI51+AH52-AQ51,IF(A52&lt;'Données projet'!$A$62,$AF$205^A52,IF(A52='Données projet'!$A$62,'Données projet'!$B$62,AI51+AH52-AQ51)))</f>
        <v>536.71428571428589</v>
      </c>
      <c r="AJ52" s="14">
        <f>AI52*VLOOKUP('Données projet'!$B$10,Paramètres!$A$1:$I$89,3,0)*VLOOKUP('Données projet'!$B$10,Paramètres!$A$1:$I$89,5,0)</f>
        <v>265.13685714285725</v>
      </c>
      <c r="AK52" s="14">
        <f t="shared" si="35"/>
        <v>63.81609840649773</v>
      </c>
      <c r="AL52" s="22">
        <f t="shared" si="4"/>
        <v>572.92639758179337</v>
      </c>
      <c r="AM52" s="62">
        <f t="shared" si="5"/>
        <v>866.25973091512674</v>
      </c>
      <c r="AN52" s="62">
        <f ca="1">AVERAGE(OFFSET($AM$3,0,0,'Données projet'!$E$10+1,1))-AVERAGE(OFFSET($H$3,0,0,'Données projet'!$E$10+1,1))</f>
        <v>473.90982075211258</v>
      </c>
      <c r="AO52" s="62">
        <f t="shared" si="36"/>
        <v>127.17661287657279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4.3295200996523153</v>
      </c>
      <c r="AV52" s="23">
        <f>EXP(-LN(2)/25)*AV51+(1-EXP(-LN(2)/25))/(LN(2)/25)*Calculateur!AQ52*Calculateur!AS52*VLOOKUP('Données projet'!$B$10,Paramètres!$A$1:$I$89,3,0)*0.475*44/12</f>
        <v>0.79497433434376874</v>
      </c>
      <c r="AW52" s="23">
        <f>EXP(-LN(2)/2)*AW51+(1-EXP(-LN(2)/2))/(LN(2)/2)*AQ52*AT52*VLOOKUP('Données projet'!$B$10,Paramètres!$A$1:$I$89,3,0)*0.475*44/12</f>
        <v>2.8967352020283551E-3</v>
      </c>
      <c r="AX52" s="23">
        <f t="shared" si="6"/>
        <v>5.1273911691981118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2">
        <f t="shared" si="32"/>
        <v>7.6542977153884264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70">
        <f t="shared" si="1"/>
        <v>348.55165185430155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629</v>
      </c>
      <c r="L53" s="13">
        <f>VLOOKUP(A53,'Données projet'!$A$35:$I$55,9,0)</f>
        <v>17.8</v>
      </c>
      <c r="M53" s="13">
        <f t="array" ref="M53">INDEX(L:L,MIN(IF(ISNUMBER(L53:L249),ROW(L53:L249),"")))</f>
        <v>17.8</v>
      </c>
      <c r="N53" s="14">
        <f>IF('Données projet'!$A$36&gt;35,N52+M53-V52,IF(A53&lt;'Données projet'!$A$36,$K$205^A53,IF(A53='Données projet'!$A$36,'Données projet'!$B$36,N52+M53-V52)))</f>
        <v>628.99999999999977</v>
      </c>
      <c r="O53" s="14">
        <f>N53*VLOOKUP('Données projet'!$B$9,Paramètres!$A$1:$I$89,3,0)*VLOOKUP('Données projet'!$B$9,Paramètres!$A$1:$I$89,5,0)</f>
        <v>351.61099999999988</v>
      </c>
      <c r="P53" s="14">
        <f t="shared" si="33"/>
        <v>81.89414415728541</v>
      </c>
      <c r="Q53" s="22">
        <f t="shared" si="53"/>
        <v>755.02145940727178</v>
      </c>
      <c r="R53" s="62">
        <f t="shared" si="0"/>
        <v>1048.354792740605</v>
      </c>
      <c r="S53" s="62">
        <f ca="1">AVERAGE(OFFSET($R$3,0,0,'Données projet'!$E$9+1,1))-AVERAGE(OFFSET($H$3,0,0,'Données projet'!$E$9+1,1))</f>
        <v>382.94446752777549</v>
      </c>
      <c r="T53" s="62">
        <f t="shared" si="34"/>
        <v>476.29465646955543</v>
      </c>
      <c r="U53" s="16">
        <f>IF(ISNA(VLOOKUP(A53,'Données projet'!$A$35:$I$55,3,0)),0,VLOOKUP(A53,'Données projet'!$A$35:$I$55,3,0))</f>
        <v>7</v>
      </c>
      <c r="V53" s="16">
        <f>IF(ISNA(VLOOKUP(A53,'Données projet'!$A$35:$I$55,4,0)),0,VLOOKUP(A53,'Données projet'!$A$35:$I$55,4,0))</f>
        <v>48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5.7188354524680465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3.0047558998518645E-2</v>
      </c>
      <c r="AC53" s="24">
        <f t="shared" si="3"/>
        <v>5.7488830114665648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35.428571428571431</v>
      </c>
      <c r="AI53" s="14">
        <f>IF('Données projet'!$A$62&gt;35,AI52+AH53-AQ52,IF(A53&lt;'Données projet'!$A$62,$AF$205^A53,IF(A53='Données projet'!$A$62,'Données projet'!$B$62,AI52+AH53-AQ52)))</f>
        <v>572.14285714285734</v>
      </c>
      <c r="AJ53" s="14">
        <f>AI53*VLOOKUP('Données projet'!$B$10,Paramètres!$A$1:$I$89,3,0)*VLOOKUP('Données projet'!$B$10,Paramètres!$A$1:$I$89,5,0)</f>
        <v>282.63857142857154</v>
      </c>
      <c r="AK53" s="14">
        <f t="shared" si="35"/>
        <v>67.524310124303881</v>
      </c>
      <c r="AL53" s="22">
        <f t="shared" si="4"/>
        <v>609.86701870459126</v>
      </c>
      <c r="AM53" s="62">
        <f t="shared" si="5"/>
        <v>903.20035203792463</v>
      </c>
      <c r="AN53" s="62">
        <f ca="1">AVERAGE(OFFSET($AM$3,0,0,'Données projet'!$E$10+1,1))-AVERAGE(OFFSET($H$3,0,0,'Données projet'!$E$10+1,1))</f>
        <v>473.90982075211258</v>
      </c>
      <c r="AO53" s="62">
        <f t="shared" si="36"/>
        <v>127.17661287657279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4.2446208512446422</v>
      </c>
      <c r="AV53" s="23">
        <f>EXP(-LN(2)/25)*AV52+(1-EXP(-LN(2)/25))/(LN(2)/25)*Calculateur!AQ53*Calculateur!AS53*VLOOKUP('Données projet'!$B$10,Paramètres!$A$1:$I$89,3,0)*0.475*44/12</f>
        <v>0.77323571936525504</v>
      </c>
      <c r="AW53" s="23">
        <f>EXP(-LN(2)/2)*AW52+(1-EXP(-LN(2)/2))/(LN(2)/2)*AQ53*AT53*VLOOKUP('Données projet'!$B$10,Paramètres!$A$1:$I$89,3,0)*0.475*44/12</f>
        <v>2.0483011046560336E-3</v>
      </c>
      <c r="AX53" s="23">
        <f t="shared" si="6"/>
        <v>5.0199048717145534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2">
        <f t="shared" si="32"/>
        <v>7.789408173722185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70">
        <f t="shared" si="1"/>
        <v>349.62471090256616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13.8</v>
      </c>
      <c r="N54" s="14">
        <f>IF('Données projet'!$A$36&gt;35,N53+M54-V53,IF(A54&lt;'Données projet'!$A$36,$K$205^A54,IF(A54='Données projet'!$A$36,'Données projet'!$B$36,N53+M54-V53)))</f>
        <v>594.79999999999973</v>
      </c>
      <c r="O54" s="14">
        <f>N54*VLOOKUP('Données projet'!$B$9,Paramètres!$A$1:$I$89,3,0)*VLOOKUP('Données projet'!$B$9,Paramètres!$A$1:$I$89,5,0)</f>
        <v>332.49319999999983</v>
      </c>
      <c r="P54" s="14">
        <f t="shared" si="33"/>
        <v>77.946984490524827</v>
      </c>
      <c r="Q54" s="22">
        <f t="shared" si="53"/>
        <v>714.84998798766367</v>
      </c>
      <c r="R54" s="62">
        <f t="shared" si="0"/>
        <v>1008.183321320997</v>
      </c>
      <c r="S54" s="62">
        <f ca="1">AVERAGE(OFFSET($R$3,0,0,'Données projet'!$E$9+1,1))-AVERAGE(OFFSET($H$3,0,0,'Données projet'!$E$9+1,1))</f>
        <v>382.94446752777549</v>
      </c>
      <c r="T54" s="62">
        <f t="shared" si="34"/>
        <v>476.29465646955543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5.6066925773903487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2.12468327259554E-2</v>
      </c>
      <c r="AC54" s="24">
        <f t="shared" si="3"/>
        <v>5.6279394101163041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35.428571428571431</v>
      </c>
      <c r="AI54" s="14">
        <f>IF('Données projet'!$A$62&gt;35,AI53+AH54-AQ53,IF(A54&lt;'Données projet'!$A$62,$AF$205^A54,IF(A54='Données projet'!$A$62,'Données projet'!$B$62,AI53+AH54-AQ53)))</f>
        <v>607.57142857142878</v>
      </c>
      <c r="AJ54" s="14">
        <f>AI54*VLOOKUP('Données projet'!$B$10,Paramètres!$A$1:$I$89,3,0)*VLOOKUP('Données projet'!$B$10,Paramètres!$A$1:$I$89,5,0)</f>
        <v>300.14028571428582</v>
      </c>
      <c r="AK54" s="14">
        <f t="shared" si="35"/>
        <v>71.20587194958955</v>
      </c>
      <c r="AL54" s="22">
        <f t="shared" si="4"/>
        <v>646.76122459791623</v>
      </c>
      <c r="AM54" s="62">
        <f t="shared" si="5"/>
        <v>940.09455793124948</v>
      </c>
      <c r="AN54" s="62">
        <f ca="1">AVERAGE(OFFSET($AM$3,0,0,'Données projet'!$E$10+1,1))-AVERAGE(OFFSET($H$3,0,0,'Données projet'!$E$10+1,1))</f>
        <v>473.90982075211258</v>
      </c>
      <c r="AO54" s="62">
        <f t="shared" si="36"/>
        <v>127.17661287657279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4.1613864253148147</v>
      </c>
      <c r="AV54" s="23">
        <f>EXP(-LN(2)/25)*AV53+(1-EXP(-LN(2)/25))/(LN(2)/25)*Calculateur!AQ54*Calculateur!AS54*VLOOKUP('Données projet'!$B$10,Paramètres!$A$1:$I$89,3,0)*0.475*44/12</f>
        <v>0.7520915479565129</v>
      </c>
      <c r="AW54" s="23">
        <f>EXP(-LN(2)/2)*AW53+(1-EXP(-LN(2)/2))/(LN(2)/2)*AQ54*AT54*VLOOKUP('Données projet'!$B$10,Paramètres!$A$1:$I$89,3,0)*0.475*44/12</f>
        <v>1.4483676010141775E-3</v>
      </c>
      <c r="AX54" s="23">
        <f t="shared" si="6"/>
        <v>4.9149263408723423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2">
        <f t="shared" si="32"/>
        <v>7.9242105930753244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70">
        <f t="shared" si="1"/>
        <v>350.69723344960619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13.8</v>
      </c>
      <c r="N55" s="14">
        <f>IF('Données projet'!$A$36&gt;35,N54+M55-V54,IF(A55&lt;'Données projet'!$A$36,$K$205^A55,IF(A55='Données projet'!$A$36,'Données projet'!$B$36,N54+M55-V54)))</f>
        <v>608.59999999999968</v>
      </c>
      <c r="O55" s="14">
        <f>N55*VLOOKUP('Données projet'!$B$9,Paramètres!$A$1:$I$89,3,0)*VLOOKUP('Données projet'!$B$9,Paramètres!$A$1:$I$89,5,0)</f>
        <v>340.20739999999984</v>
      </c>
      <c r="P55" s="14">
        <f t="shared" si="33"/>
        <v>79.542795053996059</v>
      </c>
      <c r="Q55" s="22">
        <f t="shared" si="53"/>
        <v>731.06492305237623</v>
      </c>
      <c r="R55" s="62">
        <f t="shared" si="0"/>
        <v>1024.3982563857096</v>
      </c>
      <c r="S55" s="62">
        <f ca="1">AVERAGE(OFFSET($R$3,0,0,'Données projet'!$E$9+1,1))-AVERAGE(OFFSET($H$3,0,0,'Données projet'!$E$9+1,1))</f>
        <v>382.94446752777549</v>
      </c>
      <c r="T55" s="62">
        <f t="shared" si="34"/>
        <v>476.29465646955543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5.4967487556925247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1.5023779499259322E-2</v>
      </c>
      <c r="AC55" s="24">
        <f t="shared" si="3"/>
        <v>5.5117725351917839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>
        <f>VLOOKUP(A55,'Données projet'!$A$61:$I$81,2,0)</f>
        <v>643</v>
      </c>
      <c r="AG55" s="13">
        <f>VLOOKUP(A55,'Données projet'!$A$61:$I$81,9,0)</f>
        <v>35.428571428571431</v>
      </c>
      <c r="AH55" s="13">
        <f t="array" ref="AH55">INDEX(AG:AG,MIN(IF(ISNUMBER(AG55:AG251),ROW(AG55:AG251),"")))</f>
        <v>35.428571428571431</v>
      </c>
      <c r="AI55" s="14">
        <f>IF('Données projet'!$A$62&gt;35,AI54+AH55-AQ54,IF(A55&lt;'Données projet'!$A$62,$AF$205^A55,IF(A55='Données projet'!$A$62,'Données projet'!$B$62,AI54+AH55-AQ54)))</f>
        <v>643.00000000000023</v>
      </c>
      <c r="AJ55" s="14">
        <f>AI55*VLOOKUP('Données projet'!$B$10,Paramètres!$A$1:$I$89,3,0)*VLOOKUP('Données projet'!$B$10,Paramètres!$A$1:$I$89,5,0)</f>
        <v>317.64200000000011</v>
      </c>
      <c r="AK55" s="14">
        <f t="shared" si="35"/>
        <v>74.86251491443906</v>
      </c>
      <c r="AL55" s="22">
        <f t="shared" si="4"/>
        <v>683.61203014264811</v>
      </c>
      <c r="AM55" s="62">
        <f t="shared" si="5"/>
        <v>976.94536347598137</v>
      </c>
      <c r="AN55" s="62">
        <f ca="1">AVERAGE(OFFSET($AM$3,0,0,'Données projet'!$E$10+1,1))-AVERAGE(OFFSET($H$3,0,0,'Données projet'!$E$10+1,1))</f>
        <v>473.90982075211258</v>
      </c>
      <c r="AO55" s="62">
        <f t="shared" si="36"/>
        <v>127.17661287657279</v>
      </c>
      <c r="AP55" s="16">
        <f>IF(ISNA(VLOOKUP(A55,'Données projet'!$A$61:$I$81,3,0)),0,VLOOKUP(A55,'Données projet'!$A$61:$I$81,3,0))</f>
        <v>5</v>
      </c>
      <c r="AQ55" s="16">
        <f>IF(ISNA(VLOOKUP(A55,'Données projet'!$A$61:$I$81,4,0)),0,VLOOKUP(A55,'Données projet'!$A$61:$I$81,4,0))</f>
        <v>100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4.0797841757094844</v>
      </c>
      <c r="AV55" s="23">
        <f>EXP(-LN(2)/25)*AV54+(1-EXP(-LN(2)/25))/(LN(2)/25)*Calculateur!AQ55*Calculateur!AS55*VLOOKUP('Données projet'!$B$10,Paramètres!$A$1:$I$89,3,0)*0.475*44/12</f>
        <v>0.7315255650268665</v>
      </c>
      <c r="AW55" s="23">
        <f>EXP(-LN(2)/2)*AW54+(1-EXP(-LN(2)/2))/(LN(2)/2)*AQ55*AT55*VLOOKUP('Données projet'!$B$10,Paramètres!$A$1:$I$89,3,0)*0.475*44/12</f>
        <v>1.0241505523280168E-3</v>
      </c>
      <c r="AX55" s="23">
        <f t="shared" si="6"/>
        <v>4.8123338912886791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2">
        <f t="shared" si="32"/>
        <v>8.0587115802330267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70">
        <f t="shared" si="1"/>
        <v>351.76923100223922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13.8</v>
      </c>
      <c r="N56" s="14">
        <f>IF('Données projet'!$A$36&gt;35,N55+M56-V55,IF(A56&lt;'Données projet'!$A$36,$K$205^A56,IF(A56='Données projet'!$A$36,'Données projet'!$B$36,N55+M56-V55)))</f>
        <v>622.39999999999964</v>
      </c>
      <c r="O56" s="14">
        <f>N56*VLOOKUP('Données projet'!$B$9,Paramètres!$A$1:$I$89,3,0)*VLOOKUP('Données projet'!$B$9,Paramètres!$A$1:$I$89,5,0)</f>
        <v>347.92159999999978</v>
      </c>
      <c r="P56" s="14">
        <f t="shared" si="33"/>
        <v>81.134398856989449</v>
      </c>
      <c r="Q56" s="22">
        <f t="shared" si="53"/>
        <v>747.27253134258956</v>
      </c>
      <c r="R56" s="62">
        <f t="shared" si="0"/>
        <v>1040.6058646759229</v>
      </c>
      <c r="S56" s="62">
        <f ca="1">AVERAGE(OFFSET($R$3,0,0,'Données projet'!$E$9+1,1))-AVERAGE(OFFSET($H$3,0,0,'Données projet'!$E$9+1,1))</f>
        <v>382.94446752777549</v>
      </c>
      <c r="T56" s="62">
        <f t="shared" si="34"/>
        <v>476.29465646955543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5.3889608652790848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1.06234163629777E-2</v>
      </c>
      <c r="AC56" s="24">
        <f t="shared" si="3"/>
        <v>5.3995842816420625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31.571428571428573</v>
      </c>
      <c r="AI56" s="14">
        <f>IF('Données projet'!$A$62&gt;35,AI55+AH56-AQ55,IF(A56&lt;'Données projet'!$A$62,$AF$205^A56,IF(A56='Données projet'!$A$62,'Données projet'!$B$62,AI55+AH56-AQ55)))</f>
        <v>574.57142857142878</v>
      </c>
      <c r="AJ56" s="14">
        <f>AI56*VLOOKUP('Données projet'!$B$10,Paramètres!$A$1:$I$89,3,0)*VLOOKUP('Données projet'!$B$10,Paramètres!$A$1:$I$89,5,0)</f>
        <v>283.8382857142858</v>
      </c>
      <c r="AK56" s="14">
        <f t="shared" si="35"/>
        <v>67.777505127853203</v>
      </c>
      <c r="AL56" s="22">
        <f t="shared" si="4"/>
        <v>612.39750238339207</v>
      </c>
      <c r="AM56" s="62">
        <f t="shared" si="5"/>
        <v>905.73083571672532</v>
      </c>
      <c r="AN56" s="62">
        <f ca="1">AVERAGE(OFFSET($AM$3,0,0,'Données projet'!$E$10+1,1))-AVERAGE(OFFSET($H$3,0,0,'Données projet'!$E$10+1,1))</f>
        <v>473.90982075211258</v>
      </c>
      <c r="AO56" s="62">
        <f t="shared" si="36"/>
        <v>127.17661287657279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3.9997820964464572</v>
      </c>
      <c r="AV56" s="23">
        <f>EXP(-LN(2)/25)*AV55+(1-EXP(-LN(2)/25))/(LN(2)/25)*Calculateur!AQ56*Calculateur!AS56*VLOOKUP('Données projet'!$B$10,Paramètres!$A$1:$I$89,3,0)*0.475*44/12</f>
        <v>0.71152195998194934</v>
      </c>
      <c r="AW56" s="23">
        <f>EXP(-LN(2)/2)*AW55+(1-EXP(-LN(2)/2))/(LN(2)/2)*AQ56*AT56*VLOOKUP('Données projet'!$B$10,Paramètres!$A$1:$I$89,3,0)*0.475*44/12</f>
        <v>7.2418380050708877E-4</v>
      </c>
      <c r="AX56" s="23">
        <f t="shared" si="6"/>
        <v>4.7120282402289142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2">
        <f t="shared" si="32"/>
        <v>8.1929174784004761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70">
        <f t="shared" si="1"/>
        <v>352.84071460821417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13.8</v>
      </c>
      <c r="N57" s="14">
        <f>IF('Données projet'!$A$36&gt;35,N56+M57-V56,IF(A57&lt;'Données projet'!$A$36,$K$205^A57,IF(A57='Données projet'!$A$36,'Données projet'!$B$36,N56+M57-V56)))</f>
        <v>636.19999999999959</v>
      </c>
      <c r="O57" s="14">
        <f>N57*VLOOKUP('Données projet'!$B$9,Paramètres!$A$1:$I$89,3,0)*VLOOKUP('Données projet'!$B$9,Paramètres!$A$1:$I$89,5,0)</f>
        <v>355.63579999999973</v>
      </c>
      <c r="P57" s="14">
        <f t="shared" si="33"/>
        <v>82.721899912765039</v>
      </c>
      <c r="Q57" s="22">
        <f t="shared" si="53"/>
        <v>763.47299401473185</v>
      </c>
      <c r="R57" s="62">
        <f t="shared" si="0"/>
        <v>1056.8063273480652</v>
      </c>
      <c r="S57" s="62">
        <f ca="1">AVERAGE(OFFSET($R$3,0,0,'Données projet'!$E$9+1,1))-AVERAGE(OFFSET($H$3,0,0,'Données projet'!$E$9+1,1))</f>
        <v>382.94446752777549</v>
      </c>
      <c r="T57" s="62">
        <f t="shared" si="34"/>
        <v>476.29465646955543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5.2832866296525314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7.5118897496296612E-3</v>
      </c>
      <c r="AC57" s="24">
        <f t="shared" si="3"/>
        <v>5.2907985194021609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31.571428571428573</v>
      </c>
      <c r="AI57" s="14">
        <f>IF('Données projet'!$A$62&gt;35,AI56+AH57-AQ56,IF(A57&lt;'Données projet'!$A$62,$AF$205^A57,IF(A57='Données projet'!$A$62,'Données projet'!$B$62,AI56+AH57-AQ56)))</f>
        <v>606.14285714285734</v>
      </c>
      <c r="AJ57" s="14">
        <f>AI57*VLOOKUP('Données projet'!$B$10,Paramètres!$A$1:$I$89,3,0)*VLOOKUP('Données projet'!$B$10,Paramètres!$A$1:$I$89,5,0)</f>
        <v>299.43457142857153</v>
      </c>
      <c r="AK57" s="14">
        <f t="shared" si="35"/>
        <v>71.057914917100319</v>
      </c>
      <c r="AL57" s="22">
        <f t="shared" si="4"/>
        <v>645.2744137187118</v>
      </c>
      <c r="AM57" s="62">
        <f t="shared" si="5"/>
        <v>938.60774705204517</v>
      </c>
      <c r="AN57" s="62">
        <f ca="1">AVERAGE(OFFSET($AM$3,0,0,'Données projet'!$E$10+1,1))-AVERAGE(OFFSET($H$3,0,0,'Données projet'!$E$10+1,1))</f>
        <v>473.90982075211258</v>
      </c>
      <c r="AO57" s="62">
        <f t="shared" si="36"/>
        <v>127.17661287657279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3.9213488091613278</v>
      </c>
      <c r="AV57" s="23">
        <f>EXP(-LN(2)/25)*AV56+(1-EXP(-LN(2)/25))/(LN(2)/25)*Calculateur!AQ57*Calculateur!AS57*VLOOKUP('Données projet'!$B$10,Paramètres!$A$1:$I$89,3,0)*0.475*44/12</f>
        <v>0.69206535456892926</v>
      </c>
      <c r="AW57" s="23">
        <f>EXP(-LN(2)/2)*AW56+(1-EXP(-LN(2)/2))/(LN(2)/2)*AQ57*AT57*VLOOKUP('Données projet'!$B$10,Paramètres!$A$1:$I$89,3,0)*0.475*44/12</f>
        <v>5.120752761640084E-4</v>
      </c>
      <c r="AX57" s="23">
        <f t="shared" si="6"/>
        <v>4.6139262390064202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2">
        <f t="shared" si="32"/>
        <v>8.3268343824014242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70">
        <f t="shared" si="1"/>
        <v>353.91169488268253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650</v>
      </c>
      <c r="L58" s="13">
        <f>VLOOKUP(A58,'Données projet'!$A$35:$I$55,9,0)</f>
        <v>13.8</v>
      </c>
      <c r="M58" s="13">
        <f t="array" ref="M58">INDEX(L:L,MIN(IF(ISNUMBER(L58:L254),ROW(L58:L254),"")))</f>
        <v>13.8</v>
      </c>
      <c r="N58" s="14">
        <f>IF('Données projet'!$A$36&gt;35,N57+M58-V57,IF(A58&lt;'Données projet'!$A$36,$K$205^A58,IF(A58='Données projet'!$A$36,'Données projet'!$B$36,N57+M58-V57)))</f>
        <v>649.99999999999955</v>
      </c>
      <c r="O58" s="14">
        <f>N58*VLOOKUP('Données projet'!$B$9,Paramètres!$A$1:$I$89,3,0)*VLOOKUP('Données projet'!$B$9,Paramètres!$A$1:$I$89,5,0)</f>
        <v>363.34999999999974</v>
      </c>
      <c r="P58" s="14">
        <f t="shared" si="33"/>
        <v>84.305397464498199</v>
      </c>
      <c r="Q58" s="22">
        <f t="shared" si="53"/>
        <v>779.66648391733395</v>
      </c>
      <c r="R58" s="62">
        <f t="shared" si="0"/>
        <v>1072.9998172506673</v>
      </c>
      <c r="S58" s="62">
        <f ca="1">AVERAGE(OFFSET($R$3,0,0,'Données projet'!$E$9+1,1))-AVERAGE(OFFSET($H$3,0,0,'Données projet'!$E$9+1,1))</f>
        <v>382.94446752777549</v>
      </c>
      <c r="T58" s="62">
        <f t="shared" si="34"/>
        <v>476.29465646955543</v>
      </c>
      <c r="U58" s="16">
        <f>IF(ISNA(VLOOKUP(A58,'Données projet'!$A$35:$I$55,3,0)),0,VLOOKUP(A58,'Données projet'!$A$35:$I$55,3,0))</f>
        <v>8</v>
      </c>
      <c r="V58" s="16">
        <f>IF(ISNA(VLOOKUP(A58,'Données projet'!$A$35:$I$55,4,0)),0,VLOOKUP(A58,'Données projet'!$A$35:$I$55,4,0))</f>
        <v>35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5.1796846013316955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5.31170818148885E-3</v>
      </c>
      <c r="AC58" s="24">
        <f t="shared" si="3"/>
        <v>5.1849963095131848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31.571428571428573</v>
      </c>
      <c r="AI58" s="14">
        <f>IF('Données projet'!$A$62&gt;35,AI57+AH58-AQ57,IF(A58&lt;'Données projet'!$A$62,$AF$205^A58,IF(A58='Données projet'!$A$62,'Données projet'!$B$62,AI57+AH58-AQ57)))</f>
        <v>637.71428571428589</v>
      </c>
      <c r="AJ58" s="14">
        <f>AI58*VLOOKUP('Données projet'!$B$10,Paramètres!$A$1:$I$89,3,0)*VLOOKUP('Données projet'!$B$10,Paramètres!$A$1:$I$89,5,0)</f>
        <v>315.03085714285726</v>
      </c>
      <c r="AK58" s="14">
        <f t="shared" si="35"/>
        <v>74.318486983290384</v>
      </c>
      <c r="AL58" s="22">
        <f t="shared" si="4"/>
        <v>678.11677435304046</v>
      </c>
      <c r="AM58" s="62">
        <f t="shared" si="5"/>
        <v>971.45010768637371</v>
      </c>
      <c r="AN58" s="62">
        <f ca="1">AVERAGE(OFFSET($AM$3,0,0,'Données projet'!$E$10+1,1))-AVERAGE(OFFSET($H$3,0,0,'Données projet'!$E$10+1,1))</f>
        <v>473.90982075211258</v>
      </c>
      <c r="AO58" s="62">
        <f t="shared" si="36"/>
        <v>127.17661287657279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3.8444535508002784</v>
      </c>
      <c r="AV58" s="23">
        <f>EXP(-LN(2)/25)*AV57+(1-EXP(-LN(2)/25))/(LN(2)/25)*Calculateur!AQ58*Calculateur!AS58*VLOOKUP('Données projet'!$B$10,Paramètres!$A$1:$I$89,3,0)*0.475*44/12</f>
        <v>0.67314079105410662</v>
      </c>
      <c r="AW58" s="23">
        <f>EXP(-LN(2)/2)*AW57+(1-EXP(-LN(2)/2))/(LN(2)/2)*AQ58*AT58*VLOOKUP('Données projet'!$B$10,Paramètres!$A$1:$I$89,3,0)*0.475*44/12</f>
        <v>3.6209190025354439E-4</v>
      </c>
      <c r="AX58" s="23">
        <f t="shared" si="6"/>
        <v>4.5179564337546383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2">
        <f t="shared" si="32"/>
        <v>8.4604681527401535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70">
        <f t="shared" si="1"/>
        <v>354.98218203268914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8.1999999999999993</v>
      </c>
      <c r="N59" s="14">
        <f>IF('Données projet'!$A$36&gt;35,N58+M59-V58,IF(A59&lt;'Données projet'!$A$36,$K$205^A59,IF(A59='Données projet'!$A$36,'Données projet'!$B$36,N58+M59-V58)))</f>
        <v>623.19999999999959</v>
      </c>
      <c r="O59" s="14">
        <f>N59*VLOOKUP('Données projet'!$B$9,Paramètres!$A$1:$I$89,3,0)*VLOOKUP('Données projet'!$B$9,Paramètres!$A$1:$I$89,5,0)</f>
        <v>348.36879999999979</v>
      </c>
      <c r="P59" s="14">
        <f t="shared" si="33"/>
        <v>81.22653895266933</v>
      </c>
      <c r="Q59" s="22">
        <f t="shared" si="53"/>
        <v>748.211882009232</v>
      </c>
      <c r="R59" s="62">
        <f t="shared" si="0"/>
        <v>1041.5452153425654</v>
      </c>
      <c r="S59" s="62">
        <f ca="1">AVERAGE(OFFSET($R$3,0,0,'Données projet'!$E$9+1,1))-AVERAGE(OFFSET($H$3,0,0,'Données projet'!$E$9+1,1))</f>
        <v>382.94446752777549</v>
      </c>
      <c r="T59" s="62">
        <f t="shared" si="34"/>
        <v>476.29465646955543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5.078114145595233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3.7559448748148306E-3</v>
      </c>
      <c r="AC59" s="24">
        <f t="shared" si="3"/>
        <v>5.0818700904700478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31.571428571428573</v>
      </c>
      <c r="AI59" s="14">
        <f>IF('Données projet'!$A$62&gt;35,AI58+AH59-AQ58,IF(A59&lt;'Données projet'!$A$62,$AF$205^A59,IF(A59='Données projet'!$A$62,'Données projet'!$B$62,AI58+AH59-AQ58)))</f>
        <v>669.28571428571445</v>
      </c>
      <c r="AJ59" s="14">
        <f>AI59*VLOOKUP('Données projet'!$B$10,Paramètres!$A$1:$I$89,3,0)*VLOOKUP('Données projet'!$B$10,Paramètres!$A$1:$I$89,5,0)</f>
        <v>330.62714285714299</v>
      </c>
      <c r="AK59" s="14">
        <f t="shared" si="35"/>
        <v>77.560315515617418</v>
      </c>
      <c r="AL59" s="22">
        <f t="shared" si="4"/>
        <v>710.92648999922437</v>
      </c>
      <c r="AM59" s="62">
        <f t="shared" si="5"/>
        <v>1004.2598233325577</v>
      </c>
      <c r="AN59" s="62">
        <f ca="1">AVERAGE(OFFSET($AM$3,0,0,'Données projet'!$E$10+1,1))-AVERAGE(OFFSET($H$3,0,0,'Données projet'!$E$10+1,1))</f>
        <v>473.90982075211258</v>
      </c>
      <c r="AO59" s="62">
        <f t="shared" si="36"/>
        <v>127.17661287657279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3.7690661615542127</v>
      </c>
      <c r="AV59" s="23">
        <f>EXP(-LN(2)/25)*AV58+(1-EXP(-LN(2)/25))/(LN(2)/25)*Calculateur!AQ59*Calculateur!AS59*VLOOKUP('Données projet'!$B$10,Paramètres!$A$1:$I$89,3,0)*0.475*44/12</f>
        <v>0.65473372072379632</v>
      </c>
      <c r="AW59" s="23">
        <f>EXP(-LN(2)/2)*AW58+(1-EXP(-LN(2)/2))/(LN(2)/2)*AQ59*AT59*VLOOKUP('Données projet'!$B$10,Paramètres!$A$1:$I$89,3,0)*0.475*44/12</f>
        <v>2.560376380820042E-4</v>
      </c>
      <c r="AX59" s="23">
        <f t="shared" si="6"/>
        <v>4.4240559199160909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2">
        <f t="shared" si="32"/>
        <v>8.5938244286305778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70">
        <f t="shared" si="1"/>
        <v>356.05218587986496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8.1999999999999993</v>
      </c>
      <c r="N60" s="14">
        <f>IF('Données projet'!$A$36&gt;35,N59+M60-V59,IF(A60&lt;'Données projet'!$A$36,$K$205^A60,IF(A60='Données projet'!$A$36,'Données projet'!$B$36,N59+M60-V59)))</f>
        <v>631.39999999999964</v>
      </c>
      <c r="O60" s="14">
        <f>N60*VLOOKUP('Données projet'!$B$9,Paramètres!$A$1:$I$89,3,0)*VLOOKUP('Données projet'!$B$9,Paramètres!$A$1:$I$89,5,0)</f>
        <v>352.95259999999979</v>
      </c>
      <c r="P60" s="14">
        <f t="shared" si="33"/>
        <v>82.170184676559657</v>
      </c>
      <c r="Q60" s="22">
        <f t="shared" si="53"/>
        <v>757.83884997834093</v>
      </c>
      <c r="R60" s="62">
        <f t="shared" si="0"/>
        <v>1051.1721833116742</v>
      </c>
      <c r="S60" s="62">
        <f ca="1">AVERAGE(OFFSET($R$3,0,0,'Données projet'!$E$9+1,1))-AVERAGE(OFFSET($H$3,0,0,'Données projet'!$E$9+1,1))</f>
        <v>382.94446752777549</v>
      </c>
      <c r="T60" s="62">
        <f t="shared" si="34"/>
        <v>476.29465646955543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4.9785354245439022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2.655854090744425E-3</v>
      </c>
      <c r="AC60" s="24">
        <f t="shared" si="3"/>
        <v>4.9811912786346468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31.571428571428573</v>
      </c>
      <c r="AI60" s="14">
        <f>IF('Données projet'!$A$62&gt;35,AI59+AH60-AQ59,IF(A60&lt;'Données projet'!$A$62,$AF$205^A60,IF(A60='Données projet'!$A$62,'Données projet'!$B$62,AI59+AH60-AQ59)))</f>
        <v>700.857142857143</v>
      </c>
      <c r="AJ60" s="14">
        <f>AI60*VLOOKUP('Données projet'!$B$10,Paramètres!$A$1:$I$89,3,0)*VLOOKUP('Données projet'!$B$10,Paramètres!$A$1:$I$89,5,0)</f>
        <v>346.22342857142866</v>
      </c>
      <c r="AK60" s="14">
        <f t="shared" si="35"/>
        <v>80.784385640015543</v>
      </c>
      <c r="AL60" s="22">
        <f t="shared" si="4"/>
        <v>743.70527641826527</v>
      </c>
      <c r="AM60" s="62">
        <f t="shared" si="5"/>
        <v>1037.0386097515986</v>
      </c>
      <c r="AN60" s="62">
        <f ca="1">AVERAGE(OFFSET($AM$3,0,0,'Données projet'!$E$10+1,1))-AVERAGE(OFFSET($H$3,0,0,'Données projet'!$E$10+1,1))</f>
        <v>473.90982075211258</v>
      </c>
      <c r="AO60" s="62">
        <f t="shared" si="36"/>
        <v>127.17661287657279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3.6951570730294954</v>
      </c>
      <c r="AV60" s="23">
        <f>EXP(-LN(2)/25)*AV59+(1-EXP(-LN(2)/25))/(LN(2)/25)*Calculateur!AQ60*Calculateur!AS60*VLOOKUP('Données projet'!$B$10,Paramètres!$A$1:$I$89,3,0)*0.475*44/12</f>
        <v>0.63682999269965412</v>
      </c>
      <c r="AW60" s="23">
        <f>EXP(-LN(2)/2)*AW59+(1-EXP(-LN(2)/2))/(LN(2)/2)*AQ60*AT60*VLOOKUP('Données projet'!$B$10,Paramètres!$A$1:$I$89,3,0)*0.475*44/12</f>
        <v>1.8104595012677219E-4</v>
      </c>
      <c r="AX60" s="23">
        <f t="shared" si="6"/>
        <v>4.3321681116792767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2">
        <f t="shared" si="32"/>
        <v>8.7269086400851155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70">
        <f t="shared" si="1"/>
        <v>357.12171588148163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8.1999999999999993</v>
      </c>
      <c r="N61" s="14">
        <f>IF('Données projet'!$A$36&gt;35,N60+M61-V60,IF(A61&lt;'Données projet'!$A$36,$K$205^A61,IF(A61='Données projet'!$A$36,'Données projet'!$B$36,N60+M61-V60)))</f>
        <v>639.59999999999968</v>
      </c>
      <c r="O61" s="14">
        <f>N61*VLOOKUP('Données projet'!$B$9,Paramètres!$A$1:$I$89,3,0)*VLOOKUP('Données projet'!$B$9,Paramètres!$A$1:$I$89,5,0)</f>
        <v>357.53639999999984</v>
      </c>
      <c r="P61" s="14">
        <f t="shared" si="33"/>
        <v>83.11240493753391</v>
      </c>
      <c r="Q61" s="22">
        <f t="shared" si="53"/>
        <v>767.46333526620458</v>
      </c>
      <c r="R61" s="62">
        <f t="shared" si="0"/>
        <v>1060.796668599538</v>
      </c>
      <c r="S61" s="62">
        <f ca="1">AVERAGE(OFFSET($R$3,0,0,'Données projet'!$E$9+1,1))-AVERAGE(OFFSET($H$3,0,0,'Données projet'!$E$9+1,1))</f>
        <v>382.94446752777549</v>
      </c>
      <c r="T61" s="62">
        <f t="shared" si="34"/>
        <v>476.29465646955543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4.880909381475365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1.8779724374074153E-3</v>
      </c>
      <c r="AC61" s="24">
        <f t="shared" si="3"/>
        <v>4.8827873539127724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31.571428571428573</v>
      </c>
      <c r="AI61" s="14">
        <f>IF('Données projet'!$A$62&gt;35,AI60+AH61-AQ60,IF(A61&lt;'Données projet'!$A$62,$AF$205^A61,IF(A61='Données projet'!$A$62,'Données projet'!$B$62,AI60+AH61-AQ60)))</f>
        <v>732.42857142857156</v>
      </c>
      <c r="AJ61" s="14">
        <f>AI61*VLOOKUP('Données projet'!$B$10,Paramètres!$A$1:$I$89,3,0)*VLOOKUP('Données projet'!$B$10,Paramètres!$A$1:$I$89,5,0)</f>
        <v>361.81971428571433</v>
      </c>
      <c r="AK61" s="14">
        <f t="shared" si="35"/>
        <v>83.991588711400013</v>
      </c>
      <c r="AL61" s="22">
        <f t="shared" si="4"/>
        <v>776.45468605330746</v>
      </c>
      <c r="AM61" s="62">
        <f t="shared" si="5"/>
        <v>1069.7880193866408</v>
      </c>
      <c r="AN61" s="62">
        <f ca="1">AVERAGE(OFFSET($AM$3,0,0,'Données projet'!$E$10+1,1))-AVERAGE(OFFSET($H$3,0,0,'Données projet'!$E$10+1,1))</f>
        <v>473.90982075211258</v>
      </c>
      <c r="AO61" s="62">
        <f t="shared" si="36"/>
        <v>127.17661287657279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3.6226972966506548</v>
      </c>
      <c r="AV61" s="23">
        <f>EXP(-LN(2)/25)*AV60+(1-EXP(-LN(2)/25))/(LN(2)/25)*Calculateur!AQ61*Calculateur!AS61*VLOOKUP('Données projet'!$B$10,Paramètres!$A$1:$I$89,3,0)*0.475*44/12</f>
        <v>0.61941584305984831</v>
      </c>
      <c r="AW61" s="23">
        <f>EXP(-LN(2)/2)*AW60+(1-EXP(-LN(2)/2))/(LN(2)/2)*AQ61*AT61*VLOOKUP('Données projet'!$B$10,Paramètres!$A$1:$I$89,3,0)*0.475*44/12</f>
        <v>1.280188190410021E-4</v>
      </c>
      <c r="AX61" s="23">
        <f t="shared" si="6"/>
        <v>4.2422411585295441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2">
        <f t="shared" si="32"/>
        <v>8.8597260191462528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70">
        <f t="shared" si="1"/>
        <v>358.19078115001309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8.1999999999999993</v>
      </c>
      <c r="N62" s="14">
        <f>IF('Données projet'!$A$36&gt;35,N61+M62-V61,IF(A62&lt;'Données projet'!$A$36,$K$205^A62,IF(A62='Données projet'!$A$36,'Données projet'!$B$36,N61+M62-V61)))</f>
        <v>647.79999999999973</v>
      </c>
      <c r="O62" s="14">
        <f>N62*VLOOKUP('Données projet'!$B$9,Paramètres!$A$1:$I$89,3,0)*VLOOKUP('Données projet'!$B$9,Paramètres!$A$1:$I$89,5,0)</f>
        <v>362.12019999999984</v>
      </c>
      <c r="P62" s="14">
        <f t="shared" si="33"/>
        <v>84.053220123894675</v>
      </c>
      <c r="Q62" s="22">
        <f t="shared" si="53"/>
        <v>777.08537338244957</v>
      </c>
      <c r="R62" s="62">
        <f t="shared" si="0"/>
        <v>1070.4187067157829</v>
      </c>
      <c r="S62" s="62">
        <f ca="1">AVERAGE(OFFSET($R$3,0,0,'Données projet'!$E$9+1,1))-AVERAGE(OFFSET($H$3,0,0,'Données projet'!$E$9+1,1))</f>
        <v>382.94446752777549</v>
      </c>
      <c r="T62" s="62">
        <f t="shared" si="34"/>
        <v>476.29465646955543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4.7851977255653955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1.3279270453722125E-3</v>
      </c>
      <c r="AC62" s="24">
        <f t="shared" si="3"/>
        <v>4.7865256526107673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>
        <f>VLOOKUP(A62,'Données projet'!$A$61:$I$81,2,0)</f>
        <v>764</v>
      </c>
      <c r="AG62" s="13">
        <f>VLOOKUP(A62,'Données projet'!$A$61:$I$81,9,0)</f>
        <v>31.571428571428573</v>
      </c>
      <c r="AH62" s="13">
        <f t="array" ref="AH62">INDEX(AG:AG,MIN(IF(ISNUMBER(AG62:AG258),ROW(AG62:AG258),"")))</f>
        <v>31.571428571428573</v>
      </c>
      <c r="AI62" s="14">
        <f>IF('Données projet'!$A$62&gt;35,AI61+AH62-AQ61,IF(A62&lt;'Données projet'!$A$62,$AF$205^A62,IF(A62='Données projet'!$A$62,'Données projet'!$B$62,AI61+AH62-AQ61)))</f>
        <v>764.00000000000011</v>
      </c>
      <c r="AJ62" s="14">
        <f>AI62*VLOOKUP('Données projet'!$B$10,Paramètres!$A$1:$I$89,3,0)*VLOOKUP('Données projet'!$B$10,Paramètres!$A$1:$I$89,5,0)</f>
        <v>377.41600000000005</v>
      </c>
      <c r="AK62" s="14">
        <f t="shared" si="35"/>
        <v>87.182734894833828</v>
      </c>
      <c r="AL62" s="22">
        <f t="shared" si="4"/>
        <v>809.17612994183571</v>
      </c>
      <c r="AM62" s="62">
        <f t="shared" si="5"/>
        <v>1102.5094632751691</v>
      </c>
      <c r="AN62" s="62">
        <f ca="1">AVERAGE(OFFSET($AM$3,0,0,'Données projet'!$E$10+1,1))-AVERAGE(OFFSET($H$3,0,0,'Données projet'!$E$10+1,1))</f>
        <v>473.90982075211258</v>
      </c>
      <c r="AO62" s="62">
        <f t="shared" si="36"/>
        <v>127.17661287657279</v>
      </c>
      <c r="AP62" s="16">
        <f>IF(ISNA(VLOOKUP(A62,'Données projet'!$A$61:$I$81,3,0)),0,VLOOKUP(A62,'Données projet'!$A$61:$I$81,3,0))</f>
        <v>6</v>
      </c>
      <c r="AQ62" s="16">
        <f>IF(ISNA(VLOOKUP(A62,'Données projet'!$A$61:$I$81,4,0)),0,VLOOKUP(A62,'Données projet'!$A$61:$I$81,4,0))</f>
        <v>100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3.5516584122905037</v>
      </c>
      <c r="AV62" s="23">
        <f>EXP(-LN(2)/25)*AV61+(1-EXP(-LN(2)/25))/(LN(2)/25)*Calculateur!AQ62*Calculateur!AS62*VLOOKUP('Données projet'!$B$10,Paramètres!$A$1:$I$89,3,0)*0.475*44/12</f>
        <v>0.60247788425771331</v>
      </c>
      <c r="AW62" s="23">
        <f>EXP(-LN(2)/2)*AW61+(1-EXP(-LN(2)/2))/(LN(2)/2)*AQ62*AT62*VLOOKUP('Données projet'!$B$10,Paramètres!$A$1:$I$89,3,0)*0.475*44/12</f>
        <v>9.0522975063386097E-5</v>
      </c>
      <c r="AX62" s="23">
        <f t="shared" si="6"/>
        <v>4.1542268195232808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2">
        <f t="shared" si="32"/>
        <v>8.9922816103350858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70">
        <f t="shared" si="1"/>
        <v>359.25939047133363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656</v>
      </c>
      <c r="L63" s="13">
        <f>VLOOKUP(A63,'Données projet'!$A$35:$I$55,9,0)</f>
        <v>8.1999999999999993</v>
      </c>
      <c r="M63" s="13">
        <f t="array" ref="M63">INDEX(L:L,MIN(IF(ISNUMBER(L63:L259),ROW(L63:L259),"")))</f>
        <v>8.1999999999999993</v>
      </c>
      <c r="N63" s="14">
        <f>IF('Données projet'!$A$36&gt;35,N62+M63-V62,IF(A63&lt;'Données projet'!$A$36,$K$205^A63,IF(A63='Données projet'!$A$36,'Données projet'!$B$36,N62+M63-V62)))</f>
        <v>655.99999999999977</v>
      </c>
      <c r="O63" s="14">
        <f>N63*VLOOKUP('Données projet'!$B$9,Paramètres!$A$1:$I$89,3,0)*VLOOKUP('Données projet'!$B$9,Paramètres!$A$1:$I$89,5,0)</f>
        <v>366.70399999999984</v>
      </c>
      <c r="P63" s="14">
        <f t="shared" si="33"/>
        <v>84.992650078103338</v>
      </c>
      <c r="Q63" s="22">
        <f t="shared" si="53"/>
        <v>786.70499888602956</v>
      </c>
      <c r="R63" s="62">
        <f t="shared" si="0"/>
        <v>1080.0383322193629</v>
      </c>
      <c r="S63" s="62">
        <f ca="1">AVERAGE(OFFSET($R$3,0,0,'Données projet'!$E$9+1,1))-AVERAGE(OFFSET($H$3,0,0,'Données projet'!$E$9+1,1))</f>
        <v>382.94446752777549</v>
      </c>
      <c r="T63" s="62">
        <f t="shared" si="34"/>
        <v>476.29465646955543</v>
      </c>
      <c r="U63" s="16">
        <f>IF(ISNA(VLOOKUP(A63,'Données projet'!$A$35:$I$55,3,0)),0,VLOOKUP(A63,'Données projet'!$A$35:$I$55,3,0))</f>
        <v>9</v>
      </c>
      <c r="V63" s="16">
        <f>IF(ISNA(VLOOKUP(A63,'Données projet'!$A$35:$I$55,4,0)),0,VLOOKUP(A63,'Données projet'!$A$35:$I$55,4,0))</f>
        <v>656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4.6913629168494744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9.3898621870370765E-4</v>
      </c>
      <c r="AC63" s="24">
        <f t="shared" si="3"/>
        <v>4.6923019030681781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27</v>
      </c>
      <c r="AI63" s="14">
        <f>IF('Données projet'!$A$62&gt;35,AI62+AH63-AQ62,IF(A63&lt;'Données projet'!$A$62,$AF$205^A63,IF(A63='Données projet'!$A$62,'Données projet'!$B$62,AI62+AH63-AQ62)))</f>
        <v>691.00000000000011</v>
      </c>
      <c r="AJ63" s="14">
        <f>AI63*VLOOKUP('Données projet'!$B$10,Paramètres!$A$1:$I$89,3,0)*VLOOKUP('Données projet'!$B$10,Paramètres!$A$1:$I$89,5,0)</f>
        <v>341.35400000000004</v>
      </c>
      <c r="AK63" s="14">
        <f t="shared" si="35"/>
        <v>79.779626653010212</v>
      </c>
      <c r="AL63" s="22">
        <f t="shared" si="4"/>
        <v>733.47439975399277</v>
      </c>
      <c r="AM63" s="62">
        <f t="shared" si="5"/>
        <v>1026.8077330873261</v>
      </c>
      <c r="AN63" s="62">
        <f ca="1">AVERAGE(OFFSET($AM$3,0,0,'Données projet'!$E$10+1,1))-AVERAGE(OFFSET($H$3,0,0,'Données projet'!$E$10+1,1))</f>
        <v>473.90982075211258</v>
      </c>
      <c r="AO63" s="62">
        <f t="shared" si="36"/>
        <v>127.17661287657279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3.4820125571232143</v>
      </c>
      <c r="AV63" s="23">
        <f>EXP(-LN(2)/25)*AV62+(1-EXP(-LN(2)/25))/(LN(2)/25)*Calculateur!AQ63*Calculateur!AS63*VLOOKUP('Données projet'!$B$10,Paramètres!$A$1:$I$89,3,0)*0.475*44/12</f>
        <v>0.58600309482975121</v>
      </c>
      <c r="AW63" s="23">
        <f>EXP(-LN(2)/2)*AW62+(1-EXP(-LN(2)/2))/(LN(2)/2)*AQ63*AT63*VLOOKUP('Données projet'!$B$10,Paramètres!$A$1:$I$89,3,0)*0.475*44/12</f>
        <v>6.400940952050105E-5</v>
      </c>
      <c r="AX63" s="23">
        <f t="shared" si="6"/>
        <v>4.0680796613624857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2">
        <f t="shared" si="32"/>
        <v>9.1245802803834923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70">
        <f t="shared" si="1"/>
        <v>360.32755232166795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-2.2737367544323206E-13</v>
      </c>
      <c r="O64" s="14">
        <f>N64*VLOOKUP('Données projet'!$B$9,Paramètres!$A$1:$I$89,3,0)*VLOOKUP('Données projet'!$B$9,Paramètres!$A$1:$I$89,5,0)</f>
        <v>-1.2710188457276673E-13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382.94446752777549</v>
      </c>
      <c r="T64" s="62">
        <f t="shared" si="34"/>
        <v>476.29465646955543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4.5993681514988909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6.6396352268610626E-4</v>
      </c>
      <c r="AC64" s="24">
        <f t="shared" si="3"/>
        <v>4.6000321150215768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27</v>
      </c>
      <c r="AI64" s="14">
        <f>IF('Données projet'!$A$62&gt;35,AI63+AH64-AQ63,IF(A64&lt;'Données projet'!$A$62,$AF$205^A64,IF(A64='Données projet'!$A$62,'Données projet'!$B$62,AI63+AH64-AQ63)))</f>
        <v>718.00000000000011</v>
      </c>
      <c r="AJ64" s="14">
        <f>AI64*VLOOKUP('Données projet'!$B$10,Paramètres!$A$1:$I$89,3,0)*VLOOKUP('Données projet'!$B$10,Paramètres!$A$1:$I$89,5,0)</f>
        <v>354.69200000000006</v>
      </c>
      <c r="AK64" s="14">
        <f t="shared" si="35"/>
        <v>82.527892712902968</v>
      </c>
      <c r="AL64" s="22">
        <f t="shared" si="4"/>
        <v>761.49131314163935</v>
      </c>
      <c r="AM64" s="62">
        <f t="shared" si="5"/>
        <v>1054.8246464749727</v>
      </c>
      <c r="AN64" s="62">
        <f ca="1">AVERAGE(OFFSET($AM$3,0,0,'Données projet'!$E$10+1,1))-AVERAGE(OFFSET($H$3,0,0,'Données projet'!$E$10+1,1))</f>
        <v>473.90982075211258</v>
      </c>
      <c r="AO64" s="62">
        <f t="shared" si="36"/>
        <v>127.17661287657279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3.4137324146959784</v>
      </c>
      <c r="AV64" s="23">
        <f>EXP(-LN(2)/25)*AV63+(1-EXP(-LN(2)/25))/(LN(2)/25)*Calculateur!AQ64*Calculateur!AS64*VLOOKUP('Données projet'!$B$10,Paramètres!$A$1:$I$89,3,0)*0.475*44/12</f>
        <v>0.56997880938506829</v>
      </c>
      <c r="AW64" s="23">
        <f>EXP(-LN(2)/2)*AW63+(1-EXP(-LN(2)/2))/(LN(2)/2)*AQ64*AT64*VLOOKUP('Données projet'!$B$10,Paramètres!$A$1:$I$89,3,0)*0.475*44/12</f>
        <v>4.5261487531693048E-5</v>
      </c>
      <c r="AX64" s="23">
        <f t="shared" si="6"/>
        <v>3.9837564855685783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2">
        <f t="shared" si="32"/>
        <v>9.2566267273101186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70">
        <f t="shared" si="1"/>
        <v>361.39527488339854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-2.2737367544323206E-13</v>
      </c>
      <c r="O65" s="14">
        <f>N65*VLOOKUP('Données projet'!$B$9,Paramètres!$A$1:$I$89,3,0)*VLOOKUP('Données projet'!$B$9,Paramètres!$A$1:$I$89,5,0)</f>
        <v>-1.2710188457276673E-13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382.94446752777549</v>
      </c>
      <c r="T65" s="62">
        <f t="shared" si="34"/>
        <v>476.29465646955543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4.5091773473855659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4.6949310935185382E-4</v>
      </c>
      <c r="AC65" s="24">
        <f t="shared" si="3"/>
        <v>4.5096468404949182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27</v>
      </c>
      <c r="AI65" s="14">
        <f>IF('Données projet'!$A$62&gt;35,AI64+AH65-AQ64,IF(A65&lt;'Données projet'!$A$62,$AF$205^A65,IF(A65='Données projet'!$A$62,'Données projet'!$B$62,AI64+AH65-AQ64)))</f>
        <v>745.00000000000011</v>
      </c>
      <c r="AJ65" s="14">
        <f>AI65*VLOOKUP('Données projet'!$B$10,Paramètres!$A$1:$I$89,3,0)*VLOOKUP('Données projet'!$B$10,Paramètres!$A$1:$I$89,5,0)</f>
        <v>368.03000000000003</v>
      </c>
      <c r="AK65" s="14">
        <f t="shared" si="35"/>
        <v>85.264152476416115</v>
      </c>
      <c r="AL65" s="22">
        <f t="shared" si="4"/>
        <v>789.48731556309133</v>
      </c>
      <c r="AM65" s="62">
        <f t="shared" si="5"/>
        <v>1082.8206488964247</v>
      </c>
      <c r="AN65" s="62">
        <f ca="1">AVERAGE(OFFSET($AM$3,0,0,'Données projet'!$E$10+1,1))-AVERAGE(OFFSET($H$3,0,0,'Données projet'!$E$10+1,1))</f>
        <v>473.90982075211258</v>
      </c>
      <c r="AO65" s="62">
        <f t="shared" si="36"/>
        <v>127.17661287657279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3.3467912042149659</v>
      </c>
      <c r="AV65" s="23">
        <f>EXP(-LN(2)/25)*AV64+(1-EXP(-LN(2)/25))/(LN(2)/25)*Calculateur!AQ65*Calculateur!AS65*VLOOKUP('Données projet'!$B$10,Paramètres!$A$1:$I$89,3,0)*0.475*44/12</f>
        <v>0.55439270886855074</v>
      </c>
      <c r="AW65" s="23">
        <f>EXP(-LN(2)/2)*AW64+(1-EXP(-LN(2)/2))/(LN(2)/2)*AQ65*AT65*VLOOKUP('Données projet'!$B$10,Paramètres!$A$1:$I$89,3,0)*0.475*44/12</f>
        <v>3.2004704760250525E-5</v>
      </c>
      <c r="AX65" s="23">
        <f t="shared" si="6"/>
        <v>3.901215917788277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2">
        <f t="shared" si="32"/>
        <v>9.3884254888941534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70">
        <f t="shared" si="1"/>
        <v>362.46256605982404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-2.2737367544323206E-13</v>
      </c>
      <c r="O66" s="14">
        <f>N66*VLOOKUP('Données projet'!$B$9,Paramètres!$A$1:$I$89,3,0)*VLOOKUP('Données projet'!$B$9,Paramètres!$A$1:$I$89,5,0)</f>
        <v>-1.2710188457276673E-13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382.94446752777549</v>
      </c>
      <c r="T66" s="62">
        <f t="shared" si="34"/>
        <v>476.29465646955543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4.4207551299299448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3.3198176134305313E-4</v>
      </c>
      <c r="AC66" s="24">
        <f t="shared" si="3"/>
        <v>4.4210871116912882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27</v>
      </c>
      <c r="AI66" s="14">
        <f>IF('Données projet'!$A$62&gt;35,AI65+AH66-AQ65,IF(A66&lt;'Données projet'!$A$62,$AF$205^A66,IF(A66='Données projet'!$A$62,'Données projet'!$B$62,AI65+AH66-AQ65)))</f>
        <v>772.00000000000011</v>
      </c>
      <c r="AJ66" s="14">
        <f>AI66*VLOOKUP('Données projet'!$B$10,Paramètres!$A$1:$I$89,3,0)*VLOOKUP('Données projet'!$B$10,Paramètres!$A$1:$I$89,5,0)</f>
        <v>381.36800000000011</v>
      </c>
      <c r="AK66" s="14">
        <f t="shared" si="35"/>
        <v>87.988890912666506</v>
      </c>
      <c r="AL66" s="22">
        <f t="shared" si="4"/>
        <v>817.46325167289433</v>
      </c>
      <c r="AM66" s="62">
        <f t="shared" si="5"/>
        <v>1110.7965850062276</v>
      </c>
      <c r="AN66" s="62">
        <f ca="1">AVERAGE(OFFSET($AM$3,0,0,'Données projet'!$E$10+1,1))-AVERAGE(OFFSET($H$3,0,0,'Données projet'!$E$10+1,1))</f>
        <v>473.90982075211258</v>
      </c>
      <c r="AO66" s="62">
        <f t="shared" si="36"/>
        <v>127.17661287657279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3.2811626700413794</v>
      </c>
      <c r="AV66" s="23">
        <f>EXP(-LN(2)/25)*AV65+(1-EXP(-LN(2)/25))/(LN(2)/25)*Calculateur!AQ66*Calculateur!AS66*VLOOKUP('Données projet'!$B$10,Paramètres!$A$1:$I$89,3,0)*0.475*44/12</f>
        <v>0.53923281109029475</v>
      </c>
      <c r="AW66" s="23">
        <f>EXP(-LN(2)/2)*AW65+(1-EXP(-LN(2)/2))/(LN(2)/2)*AQ66*AT66*VLOOKUP('Données projet'!$B$10,Paramètres!$A$1:$I$89,3,0)*0.475*44/12</f>
        <v>2.2630743765846524E-5</v>
      </c>
      <c r="AX66" s="23">
        <f t="shared" si="6"/>
        <v>3.8204181118754397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2">
        <f t="shared" si="32"/>
        <v>9.5199809505958548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70">
        <f t="shared" si="1"/>
        <v>363.52943348895451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-2.2737367544323206E-13</v>
      </c>
      <c r="O67" s="14">
        <f>N67*VLOOKUP('Données projet'!$B$9,Paramètres!$A$1:$I$89,3,0)*VLOOKUP('Données projet'!$B$9,Paramètres!$A$1:$I$89,5,0)</f>
        <v>-1.2710188457276673E-13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382.94446752777549</v>
      </c>
      <c r="T67" s="62">
        <f t="shared" si="34"/>
        <v>476.29465646955543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4.3340668182264013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2.3474655467592691E-4</v>
      </c>
      <c r="AC67" s="24">
        <f t="shared" si="3"/>
        <v>4.334301564781077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27</v>
      </c>
      <c r="AI67" s="14">
        <f>IF('Données projet'!$A$62&gt;35,AI66+AH67-AQ66,IF(A67&lt;'Données projet'!$A$62,$AF$205^A67,IF(A67='Données projet'!$A$62,'Données projet'!$B$62,AI66+AH67-AQ66)))</f>
        <v>799.00000000000011</v>
      </c>
      <c r="AJ67" s="14">
        <f>AI67*VLOOKUP('Données projet'!$B$10,Paramètres!$A$1:$I$89,3,0)*VLOOKUP('Données projet'!$B$10,Paramètres!$A$1:$I$89,5,0)</f>
        <v>394.70600000000007</v>
      </c>
      <c r="AK67" s="14">
        <f t="shared" si="35"/>
        <v>90.702557144468273</v>
      </c>
      <c r="AL67" s="22">
        <f t="shared" si="4"/>
        <v>845.41990369328232</v>
      </c>
      <c r="AM67" s="62">
        <f t="shared" si="5"/>
        <v>1138.7532370266156</v>
      </c>
      <c r="AN67" s="62">
        <f ca="1">AVERAGE(OFFSET($AM$3,0,0,'Données projet'!$E$10+1,1))-AVERAGE(OFFSET($H$3,0,0,'Données projet'!$E$10+1,1))</f>
        <v>473.90982075211258</v>
      </c>
      <c r="AO67" s="62">
        <f t="shared" si="36"/>
        <v>127.17661287657279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3.2168210713934835</v>
      </c>
      <c r="AV67" s="23">
        <f>EXP(-LN(2)/25)*AV66+(1-EXP(-LN(2)/25))/(LN(2)/25)*Calculateur!AQ67*Calculateur!AS67*VLOOKUP('Données projet'!$B$10,Paramètres!$A$1:$I$89,3,0)*0.475*44/12</f>
        <v>0.52448746151400949</v>
      </c>
      <c r="AW67" s="23">
        <f>EXP(-LN(2)/2)*AW66+(1-EXP(-LN(2)/2))/(LN(2)/2)*AQ67*AT67*VLOOKUP('Données projet'!$B$10,Paramètres!$A$1:$I$89,3,0)*0.475*44/12</f>
        <v>1.6002352380125263E-5</v>
      </c>
      <c r="AX67" s="23">
        <f t="shared" si="6"/>
        <v>3.741324535259873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2">
        <f t="shared" si="32"/>
        <v>9.6512973529679762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70">
        <f t="shared" ref="H68:H131" si="56">(B68+E68+F68)*44/12+(C68+D68)*0.475*44/12</f>
        <v>364.59588455641932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-2.2737367544323206E-13</v>
      </c>
      <c r="O68" s="14">
        <f>N68*VLOOKUP('Données projet'!$B$9,Paramètres!$A$1:$I$89,3,0)*VLOOKUP('Données projet'!$B$9,Paramètres!$A$1:$I$89,5,0)</f>
        <v>-1.2710188457276673E-13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382.94446752777549</v>
      </c>
      <c r="T68" s="62">
        <f t="shared" si="34"/>
        <v>476.29465646955543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4.2490784114407152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1.6599088067152656E-4</v>
      </c>
      <c r="AC68" s="24">
        <f t="shared" ref="AC68:AC131" si="57">SUM(Z68:AB68)</f>
        <v>4.2492444023213869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27</v>
      </c>
      <c r="AI68" s="14">
        <f>IF('Données projet'!$A$62&gt;35,AI67+AH68-AQ67,IF(A68&lt;'Données projet'!$A$62,$AF$205^A68,IF(A68='Données projet'!$A$62,'Données projet'!$B$62,AI67+AH68-AQ67)))</f>
        <v>826.00000000000011</v>
      </c>
      <c r="AJ68" s="14">
        <f>AI68*VLOOKUP('Données projet'!$B$10,Paramètres!$A$1:$I$89,3,0)*VLOOKUP('Données projet'!$B$10,Paramètres!$A$1:$I$89,5,0)</f>
        <v>408.0440000000001</v>
      </c>
      <c r="AK68" s="14">
        <f t="shared" si="35"/>
        <v>93.405568218832556</v>
      </c>
      <c r="AL68" s="22">
        <f t="shared" ref="AL68:AL131" si="58">(AJ68+AK68)*0.475*44/12</f>
        <v>873.35799798113351</v>
      </c>
      <c r="AM68" s="62">
        <f t="shared" ref="AM68:AM131" si="59">AL68+(AD68+AE68)*44/12</f>
        <v>1166.6913313144669</v>
      </c>
      <c r="AN68" s="62">
        <f ca="1">AVERAGE(OFFSET($AM$3,0,0,'Données projet'!$E$10+1,1))-AVERAGE(OFFSET($H$3,0,0,'Données projet'!$E$10+1,1))</f>
        <v>473.90982075211258</v>
      </c>
      <c r="AO68" s="62">
        <f t="shared" si="36"/>
        <v>127.17661287657279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3.1537411722505726</v>
      </c>
      <c r="AV68" s="23">
        <f>EXP(-LN(2)/25)*AV67+(1-EXP(-LN(2)/25))/(LN(2)/25)*Calculateur!AQ68*Calculateur!AS68*VLOOKUP('Données projet'!$B$10,Paramètres!$A$1:$I$89,3,0)*0.475*44/12</f>
        <v>0.51014532429731207</v>
      </c>
      <c r="AW68" s="23">
        <f>EXP(-LN(2)/2)*AW67+(1-EXP(-LN(2)/2))/(LN(2)/2)*AQ68*AT68*VLOOKUP('Données projet'!$B$10,Paramètres!$A$1:$I$89,3,0)*0.475*44/12</f>
        <v>1.1315371882923262E-5</v>
      </c>
      <c r="AX68" s="23">
        <f t="shared" ref="AX68:AX131" si="60">SUM(AU68:AW68)</f>
        <v>3.6638978119197678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2">
        <f t="shared" ref="D69:D132" si="86">IFERROR(EXP(-1.0587+0.8836*LN(C69)+0.284),0)</f>
        <v>9.7823787985981756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70">
        <f t="shared" si="56"/>
        <v>365.66192640755855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-2.2737367544323206E-13</v>
      </c>
      <c r="O69" s="14">
        <f>N69*VLOOKUP('Données projet'!$B$9,Paramètres!$A$1:$I$89,3,0)*VLOOKUP('Données projet'!$B$9,Paramètres!$A$1:$I$89,5,0)</f>
        <v>-1.2710188457276673E-13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382.94446752777549</v>
      </c>
      <c r="T69" s="62">
        <f t="shared" ref="T69:T132" si="88">$T$3</f>
        <v>476.29465646955543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4.165756575474286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1.1737327733796346E-4</v>
      </c>
      <c r="AC69" s="24">
        <f t="shared" si="57"/>
        <v>4.1658739487516243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>
        <f>VLOOKUP(A69,'Données projet'!$A$61:$I$81,2,0)</f>
        <v>853</v>
      </c>
      <c r="AG69" s="13">
        <f>VLOOKUP(A69,'Données projet'!$A$61:$I$81,9,0)</f>
        <v>27</v>
      </c>
      <c r="AH69" s="13">
        <f t="array" ref="AH69">INDEX(AG:AG,MIN(IF(ISNUMBER(AG69:AG265),ROW(AG69:AG265),"")))</f>
        <v>27</v>
      </c>
      <c r="AI69" s="14">
        <f>IF('Données projet'!$A$62&gt;35,AI68+AH69-AQ68,IF(A69&lt;'Données projet'!$A$62,$AF$205^A69,IF(A69='Données projet'!$A$62,'Données projet'!$B$62,AI68+AH69-AQ68)))</f>
        <v>853.00000000000011</v>
      </c>
      <c r="AJ69" s="14">
        <f>AI69*VLOOKUP('Données projet'!$B$10,Paramètres!$A$1:$I$89,3,0)*VLOOKUP('Données projet'!$B$10,Paramètres!$A$1:$I$89,5,0)</f>
        <v>421.38200000000006</v>
      </c>
      <c r="AK69" s="14">
        <f t="shared" ref="AK69:AK132" si="89">EXP(-1.0587+0.8836*LN(AJ69)+0.284)</f>
        <v>96.098312370624356</v>
      </c>
      <c r="AL69" s="22">
        <f t="shared" si="58"/>
        <v>901.27821071217079</v>
      </c>
      <c r="AM69" s="62">
        <f t="shared" si="59"/>
        <v>1194.6115440455042</v>
      </c>
      <c r="AN69" s="62">
        <f ca="1">AVERAGE(OFFSET($AM$3,0,0,'Données projet'!$E$10+1,1))-AVERAGE(OFFSET($H$3,0,0,'Données projet'!$E$10+1,1))</f>
        <v>473.90982075211258</v>
      </c>
      <c r="AO69" s="62">
        <f t="shared" ref="AO69:AO132" si="90">$AO$3</f>
        <v>127.17661287657279</v>
      </c>
      <c r="AP69" s="16">
        <f>IF(ISNA(VLOOKUP(A69,'Données projet'!$A$61:$I$81,3,0)),0,VLOOKUP(A69,'Données projet'!$A$61:$I$81,3,0))</f>
        <v>7</v>
      </c>
      <c r="AQ69" s="16">
        <f>IF(ISNA(VLOOKUP(A69,'Données projet'!$A$61:$I$81,4,0)),0,VLOOKUP(A69,'Données projet'!$A$61:$I$81,4,0))</f>
        <v>100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3.0918982314549148</v>
      </c>
      <c r="AV69" s="23">
        <f>EXP(-LN(2)/25)*AV68+(1-EXP(-LN(2)/25))/(LN(2)/25)*Calculateur!AQ69*Calculateur!AS69*VLOOKUP('Données projet'!$B$10,Paramètres!$A$1:$I$89,3,0)*0.475*44/12</f>
        <v>0.49619537357702542</v>
      </c>
      <c r="AW69" s="23">
        <f>EXP(-LN(2)/2)*AW68+(1-EXP(-LN(2)/2))/(LN(2)/2)*AQ69*AT69*VLOOKUP('Données projet'!$B$10,Paramètres!$A$1:$I$89,3,0)*0.475*44/12</f>
        <v>8.0011761900626313E-6</v>
      </c>
      <c r="AX69" s="23">
        <f t="shared" si="60"/>
        <v>3.5881016062081303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2">
        <f t="shared" si="86"/>
        <v>9.9132292586187312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70">
        <f t="shared" si="56"/>
        <v>366.72756595876103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-2.2737367544323206E-13</v>
      </c>
      <c r="O70" s="14">
        <f>N70*VLOOKUP('Données projet'!$B$9,Paramètres!$A$1:$I$89,3,0)*VLOOKUP('Données projet'!$B$9,Paramètres!$A$1:$I$89,5,0)</f>
        <v>-1.2710188457276673E-13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382.94446752777549</v>
      </c>
      <c r="T70" s="62">
        <f t="shared" si="88"/>
        <v>476.29465646955543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4.084068629889857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8.2995440335763282E-5</v>
      </c>
      <c r="AC70" s="24">
        <f t="shared" si="57"/>
        <v>4.0841516253301924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22.857142857142858</v>
      </c>
      <c r="AI70" s="14">
        <f>IF('Données projet'!$A$62&gt;35,AI69+AH70-AQ69,IF(A70&lt;'Données projet'!$A$62,$AF$205^A70,IF(A70='Données projet'!$A$62,'Données projet'!$B$62,AI69+AH70-AQ69)))</f>
        <v>775.857142857143</v>
      </c>
      <c r="AJ70" s="14">
        <f>AI70*VLOOKUP('Données projet'!$B$10,Paramètres!$A$1:$I$89,3,0)*VLOOKUP('Données projet'!$B$10,Paramètres!$A$1:$I$89,5,0)</f>
        <v>383.27342857142867</v>
      </c>
      <c r="AK70" s="14">
        <f t="shared" si="89"/>
        <v>88.377225349067572</v>
      </c>
      <c r="AL70" s="22">
        <f t="shared" si="58"/>
        <v>821.45822224486426</v>
      </c>
      <c r="AM70" s="62">
        <f t="shared" si="59"/>
        <v>1114.7915555781976</v>
      </c>
      <c r="AN70" s="62">
        <f ca="1">AVERAGE(OFFSET($AM$3,0,0,'Données projet'!$E$10+1,1))-AVERAGE(OFFSET($H$3,0,0,'Données projet'!$E$10+1,1))</f>
        <v>473.90982075211258</v>
      </c>
      <c r="AO70" s="62">
        <f t="shared" si="90"/>
        <v>127.17661287657279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3.0312679930077908</v>
      </c>
      <c r="AV70" s="23">
        <f>EXP(-LN(2)/25)*AV69+(1-EXP(-LN(2)/25))/(LN(2)/25)*Calculateur!AQ70*Calculateur!AS70*VLOOKUP('Données projet'!$B$10,Paramètres!$A$1:$I$89,3,0)*0.475*44/12</f>
        <v>0.48262688499278106</v>
      </c>
      <c r="AW70" s="23">
        <f>EXP(-LN(2)/2)*AW69+(1-EXP(-LN(2)/2))/(LN(2)/2)*AQ70*AT70*VLOOKUP('Données projet'!$B$10,Paramètres!$A$1:$I$89,3,0)*0.475*44/12</f>
        <v>5.657685941461631E-6</v>
      </c>
      <c r="AX70" s="23">
        <f t="shared" si="60"/>
        <v>3.5139005356865134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2">
        <f t="shared" si="86"/>
        <v>10.043852578816578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70">
        <f t="shared" si="56"/>
        <v>367.7928099081056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-2.2737367544323206E-13</v>
      </c>
      <c r="O71" s="14">
        <f>N71*VLOOKUP('Données projet'!$B$9,Paramètres!$A$1:$I$89,3,0)*VLOOKUP('Données projet'!$B$9,Paramètres!$A$1:$I$89,5,0)</f>
        <v>-1.2710188457276673E-13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382.94446752777549</v>
      </c>
      <c r="T71" s="62">
        <f t="shared" si="88"/>
        <v>476.29465646955543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4.0039825350936118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5.8686638668981728E-5</v>
      </c>
      <c r="AC71" s="24">
        <f t="shared" si="57"/>
        <v>4.0040412217322805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22.857142857142858</v>
      </c>
      <c r="AI71" s="14">
        <f>IF('Données projet'!$A$62&gt;35,AI70+AH71-AQ70,IF(A71&lt;'Données projet'!$A$62,$AF$205^A71,IF(A71='Données projet'!$A$62,'Données projet'!$B$62,AI70+AH71-AQ70)))</f>
        <v>798.71428571428589</v>
      </c>
      <c r="AJ71" s="14">
        <f>AI71*VLOOKUP('Données projet'!$B$10,Paramètres!$A$1:$I$89,3,0)*VLOOKUP('Données projet'!$B$10,Paramètres!$A$1:$I$89,5,0)</f>
        <v>394.56485714285731</v>
      </c>
      <c r="AK71" s="14">
        <f t="shared" si="89"/>
        <v>90.673897588714183</v>
      </c>
      <c r="AL71" s="22">
        <f t="shared" si="58"/>
        <v>845.12416449082036</v>
      </c>
      <c r="AM71" s="62">
        <f t="shared" si="59"/>
        <v>1138.4574978241537</v>
      </c>
      <c r="AN71" s="62">
        <f ca="1">AVERAGE(OFFSET($AM$3,0,0,'Données projet'!$E$10+1,1))-AVERAGE(OFFSET($H$3,0,0,'Données projet'!$E$10+1,1))</f>
        <v>473.90982075211258</v>
      </c>
      <c r="AO71" s="62">
        <f t="shared" si="90"/>
        <v>127.17661287657279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2.9718266765558208</v>
      </c>
      <c r="AV71" s="23">
        <f>EXP(-LN(2)/25)*AV70+(1-EXP(-LN(2)/25))/(LN(2)/25)*Calculateur!AQ71*Calculateur!AS71*VLOOKUP('Données projet'!$B$10,Paramètres!$A$1:$I$89,3,0)*0.475*44/12</f>
        <v>0.46942942744240862</v>
      </c>
      <c r="AW71" s="23">
        <f>EXP(-LN(2)/2)*AW70+(1-EXP(-LN(2)/2))/(LN(2)/2)*AQ71*AT71*VLOOKUP('Données projet'!$B$10,Paramètres!$A$1:$I$89,3,0)*0.475*44/12</f>
        <v>4.0005880950313156E-6</v>
      </c>
      <c r="AX71" s="23">
        <f t="shared" si="60"/>
        <v>3.4412601045863243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2">
        <f t="shared" si="86"/>
        <v>10.174252485373691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70">
        <f t="shared" si="56"/>
        <v>368.85766474535927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-2.2737367544323206E-13</v>
      </c>
      <c r="O72" s="14">
        <f>N72*VLOOKUP('Données projet'!$B$9,Paramètres!$A$1:$I$89,3,0)*VLOOKUP('Données projet'!$B$9,Paramètres!$A$1:$I$89,5,0)</f>
        <v>-1.2710188457276673E-13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382.94446752777549</v>
      </c>
      <c r="T72" s="62">
        <f t="shared" si="88"/>
        <v>476.29465646955543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3.9254668797686265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4.1497720167881641E-5</v>
      </c>
      <c r="AC72" s="24">
        <f t="shared" si="57"/>
        <v>3.9255083774887942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22.857142857142858</v>
      </c>
      <c r="AI72" s="14">
        <f>IF('Données projet'!$A$62&gt;35,AI71+AH72-AQ71,IF(A72&lt;'Données projet'!$A$62,$AF$205^A72,IF(A72='Données projet'!$A$62,'Données projet'!$B$62,AI71+AH72-AQ71)))</f>
        <v>821.57142857142878</v>
      </c>
      <c r="AJ72" s="14">
        <f>AI72*VLOOKUP('Données projet'!$B$10,Paramètres!$A$1:$I$89,3,0)*VLOOKUP('Données projet'!$B$10,Paramètres!$A$1:$I$89,5,0)</f>
        <v>405.85628571428583</v>
      </c>
      <c r="AK72" s="14">
        <f t="shared" si="89"/>
        <v>92.962931083563461</v>
      </c>
      <c r="AL72" s="22">
        <f t="shared" si="58"/>
        <v>868.77680258958753</v>
      </c>
      <c r="AM72" s="62">
        <f t="shared" si="59"/>
        <v>1162.1101359229208</v>
      </c>
      <c r="AN72" s="62">
        <f ca="1">AVERAGE(OFFSET($AM$3,0,0,'Données projet'!$E$10+1,1))-AVERAGE(OFFSET($H$3,0,0,'Données projet'!$E$10+1,1))</f>
        <v>473.90982075211258</v>
      </c>
      <c r="AO72" s="62">
        <f t="shared" si="90"/>
        <v>127.17661287657279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2.9135509680638512</v>
      </c>
      <c r="AV72" s="23">
        <f>EXP(-LN(2)/25)*AV71+(1-EXP(-LN(2)/25))/(LN(2)/25)*Calculateur!AQ72*Calculateur!AS72*VLOOKUP('Données projet'!$B$10,Paramètres!$A$1:$I$89,3,0)*0.475*44/12</f>
        <v>0.45659285506277525</v>
      </c>
      <c r="AW72" s="23">
        <f>EXP(-LN(2)/2)*AW71+(1-EXP(-LN(2)/2))/(LN(2)/2)*AQ72*AT72*VLOOKUP('Données projet'!$B$10,Paramètres!$A$1:$I$89,3,0)*0.475*44/12</f>
        <v>2.8288429707308155E-6</v>
      </c>
      <c r="AX72" s="23">
        <f t="shared" si="60"/>
        <v>3.3701466519695971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2">
        <f t="shared" si="86"/>
        <v>10.304432590265302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70">
        <f t="shared" si="56"/>
        <v>369.92213676137879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-2.2737367544323206E-13</v>
      </c>
      <c r="O73" s="14">
        <f>N73*VLOOKUP('Données projet'!$B$9,Paramètres!$A$1:$I$89,3,0)*VLOOKUP('Données projet'!$B$9,Paramètres!$A$1:$I$89,5,0)</f>
        <v>-1.2710188457276673E-13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382.94446752777549</v>
      </c>
      <c r="T73" s="62">
        <f t="shared" si="88"/>
        <v>476.29465646955543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3.8484908685547432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2.9343319334490864E-5</v>
      </c>
      <c r="AC73" s="24">
        <f t="shared" si="57"/>
        <v>3.8485202118740776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22.857142857142858</v>
      </c>
      <c r="AI73" s="14">
        <f>IF('Données projet'!$A$62&gt;35,AI72+AH73-AQ72,IF(A73&lt;'Données projet'!$A$62,$AF$205^A73,IF(A73='Données projet'!$A$62,'Données projet'!$B$62,AI72+AH73-AQ72)))</f>
        <v>844.42857142857167</v>
      </c>
      <c r="AJ73" s="14">
        <f>AI73*VLOOKUP('Données projet'!$B$10,Paramètres!$A$1:$I$89,3,0)*VLOOKUP('Données projet'!$B$10,Paramètres!$A$1:$I$89,5,0)</f>
        <v>417.14771428571441</v>
      </c>
      <c r="AK73" s="14">
        <f t="shared" si="89"/>
        <v>95.244562768459815</v>
      </c>
      <c r="AL73" s="22">
        <f t="shared" si="58"/>
        <v>892.41654920268672</v>
      </c>
      <c r="AM73" s="62">
        <f t="shared" si="59"/>
        <v>1185.7498825360201</v>
      </c>
      <c r="AN73" s="62">
        <f ca="1">AVERAGE(OFFSET($AM$3,0,0,'Données projet'!$E$10+1,1))-AVERAGE(OFFSET($H$3,0,0,'Données projet'!$E$10+1,1))</f>
        <v>473.90982075211258</v>
      </c>
      <c r="AO73" s="62">
        <f t="shared" si="90"/>
        <v>127.17661287657279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2.8564180106707364</v>
      </c>
      <c r="AV73" s="23">
        <f>EXP(-LN(2)/25)*AV72+(1-EXP(-LN(2)/25))/(LN(2)/25)*Calculateur!AQ73*Calculateur!AS73*VLOOKUP('Données projet'!$B$10,Paramètres!$A$1:$I$89,3,0)*0.475*44/12</f>
        <v>0.44410729942990895</v>
      </c>
      <c r="AW73" s="23">
        <f>EXP(-LN(2)/2)*AW72+(1-EXP(-LN(2)/2))/(LN(2)/2)*AQ73*AT73*VLOOKUP('Données projet'!$B$10,Paramètres!$A$1:$I$89,3,0)*0.475*44/12</f>
        <v>2.0002940475156578E-6</v>
      </c>
      <c r="AX73" s="23">
        <f t="shared" si="60"/>
        <v>3.3005273103946933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2">
        <f t="shared" si="86"/>
        <v>10.434396396340826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70">
        <f t="shared" si="56"/>
        <v>370.98623205696038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-2.2737367544323206E-13</v>
      </c>
      <c r="O74" s="14">
        <f>N74*VLOOKUP('Données projet'!$B$9,Paramètres!$A$1:$I$89,3,0)*VLOOKUP('Données projet'!$B$9,Paramètres!$A$1:$I$89,5,0)</f>
        <v>-1.2710188457276673E-13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382.94446752777549</v>
      </c>
      <c r="T74" s="62">
        <f t="shared" si="88"/>
        <v>476.29465646955543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3.7730243099700331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2.074886008394082E-5</v>
      </c>
      <c r="AC74" s="24">
        <f t="shared" si="57"/>
        <v>3.773045058830117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22.857142857142858</v>
      </c>
      <c r="AI74" s="14">
        <f>IF('Données projet'!$A$62&gt;35,AI73+AH74-AQ73,IF(A74&lt;'Données projet'!$A$62,$AF$205^A74,IF(A74='Données projet'!$A$62,'Données projet'!$B$62,AI73+AH74-AQ73)))</f>
        <v>867.28571428571456</v>
      </c>
      <c r="AJ74" s="14">
        <f>AI74*VLOOKUP('Données projet'!$B$10,Paramètres!$A$1:$I$89,3,0)*VLOOKUP('Données projet'!$B$10,Paramètres!$A$1:$I$89,5,0)</f>
        <v>428.439142857143</v>
      </c>
      <c r="AK74" s="14">
        <f t="shared" si="89"/>
        <v>97.5190160212981</v>
      </c>
      <c r="AL74" s="22">
        <f t="shared" si="58"/>
        <v>916.04379337995135</v>
      </c>
      <c r="AM74" s="62">
        <f t="shared" si="59"/>
        <v>1209.3771267132847</v>
      </c>
      <c r="AN74" s="62">
        <f ca="1">AVERAGE(OFFSET($AM$3,0,0,'Données projet'!$E$10+1,1))-AVERAGE(OFFSET($H$3,0,0,'Données projet'!$E$10+1,1))</f>
        <v>473.90982075211258</v>
      </c>
      <c r="AO74" s="62">
        <f t="shared" si="90"/>
        <v>127.17661287657279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2.8004053957244377</v>
      </c>
      <c r="AV74" s="23">
        <f>EXP(-LN(2)/25)*AV73+(1-EXP(-LN(2)/25))/(LN(2)/25)*Calculateur!AQ74*Calculateur!AS74*VLOOKUP('Données projet'!$B$10,Paramètres!$A$1:$I$89,3,0)*0.475*44/12</f>
        <v>0.43196316197241025</v>
      </c>
      <c r="AW74" s="23">
        <f>EXP(-LN(2)/2)*AW73+(1-EXP(-LN(2)/2))/(LN(2)/2)*AQ74*AT74*VLOOKUP('Données projet'!$B$10,Paramètres!$A$1:$I$89,3,0)*0.475*44/12</f>
        <v>1.4144214853654078E-6</v>
      </c>
      <c r="AX74" s="23">
        <f t="shared" si="60"/>
        <v>3.2323699721183332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2">
        <f t="shared" si="86"/>
        <v>10.564147302110412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70">
        <f t="shared" si="56"/>
        <v>372.04995655117574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-2.2737367544323206E-13</v>
      </c>
      <c r="O75" s="14">
        <f>N75*VLOOKUP('Données projet'!$B$9,Paramètres!$A$1:$I$89,3,0)*VLOOKUP('Données projet'!$B$9,Paramètres!$A$1:$I$89,5,0)</f>
        <v>-1.2710188457276673E-13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382.94446752777549</v>
      </c>
      <c r="T75" s="62">
        <f t="shared" si="88"/>
        <v>476.29465646955543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3.6990376045691136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1.4671659667245432E-5</v>
      </c>
      <c r="AC75" s="24">
        <f t="shared" si="57"/>
        <v>3.6990522762287807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22.857142857142858</v>
      </c>
      <c r="AI75" s="14">
        <f>IF('Données projet'!$A$62&gt;35,AI74+AH75-AQ74,IF(A75&lt;'Données projet'!$A$62,$AF$205^A75,IF(A75='Données projet'!$A$62,'Données projet'!$B$62,AI74+AH75-AQ74)))</f>
        <v>890.14285714285745</v>
      </c>
      <c r="AJ75" s="14">
        <f>AI75*VLOOKUP('Données projet'!$B$10,Paramètres!$A$1:$I$89,3,0)*VLOOKUP('Données projet'!$B$10,Paramètres!$A$1:$I$89,5,0)</f>
        <v>439.73057142857164</v>
      </c>
      <c r="AK75" s="14">
        <f t="shared" si="89"/>
        <v>99.786501775299698</v>
      </c>
      <c r="AL75" s="22">
        <f t="shared" si="58"/>
        <v>939.65890249674248</v>
      </c>
      <c r="AM75" s="62">
        <f t="shared" si="59"/>
        <v>1232.9922358300757</v>
      </c>
      <c r="AN75" s="62">
        <f ca="1">AVERAGE(OFFSET($AM$3,0,0,'Données projet'!$E$10+1,1))-AVERAGE(OFFSET($H$3,0,0,'Données projet'!$E$10+1,1))</f>
        <v>473.90982075211258</v>
      </c>
      <c r="AO75" s="62">
        <f t="shared" si="90"/>
        <v>127.17661287657279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2.7454911539929143</v>
      </c>
      <c r="AV75" s="23">
        <f>EXP(-LN(2)/25)*AV74+(1-EXP(-LN(2)/25))/(LN(2)/25)*Calculateur!AQ75*Calculateur!AS75*VLOOKUP('Données projet'!$B$10,Paramètres!$A$1:$I$89,3,0)*0.475*44/12</f>
        <v>0.42015110659231925</v>
      </c>
      <c r="AW75" s="23">
        <f>EXP(-LN(2)/2)*AW74+(1-EXP(-LN(2)/2))/(LN(2)/2)*AQ75*AT75*VLOOKUP('Données projet'!$B$10,Paramètres!$A$1:$I$89,3,0)*0.475*44/12</f>
        <v>1.0001470237578289E-6</v>
      </c>
      <c r="AX75" s="23">
        <f t="shared" si="60"/>
        <v>3.1656432607322573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2">
        <f t="shared" si="86"/>
        <v>10.693688606258034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70">
        <f t="shared" si="56"/>
        <v>373.11331598923283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-2.2737367544323206E-13</v>
      </c>
      <c r="O76" s="14">
        <f>N76*VLOOKUP('Données projet'!$B$9,Paramètres!$A$1:$I$89,3,0)*VLOOKUP('Données projet'!$B$9,Paramètres!$A$1:$I$89,5,0)</f>
        <v>-1.2710188457276673E-13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382.94446752777549</v>
      </c>
      <c r="T76" s="62">
        <f t="shared" si="88"/>
        <v>476.29465646955543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3.6265017333336718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1.037443004197041E-5</v>
      </c>
      <c r="AC76" s="24">
        <f t="shared" si="57"/>
        <v>3.6265121077637139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>
        <f>VLOOKUP(A76,'Données projet'!$A$61:$I$81,2,0)</f>
        <v>913</v>
      </c>
      <c r="AG76" s="13">
        <f>VLOOKUP(A76,'Données projet'!$A$61:$I$81,9,0)</f>
        <v>22.857142857142858</v>
      </c>
      <c r="AH76" s="13">
        <f t="array" ref="AH76">INDEX(AG:AG,MIN(IF(ISNUMBER(AG76:AG272),ROW(AG76:AG272),"")))</f>
        <v>22.857142857142858</v>
      </c>
      <c r="AI76" s="14">
        <f>IF('Données projet'!$A$62&gt;35,AI75+AH76-AQ75,IF(A76&lt;'Données projet'!$A$62,$AF$205^A76,IF(A76='Données projet'!$A$62,'Données projet'!$B$62,AI75+AH76-AQ75)))</f>
        <v>913.00000000000034</v>
      </c>
      <c r="AJ76" s="14">
        <f>AI76*VLOOKUP('Données projet'!$B$10,Paramètres!$A$1:$I$89,3,0)*VLOOKUP('Données projet'!$B$10,Paramètres!$A$1:$I$89,5,0)</f>
        <v>451.02200000000016</v>
      </c>
      <c r="AK76" s="14">
        <f t="shared" si="89"/>
        <v>102.0472195138278</v>
      </c>
      <c r="AL76" s="22">
        <f t="shared" si="58"/>
        <v>963.26222398658365</v>
      </c>
      <c r="AM76" s="62">
        <f t="shared" si="59"/>
        <v>1256.5955573199169</v>
      </c>
      <c r="AN76" s="62">
        <f ca="1">AVERAGE(OFFSET($AM$3,0,0,'Données projet'!$E$10+1,1))-AVERAGE(OFFSET($H$3,0,0,'Données projet'!$E$10+1,1))</f>
        <v>473.90982075211258</v>
      </c>
      <c r="AO76" s="62">
        <f t="shared" si="90"/>
        <v>127.17661287657279</v>
      </c>
      <c r="AP76" s="16">
        <f>IF(ISNA(VLOOKUP(A76,'Données projet'!$A$61:$I$81,3,0)),0,VLOOKUP(A76,'Données projet'!$A$61:$I$81,3,0))</f>
        <v>8</v>
      </c>
      <c r="AQ76" s="16">
        <f>IF(ISNA(VLOOKUP(A76,'Données projet'!$A$61:$I$81,4,0)),0,VLOOKUP(A76,'Données projet'!$A$61:$I$81,4,0))</f>
        <v>100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2.6916537470473658</v>
      </c>
      <c r="AV76" s="23">
        <f>EXP(-LN(2)/25)*AV75+(1-EXP(-LN(2)/25))/(LN(2)/25)*Calculateur!AQ76*Calculateur!AS76*VLOOKUP('Données projet'!$B$10,Paramètres!$A$1:$I$89,3,0)*0.475*44/12</f>
        <v>0.40866205248776583</v>
      </c>
      <c r="AW76" s="23">
        <f>EXP(-LN(2)/2)*AW75+(1-EXP(-LN(2)/2))/(LN(2)/2)*AQ76*AT76*VLOOKUP('Données projet'!$B$10,Paramètres!$A$1:$I$89,3,0)*0.475*44/12</f>
        <v>7.0721074268270388E-7</v>
      </c>
      <c r="AX76" s="23">
        <f t="shared" si="60"/>
        <v>3.1003165067458744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2">
        <f t="shared" si="86"/>
        <v>10.823023511900249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70">
        <f t="shared" si="56"/>
        <v>374.17631594989302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-2.2737367544323206E-13</v>
      </c>
      <c r="O77" s="14">
        <f>N77*VLOOKUP('Données projet'!$B$9,Paramètres!$A$1:$I$89,3,0)*VLOOKUP('Données projet'!$B$9,Paramètres!$A$1:$I$89,5,0)</f>
        <v>-1.2710188457276673E-13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382.94446752777549</v>
      </c>
      <c r="T77" s="62">
        <f t="shared" si="88"/>
        <v>476.29465646955543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3.5553882462906441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7.335829833622716E-6</v>
      </c>
      <c r="AC77" s="24">
        <f t="shared" si="57"/>
        <v>3.5553955821204779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19.428571428571427</v>
      </c>
      <c r="AI77" s="14">
        <f>IF('Données projet'!$A$62&gt;35,AI76+AH77-AQ76,IF(A77&lt;'Données projet'!$A$62,$AF$205^A77,IF(A77='Données projet'!$A$62,'Données projet'!$B$62,AI76+AH77-AQ76)))</f>
        <v>832.42857142857179</v>
      </c>
      <c r="AJ77" s="14">
        <f>AI77*VLOOKUP('Données projet'!$B$10,Paramètres!$A$1:$I$89,3,0)*VLOOKUP('Données projet'!$B$10,Paramètres!$A$1:$I$89,5,0)</f>
        <v>411.21971428571447</v>
      </c>
      <c r="AK77" s="14">
        <f t="shared" si="89"/>
        <v>94.047615049577644</v>
      </c>
      <c r="AL77" s="22">
        <f t="shared" si="58"/>
        <v>880.00726525896698</v>
      </c>
      <c r="AM77" s="62">
        <f t="shared" si="59"/>
        <v>1173.3405985923002</v>
      </c>
      <c r="AN77" s="62">
        <f ca="1">AVERAGE(OFFSET($AM$3,0,0,'Données projet'!$E$10+1,1))-AVERAGE(OFFSET($H$3,0,0,'Données projet'!$E$10+1,1))</f>
        <v>473.90982075211258</v>
      </c>
      <c r="AO77" s="62">
        <f t="shared" si="90"/>
        <v>127.17661287657279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2.6388720588144436</v>
      </c>
      <c r="AV77" s="23">
        <f>EXP(-LN(2)/25)*AV76+(1-EXP(-LN(2)/25))/(LN(2)/25)*Calculateur!AQ77*Calculateur!AS77*VLOOKUP('Données projet'!$B$10,Paramètres!$A$1:$I$89,3,0)*0.475*44/12</f>
        <v>0.39748716717188454</v>
      </c>
      <c r="AW77" s="23">
        <f>EXP(-LN(2)/2)*AW76+(1-EXP(-LN(2)/2))/(LN(2)/2)*AQ77*AT77*VLOOKUP('Données projet'!$B$10,Paramètres!$A$1:$I$89,3,0)*0.475*44/12</f>
        <v>5.0007351187891445E-7</v>
      </c>
      <c r="AX77" s="23">
        <f t="shared" si="60"/>
        <v>3.0363597260598403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2">
        <f t="shared" si="86"/>
        <v>10.952155130608178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70">
        <f t="shared" si="56"/>
        <v>375.238961852476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-2.2737367544323206E-13</v>
      </c>
      <c r="O78" s="14">
        <f>N78*VLOOKUP('Données projet'!$B$9,Paramètres!$A$1:$I$89,3,0)*VLOOKUP('Données projet'!$B$9,Paramètres!$A$1:$I$89,5,0)</f>
        <v>-1.2710188457276673E-13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382.94446752777549</v>
      </c>
      <c r="T78" s="62">
        <f t="shared" si="88"/>
        <v>476.29465646955543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3.4856692513535861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5.1872150209852051E-6</v>
      </c>
      <c r="AC78" s="24">
        <f t="shared" si="57"/>
        <v>3.4856744385686071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19.428571428571427</v>
      </c>
      <c r="AI78" s="14">
        <f>IF('Données projet'!$A$62&gt;35,AI77+AH78-AQ77,IF(A78&lt;'Données projet'!$A$62,$AF$205^A78,IF(A78='Données projet'!$A$62,'Données projet'!$B$62,AI77+AH78-AQ77)))</f>
        <v>851.85714285714323</v>
      </c>
      <c r="AJ78" s="14">
        <f>AI78*VLOOKUP('Données projet'!$B$10,Paramètres!$A$1:$I$89,3,0)*VLOOKUP('Données projet'!$B$10,Paramètres!$A$1:$I$89,5,0)</f>
        <v>420.81742857142876</v>
      </c>
      <c r="AK78" s="14">
        <f t="shared" si="89"/>
        <v>95.984536998560245</v>
      </c>
      <c r="AL78" s="22">
        <f t="shared" si="58"/>
        <v>900.09675670106401</v>
      </c>
      <c r="AM78" s="62">
        <f t="shared" si="59"/>
        <v>1193.4300900343974</v>
      </c>
      <c r="AN78" s="62">
        <f ca="1">AVERAGE(OFFSET($AM$3,0,0,'Données projet'!$E$10+1,1))-AVERAGE(OFFSET($H$3,0,0,'Données projet'!$E$10+1,1))</f>
        <v>473.90982075211258</v>
      </c>
      <c r="AO78" s="62">
        <f t="shared" si="90"/>
        <v>127.17661287657279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2.587125387294118</v>
      </c>
      <c r="AV78" s="23">
        <f>EXP(-LN(2)/25)*AV77+(1-EXP(-LN(2)/25))/(LN(2)/25)*Calculateur!AQ78*Calculateur!AS78*VLOOKUP('Données projet'!$B$10,Paramètres!$A$1:$I$89,3,0)*0.475*44/12</f>
        <v>0.38661785968262768</v>
      </c>
      <c r="AW78" s="23">
        <f>EXP(-LN(2)/2)*AW77+(1-EXP(-LN(2)/2))/(LN(2)/2)*AQ78*AT78*VLOOKUP('Données projet'!$B$10,Paramètres!$A$1:$I$89,3,0)*0.475*44/12</f>
        <v>3.5360537134135194E-7</v>
      </c>
      <c r="AX78" s="23">
        <f t="shared" si="60"/>
        <v>2.9737436005821167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2">
        <f t="shared" si="86"/>
        <v>11.081086486208905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70">
        <f t="shared" si="56"/>
        <v>376.30125896348062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-2.2737367544323206E-13</v>
      </c>
      <c r="O79" s="14">
        <f>N79*VLOOKUP('Données projet'!$B$9,Paramètres!$A$1:$I$89,3,0)*VLOOKUP('Données projet'!$B$9,Paramètres!$A$1:$I$89,5,0)</f>
        <v>-1.2710188457276673E-13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382.94446752777549</v>
      </c>
      <c r="T79" s="62">
        <f t="shared" si="88"/>
        <v>476.29465646955543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3.4173174033828557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3.667914916811358E-6</v>
      </c>
      <c r="AC79" s="24">
        <f t="shared" si="57"/>
        <v>3.4173210712977724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19.428571428571427</v>
      </c>
      <c r="AI79" s="14">
        <f>IF('Données projet'!$A$62&gt;35,AI78+AH79-AQ78,IF(A79&lt;'Données projet'!$A$62,$AF$205^A79,IF(A79='Données projet'!$A$62,'Données projet'!$B$62,AI78+AH79-AQ78)))</f>
        <v>871.28571428571468</v>
      </c>
      <c r="AJ79" s="14">
        <f>AI79*VLOOKUP('Données projet'!$B$10,Paramètres!$A$1:$I$89,3,0)*VLOOKUP('Données projet'!$B$10,Paramètres!$A$1:$I$89,5,0)</f>
        <v>430.41514285714305</v>
      </c>
      <c r="AK79" s="14">
        <f t="shared" si="89"/>
        <v>97.916323212051537</v>
      </c>
      <c r="AL79" s="22">
        <f t="shared" si="58"/>
        <v>920.17730340384708</v>
      </c>
      <c r="AM79" s="62">
        <f t="shared" si="59"/>
        <v>1213.5106367371804</v>
      </c>
      <c r="AN79" s="62">
        <f ca="1">AVERAGE(OFFSET($AM$3,0,0,'Données projet'!$E$10+1,1))-AVERAGE(OFFSET($H$3,0,0,'Données projet'!$E$10+1,1))</f>
        <v>473.90982075211258</v>
      </c>
      <c r="AO79" s="62">
        <f t="shared" si="90"/>
        <v>127.17661287657279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2.536393436439953</v>
      </c>
      <c r="AV79" s="23">
        <f>EXP(-LN(2)/25)*AV78+(1-EXP(-LN(2)/25))/(LN(2)/25)*Calculateur!AQ79*Calculateur!AS79*VLOOKUP('Données projet'!$B$10,Paramètres!$A$1:$I$89,3,0)*0.475*44/12</f>
        <v>0.37604577397825661</v>
      </c>
      <c r="AW79" s="23">
        <f>EXP(-LN(2)/2)*AW78+(1-EXP(-LN(2)/2))/(LN(2)/2)*AQ79*AT79*VLOOKUP('Données projet'!$B$10,Paramètres!$A$1:$I$89,3,0)*0.475*44/12</f>
        <v>2.5003675593945723E-7</v>
      </c>
      <c r="AX79" s="23">
        <f t="shared" si="60"/>
        <v>2.9124394604549653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2">
        <f t="shared" si="86"/>
        <v>11.209820518381111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70">
        <f t="shared" si="56"/>
        <v>377.36321240284718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-2.2737367544323206E-13</v>
      </c>
      <c r="O80" s="14">
        <f>N80*VLOOKUP('Données projet'!$B$9,Paramètres!$A$1:$I$89,3,0)*VLOOKUP('Données projet'!$B$9,Paramètres!$A$1:$I$89,5,0)</f>
        <v>-1.2710188457276673E-13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382.94446752777549</v>
      </c>
      <c r="T80" s="62">
        <f t="shared" si="88"/>
        <v>476.29465646955543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3.3503058934603209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2.5936075104926026E-6</v>
      </c>
      <c r="AC80" s="24">
        <f t="shared" si="57"/>
        <v>3.3503084870678315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19.428571428571427</v>
      </c>
      <c r="AI80" s="14">
        <f>IF('Données projet'!$A$62&gt;35,AI79+AH80-AQ79,IF(A80&lt;'Données projet'!$A$62,$AF$205^A80,IF(A80='Données projet'!$A$62,'Données projet'!$B$62,AI79+AH80-AQ79)))</f>
        <v>890.71428571428612</v>
      </c>
      <c r="AJ80" s="14">
        <f>AI80*VLOOKUP('Données projet'!$B$10,Paramètres!$A$1:$I$89,3,0)*VLOOKUP('Données projet'!$B$10,Paramètres!$A$1:$I$89,5,0)</f>
        <v>440.01285714285734</v>
      </c>
      <c r="AK80" s="14">
        <f t="shared" si="89"/>
        <v>99.843101396249438</v>
      </c>
      <c r="AL80" s="22">
        <f t="shared" si="58"/>
        <v>940.24912778894407</v>
      </c>
      <c r="AM80" s="62">
        <f t="shared" si="59"/>
        <v>1233.5824611222774</v>
      </c>
      <c r="AN80" s="62">
        <f ca="1">AVERAGE(OFFSET($AM$3,0,0,'Données projet'!$E$10+1,1))-AVERAGE(OFFSET($H$3,0,0,'Données projet'!$E$10+1,1))</f>
        <v>473.90982075211258</v>
      </c>
      <c r="AO80" s="62">
        <f t="shared" si="90"/>
        <v>127.17661287657279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2.4866563081986035</v>
      </c>
      <c r="AV80" s="23">
        <f>EXP(-LN(2)/25)*AV79+(1-EXP(-LN(2)/25))/(LN(2)/25)*Calculateur!AQ80*Calculateur!AS80*VLOOKUP('Données projet'!$B$10,Paramètres!$A$1:$I$89,3,0)*0.475*44/12</f>
        <v>0.36576278251343342</v>
      </c>
      <c r="AW80" s="23">
        <f>EXP(-LN(2)/2)*AW79+(1-EXP(-LN(2)/2))/(LN(2)/2)*AQ80*AT80*VLOOKUP('Données projet'!$B$10,Paramètres!$A$1:$I$89,3,0)*0.475*44/12</f>
        <v>1.7680268567067597E-7</v>
      </c>
      <c r="AX80" s="23">
        <f t="shared" si="60"/>
        <v>2.8524192675147226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2">
        <f t="shared" si="86"/>
        <v>11.338360086058589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70">
        <f t="shared" si="56"/>
        <v>378.42482714988546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-2.2737367544323206E-13</v>
      </c>
      <c r="O81" s="14">
        <f>N81*VLOOKUP('Données projet'!$B$9,Paramètres!$A$1:$I$89,3,0)*VLOOKUP('Données projet'!$B$9,Paramètres!$A$1:$I$89,5,0)</f>
        <v>-1.2710188457276673E-13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382.94446752777549</v>
      </c>
      <c r="T81" s="62">
        <f t="shared" si="88"/>
        <v>476.29465646955543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3.2846084383743817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1.833957458405679E-6</v>
      </c>
      <c r="AC81" s="24">
        <f t="shared" si="57"/>
        <v>3.28461027233184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19.428571428571427</v>
      </c>
      <c r="AI81" s="14">
        <f>IF('Données projet'!$A$62&gt;35,AI80+AH81-AQ80,IF(A81&lt;'Données projet'!$A$62,$AF$205^A81,IF(A81='Données projet'!$A$62,'Données projet'!$B$62,AI80+AH81-AQ80)))</f>
        <v>910.14285714285757</v>
      </c>
      <c r="AJ81" s="14">
        <f>AI81*VLOOKUP('Données projet'!$B$10,Paramètres!$A$1:$I$89,3,0)*VLOOKUP('Données projet'!$B$10,Paramètres!$A$1:$I$89,5,0)</f>
        <v>449.61057142857163</v>
      </c>
      <c r="AK81" s="14">
        <f t="shared" si="89"/>
        <v>101.76499336804072</v>
      </c>
      <c r="AL81" s="22">
        <f t="shared" si="58"/>
        <v>960.31244202076653</v>
      </c>
      <c r="AM81" s="62">
        <f t="shared" si="59"/>
        <v>1253.6457753540999</v>
      </c>
      <c r="AN81" s="62">
        <f ca="1">AVERAGE(OFFSET($AM$3,0,0,'Données projet'!$E$10+1,1))-AVERAGE(OFFSET($H$3,0,0,'Données projet'!$E$10+1,1))</f>
        <v>473.90982075211258</v>
      </c>
      <c r="AO81" s="62">
        <f t="shared" si="90"/>
        <v>127.17661287657279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2.437894494705414</v>
      </c>
      <c r="AV81" s="23">
        <f>EXP(-LN(2)/25)*AV80+(1-EXP(-LN(2)/25))/(LN(2)/25)*Calculateur!AQ81*Calculateur!AS81*VLOOKUP('Données projet'!$B$10,Paramètres!$A$1:$I$89,3,0)*0.475*44/12</f>
        <v>0.35576097999097483</v>
      </c>
      <c r="AW81" s="23">
        <f>EXP(-LN(2)/2)*AW80+(1-EXP(-LN(2)/2))/(LN(2)/2)*AQ81*AT81*VLOOKUP('Données projet'!$B$10,Paramètres!$A$1:$I$89,3,0)*0.475*44/12</f>
        <v>1.2501837796972861E-7</v>
      </c>
      <c r="AX81" s="23">
        <f t="shared" si="60"/>
        <v>2.7936555997147665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2">
        <f t="shared" si="86"/>
        <v>11.466707970654253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70">
        <f t="shared" si="56"/>
        <v>379.48610804888961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-2.2737367544323206E-13</v>
      </c>
      <c r="O82" s="14">
        <f>N82*VLOOKUP('Données projet'!$B$9,Paramètres!$A$1:$I$89,3,0)*VLOOKUP('Données projet'!$B$9,Paramètres!$A$1:$I$89,5,0)</f>
        <v>-1.2710188457276673E-13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382.94446752777549</v>
      </c>
      <c r="T82" s="62">
        <f t="shared" si="88"/>
        <v>476.29465646955543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3.2201992703111868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1.2968037552463013E-6</v>
      </c>
      <c r="AC82" s="24">
        <f t="shared" si="57"/>
        <v>3.2202005671149418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19.428571428571427</v>
      </c>
      <c r="AI82" s="14">
        <f>IF('Données projet'!$A$62&gt;35,AI81+AH82-AQ81,IF(A82&lt;'Données projet'!$A$62,$AF$205^A82,IF(A82='Données projet'!$A$62,'Données projet'!$B$62,AI81+AH82-AQ81)))</f>
        <v>929.57142857142901</v>
      </c>
      <c r="AJ82" s="14">
        <f>AI82*VLOOKUP('Données projet'!$B$10,Paramètres!$A$1:$I$89,3,0)*VLOOKUP('Données projet'!$B$10,Paramètres!$A$1:$I$89,5,0)</f>
        <v>459.20828571428598</v>
      </c>
      <c r="AK82" s="14">
        <f t="shared" si="89"/>
        <v>103.68211544642085</v>
      </c>
      <c r="AL82" s="22">
        <f t="shared" si="58"/>
        <v>980.36744868823098</v>
      </c>
      <c r="AM82" s="62">
        <f t="shared" si="59"/>
        <v>1273.7007820215642</v>
      </c>
      <c r="AN82" s="62">
        <f ca="1">AVERAGE(OFFSET($AM$3,0,0,'Données projet'!$E$10+1,1))-AVERAGE(OFFSET($H$3,0,0,'Données projet'!$E$10+1,1))</f>
        <v>473.90982075211258</v>
      </c>
      <c r="AO82" s="62">
        <f t="shared" si="90"/>
        <v>127.17661287657279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2.3900888706330568</v>
      </c>
      <c r="AV82" s="23">
        <f>EXP(-LN(2)/25)*AV81+(1-EXP(-LN(2)/25))/(LN(2)/25)*Calculateur!AQ82*Calculateur!AS82*VLOOKUP('Données projet'!$B$10,Paramètres!$A$1:$I$89,3,0)*0.475*44/12</f>
        <v>0.3460326772844648</v>
      </c>
      <c r="AW82" s="23">
        <f>EXP(-LN(2)/2)*AW81+(1-EXP(-LN(2)/2))/(LN(2)/2)*AQ82*AT82*VLOOKUP('Données projet'!$B$10,Paramètres!$A$1:$I$89,3,0)*0.475*44/12</f>
        <v>8.8401342835337985E-8</v>
      </c>
      <c r="AX82" s="23">
        <f t="shared" si="60"/>
        <v>2.7361216363188641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2">
        <f t="shared" si="86"/>
        <v>11.594866879116264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70">
        <f t="shared" si="56"/>
        <v>380.54705981446097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-2.2737367544323206E-13</v>
      </c>
      <c r="O83" s="14">
        <f>N83*VLOOKUP('Données projet'!$B$9,Paramètres!$A$1:$I$89,3,0)*VLOOKUP('Données projet'!$B$9,Paramètres!$A$1:$I$89,5,0)</f>
        <v>-1.2710188457276673E-13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382.94446752777549</v>
      </c>
      <c r="T83" s="62">
        <f t="shared" si="88"/>
        <v>476.29465646955543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3.1570531267479978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9.169787292028395E-7</v>
      </c>
      <c r="AC83" s="24">
        <f t="shared" si="57"/>
        <v>3.1570540437267272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949</v>
      </c>
      <c r="AG83" s="13">
        <f>VLOOKUP(A83,'Données projet'!$A$61:$I$81,9,0)</f>
        <v>19.428571428571427</v>
      </c>
      <c r="AH83" s="13">
        <f t="array" ref="AH83">INDEX(AG:AG,MIN(IF(ISNUMBER(AG83:AG279),ROW(AG83:AG279),"")))</f>
        <v>19.428571428571427</v>
      </c>
      <c r="AI83" s="14">
        <f>IF('Données projet'!$A$62&gt;35,AI82+AH83-AQ82,IF(A83&lt;'Données projet'!$A$62,$AF$205^A83,IF(A83='Données projet'!$A$62,'Données projet'!$B$62,AI82+AH83-AQ82)))</f>
        <v>949.00000000000045</v>
      </c>
      <c r="AJ83" s="14">
        <f>AI83*VLOOKUP('Données projet'!$B$10,Paramètres!$A$1:$I$89,3,0)*VLOOKUP('Données projet'!$B$10,Paramètres!$A$1:$I$89,5,0)</f>
        <v>468.80600000000027</v>
      </c>
      <c r="AK83" s="14">
        <f t="shared" si="89"/>
        <v>105.59457881026501</v>
      </c>
      <c r="AL83" s="22">
        <f t="shared" si="58"/>
        <v>1000.4143414278786</v>
      </c>
      <c r="AM83" s="62">
        <f t="shared" si="59"/>
        <v>1293.747674761212</v>
      </c>
      <c r="AN83" s="62">
        <f ca="1">AVERAGE(OFFSET($AM$3,0,0,'Données projet'!$E$10+1,1))-AVERAGE(OFFSET($H$3,0,0,'Données projet'!$E$10+1,1))</f>
        <v>473.90982075211258</v>
      </c>
      <c r="AO83" s="62">
        <f t="shared" si="90"/>
        <v>127.17661287657279</v>
      </c>
      <c r="AP83" s="16">
        <f>IF(ISNA(VLOOKUP(A83,'Données projet'!$A$61:$I$81,3,0)),0,VLOOKUP(A83,'Données projet'!$A$61:$I$81,3,0))</f>
        <v>9</v>
      </c>
      <c r="AQ83" s="16">
        <f>IF(ISNA(VLOOKUP(A83,'Données projet'!$A$61:$I$81,4,0)),0,VLOOKUP(A83,'Données projet'!$A$61:$I$81,4,0))</f>
        <v>100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2.3432206856902069</v>
      </c>
      <c r="AV83" s="23">
        <f>EXP(-LN(2)/25)*AV82+(1-EXP(-LN(2)/25))/(LN(2)/25)*Calculateur!AQ83*Calculateur!AS83*VLOOKUP('Données projet'!$B$10,Paramètres!$A$1:$I$89,3,0)*0.475*44/12</f>
        <v>0.33657039552705348</v>
      </c>
      <c r="AW83" s="23">
        <f>EXP(-LN(2)/2)*AW82+(1-EXP(-LN(2)/2))/(LN(2)/2)*AQ83*AT83*VLOOKUP('Données projet'!$B$10,Paramètres!$A$1:$I$89,3,0)*0.475*44/12</f>
        <v>6.2509188984864307E-8</v>
      </c>
      <c r="AX83" s="23">
        <f t="shared" si="60"/>
        <v>2.6797911437264492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2">
        <f t="shared" si="86"/>
        <v>11.722839446826988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70">
        <f t="shared" si="56"/>
        <v>381.60768703655714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-2.2737367544323206E-13</v>
      </c>
      <c r="O84" s="14">
        <f>N84*VLOOKUP('Données projet'!$B$9,Paramètres!$A$1:$I$89,3,0)*VLOOKUP('Données projet'!$B$9,Paramètres!$A$1:$I$89,5,0)</f>
        <v>-1.2710188457276673E-13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382.94446752777549</v>
      </c>
      <c r="T84" s="62">
        <f t="shared" si="88"/>
        <v>476.29465646955543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3.0951452405447384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6.4840187762315064E-7</v>
      </c>
      <c r="AC84" s="24">
        <f t="shared" si="57"/>
        <v>3.0951458889466159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16.428571428571427</v>
      </c>
      <c r="AI84" s="14">
        <f>IF('Données projet'!$A$62&gt;35,AI83+AH84-AQ83,IF(A84&lt;'Données projet'!$A$62,$AF$205^A84,IF(A84='Données projet'!$A$62,'Données projet'!$B$62,AI83+AH84-AQ83)))</f>
        <v>865.4285714285719</v>
      </c>
      <c r="AJ84" s="14">
        <f>AI84*VLOOKUP('Données projet'!$B$10,Paramètres!$A$1:$I$89,3,0)*VLOOKUP('Données projet'!$B$10,Paramètres!$A$1:$I$89,5,0)</f>
        <v>427.52171428571449</v>
      </c>
      <c r="AK84" s="14">
        <f t="shared" si="89"/>
        <v>97.334479512071596</v>
      </c>
      <c r="AL84" s="22">
        <f t="shared" si="58"/>
        <v>914.12453753114403</v>
      </c>
      <c r="AM84" s="62">
        <f t="shared" si="59"/>
        <v>1207.4578708644774</v>
      </c>
      <c r="AN84" s="62">
        <f ca="1">AVERAGE(OFFSET($AM$3,0,0,'Données projet'!$E$10+1,1))-AVERAGE(OFFSET($H$3,0,0,'Données projet'!$E$10+1,1))</f>
        <v>473.90982075211258</v>
      </c>
      <c r="AO84" s="62">
        <f t="shared" si="90"/>
        <v>127.17661287657279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2.2972715572673161</v>
      </c>
      <c r="AV84" s="23">
        <f>EXP(-LN(2)/25)*AV83+(1-EXP(-LN(2)/25))/(LN(2)/25)*Calculateur!AQ84*Calculateur!AS84*VLOOKUP('Données projet'!$B$10,Paramètres!$A$1:$I$89,3,0)*0.475*44/12</f>
        <v>0.32736686036189833</v>
      </c>
      <c r="AW84" s="23">
        <f>EXP(-LN(2)/2)*AW83+(1-EXP(-LN(2)/2))/(LN(2)/2)*AQ84*AT84*VLOOKUP('Données projet'!$B$10,Paramètres!$A$1:$I$89,3,0)*0.475*44/12</f>
        <v>4.4200671417668992E-8</v>
      </c>
      <c r="AX84" s="23">
        <f t="shared" si="60"/>
        <v>2.6246384618298859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2">
        <f t="shared" si="86"/>
        <v>11.850628240354748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70">
        <f t="shared" si="56"/>
        <v>382.66799418528461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-2.2737367544323206E-13</v>
      </c>
      <c r="O85" s="14">
        <f>N85*VLOOKUP('Données projet'!$B$9,Paramètres!$A$1:$I$89,3,0)*VLOOKUP('Données projet'!$B$9,Paramètres!$A$1:$I$89,5,0)</f>
        <v>-1.2710188457276673E-13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382.94446752777549</v>
      </c>
      <c r="T85" s="62">
        <f t="shared" si="88"/>
        <v>476.29465646955543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3.0344513302298428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4.5848936460141975E-7</v>
      </c>
      <c r="AC85" s="24">
        <f t="shared" si="57"/>
        <v>3.0344517887192075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16.428571428571427</v>
      </c>
      <c r="AI85" s="14">
        <f>IF('Données projet'!$A$62&gt;35,AI84+AH85-AQ84,IF(A85&lt;'Données projet'!$A$62,$AF$205^A85,IF(A85='Données projet'!$A$62,'Données projet'!$B$62,AI84+AH85-AQ84)))</f>
        <v>881.85714285714334</v>
      </c>
      <c r="AJ85" s="14">
        <f>AI85*VLOOKUP('Données projet'!$B$10,Paramètres!$A$1:$I$89,3,0)*VLOOKUP('Données projet'!$B$10,Paramètres!$A$1:$I$89,5,0)</f>
        <v>435.63742857142887</v>
      </c>
      <c r="AK85" s="14">
        <f t="shared" si="89"/>
        <v>98.965330445469093</v>
      </c>
      <c r="AL85" s="22">
        <f t="shared" si="58"/>
        <v>931.09980528776384</v>
      </c>
      <c r="AM85" s="62">
        <f t="shared" si="59"/>
        <v>1224.4331386210972</v>
      </c>
      <c r="AN85" s="62">
        <f ca="1">AVERAGE(OFFSET($AM$3,0,0,'Données projet'!$E$10+1,1))-AVERAGE(OFFSET($H$3,0,0,'Données projet'!$E$10+1,1))</f>
        <v>473.90982075211258</v>
      </c>
      <c r="AO85" s="62">
        <f t="shared" si="90"/>
        <v>127.17661287657279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2.2522234632265974</v>
      </c>
      <c r="AV85" s="23">
        <f>EXP(-LN(2)/25)*AV84+(1-EXP(-LN(2)/25))/(LN(2)/25)*Calculateur!AQ85*Calculateur!AS85*VLOOKUP('Données projet'!$B$10,Paramètres!$A$1:$I$89,3,0)*0.475*44/12</f>
        <v>0.31841499634982723</v>
      </c>
      <c r="AW85" s="23">
        <f>EXP(-LN(2)/2)*AW84+(1-EXP(-LN(2)/2))/(LN(2)/2)*AQ85*AT85*VLOOKUP('Données projet'!$B$10,Paramètres!$A$1:$I$89,3,0)*0.475*44/12</f>
        <v>3.1254594492432153E-8</v>
      </c>
      <c r="AX85" s="23">
        <f t="shared" si="60"/>
        <v>2.5706384908310191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2">
        <f t="shared" si="86"/>
        <v>11.978235760067443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70">
        <f t="shared" si="56"/>
        <v>383.7279856154509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-2.2737367544323206E-13</v>
      </c>
      <c r="O86" s="14">
        <f>N86*VLOOKUP('Données projet'!$B$9,Paramètres!$A$1:$I$89,3,0)*VLOOKUP('Données projet'!$B$9,Paramètres!$A$1:$I$89,5,0)</f>
        <v>-1.2710188457276673E-13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382.94446752777549</v>
      </c>
      <c r="T86" s="62">
        <f t="shared" si="88"/>
        <v>476.29465646955543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2.9749475904765923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3.2420093881157532E-7</v>
      </c>
      <c r="AC86" s="24">
        <f t="shared" si="57"/>
        <v>2.9749479146775313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16.428571428571427</v>
      </c>
      <c r="AI86" s="14">
        <f>IF('Données projet'!$A$62&gt;35,AI85+AH86-AQ85,IF(A86&lt;'Données projet'!$A$62,$AF$205^A86,IF(A86='Données projet'!$A$62,'Données projet'!$B$62,AI85+AH86-AQ85)))</f>
        <v>898.28571428571479</v>
      </c>
      <c r="AJ86" s="14">
        <f>AI86*VLOOKUP('Données projet'!$B$10,Paramètres!$A$1:$I$89,3,0)*VLOOKUP('Données projet'!$B$10,Paramètres!$A$1:$I$89,5,0)</f>
        <v>443.75314285714313</v>
      </c>
      <c r="AK86" s="14">
        <f t="shared" si="89"/>
        <v>100.59264853394444</v>
      </c>
      <c r="AL86" s="22">
        <f t="shared" si="58"/>
        <v>948.06892000614414</v>
      </c>
      <c r="AM86" s="62">
        <f t="shared" si="59"/>
        <v>1241.4022533394775</v>
      </c>
      <c r="AN86" s="62">
        <f ca="1">AVERAGE(OFFSET($AM$3,0,0,'Données projet'!$E$10+1,1))-AVERAGE(OFFSET($H$3,0,0,'Données projet'!$E$10+1,1))</f>
        <v>473.90982075211258</v>
      </c>
      <c r="AO86" s="62">
        <f t="shared" si="90"/>
        <v>127.17661287657279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2.2080587348333927</v>
      </c>
      <c r="AV86" s="23">
        <f>EXP(-LN(2)/25)*AV85+(1-EXP(-LN(2)/25))/(LN(2)/25)*Calculateur!AQ86*Calculateur!AS86*VLOOKUP('Données projet'!$B$10,Paramètres!$A$1:$I$89,3,0)*0.475*44/12</f>
        <v>0.30970792152992427</v>
      </c>
      <c r="AW86" s="23">
        <f>EXP(-LN(2)/2)*AW85+(1-EXP(-LN(2)/2))/(LN(2)/2)*AQ86*AT86*VLOOKUP('Données projet'!$B$10,Paramètres!$A$1:$I$89,3,0)*0.475*44/12</f>
        <v>2.2100335708834496E-8</v>
      </c>
      <c r="AX86" s="23">
        <f t="shared" si="60"/>
        <v>2.5177666784636528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2">
        <f t="shared" si="86"/>
        <v>12.105664442616733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70">
        <f t="shared" si="56"/>
        <v>384.78766557089091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-2.2737367544323206E-13</v>
      </c>
      <c r="O87" s="14">
        <f>N87*VLOOKUP('Données projet'!$B$9,Paramètres!$A$1:$I$89,3,0)*VLOOKUP('Données projet'!$B$9,Paramètres!$A$1:$I$89,5,0)</f>
        <v>-1.2710188457276673E-13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382.94446752777549</v>
      </c>
      <c r="T87" s="62">
        <f t="shared" si="88"/>
        <v>476.29465646955543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2.9166106827662057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2.2924468230070988E-7</v>
      </c>
      <c r="AC87" s="24">
        <f t="shared" si="57"/>
        <v>2.9166109120108881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16.428571428571427</v>
      </c>
      <c r="AI87" s="14">
        <f>IF('Données projet'!$A$62&gt;35,AI86+AH87-AQ86,IF(A87&lt;'Données projet'!$A$62,$AF$205^A87,IF(A87='Données projet'!$A$62,'Données projet'!$B$62,AI86+AH87-AQ86)))</f>
        <v>914.71428571428623</v>
      </c>
      <c r="AJ87" s="14">
        <f>AI87*VLOOKUP('Données projet'!$B$10,Paramètres!$A$1:$I$89,3,0)*VLOOKUP('Données projet'!$B$10,Paramètres!$A$1:$I$89,5,0)</f>
        <v>451.86885714285739</v>
      </c>
      <c r="AK87" s="14">
        <f t="shared" si="89"/>
        <v>102.21650584116372</v>
      </c>
      <c r="AL87" s="22">
        <f t="shared" si="58"/>
        <v>965.03200719717006</v>
      </c>
      <c r="AM87" s="62">
        <f t="shared" si="59"/>
        <v>1258.3653405305033</v>
      </c>
      <c r="AN87" s="62">
        <f ca="1">AVERAGE(OFFSET($AM$3,0,0,'Données projet'!$E$10+1,1))-AVERAGE(OFFSET($H$3,0,0,'Données projet'!$E$10+1,1))</f>
        <v>473.90982075211258</v>
      </c>
      <c r="AO87" s="62">
        <f t="shared" si="90"/>
        <v>127.17661287657279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2.1647600498261541</v>
      </c>
      <c r="AV87" s="23">
        <f>EXP(-LN(2)/25)*AV86+(1-EXP(-LN(2)/25))/(LN(2)/25)*Calculateur!AQ87*Calculateur!AS87*VLOOKUP('Données projet'!$B$10,Paramètres!$A$1:$I$89,3,0)*0.475*44/12</f>
        <v>0.30123894212885677</v>
      </c>
      <c r="AW87" s="23">
        <f>EXP(-LN(2)/2)*AW86+(1-EXP(-LN(2)/2))/(LN(2)/2)*AQ87*AT87*VLOOKUP('Données projet'!$B$10,Paramètres!$A$1:$I$89,3,0)*0.475*44/12</f>
        <v>1.5627297246216077E-8</v>
      </c>
      <c r="AX87" s="23">
        <f t="shared" si="60"/>
        <v>2.4659990075823082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2">
        <f t="shared" si="86"/>
        <v>12.232916663300438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70">
        <f t="shared" si="56"/>
        <v>385.84703818858173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-2.2737367544323206E-13</v>
      </c>
      <c r="O88" s="14">
        <f>N88*VLOOKUP('Données projet'!$B$9,Paramètres!$A$1:$I$89,3,0)*VLOOKUP('Données projet'!$B$9,Paramètres!$A$1:$I$89,5,0)</f>
        <v>-1.2710188457276673E-13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382.94446752777549</v>
      </c>
      <c r="T88" s="62">
        <f t="shared" si="88"/>
        <v>476.29465646955543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2.8594177262340197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1.6210046940578766E-7</v>
      </c>
      <c r="AC88" s="24">
        <f t="shared" si="57"/>
        <v>2.8594178883344892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16.428571428571427</v>
      </c>
      <c r="AI88" s="14">
        <f>IF('Données projet'!$A$62&gt;35,AI87+AH88-AQ87,IF(A88&lt;'Données projet'!$A$62,$AF$205^A88,IF(A88='Données projet'!$A$62,'Données projet'!$B$62,AI87+AH88-AQ87)))</f>
        <v>931.14285714285768</v>
      </c>
      <c r="AJ88" s="14">
        <f>AI88*VLOOKUP('Données projet'!$B$10,Paramètres!$A$1:$I$89,3,0)*VLOOKUP('Données projet'!$B$10,Paramètres!$A$1:$I$89,5,0)</f>
        <v>459.98457142857166</v>
      </c>
      <c r="AK88" s="14">
        <f t="shared" si="89"/>
        <v>103.83697169398373</v>
      </c>
      <c r="AL88" s="22">
        <f t="shared" si="58"/>
        <v>981.98918760511708</v>
      </c>
      <c r="AM88" s="62">
        <f t="shared" si="59"/>
        <v>1275.3225209384505</v>
      </c>
      <c r="AN88" s="62">
        <f ca="1">AVERAGE(OFFSET($AM$3,0,0,'Données projet'!$E$10+1,1))-AVERAGE(OFFSET($H$3,0,0,'Données projet'!$E$10+1,1))</f>
        <v>473.90982075211258</v>
      </c>
      <c r="AO88" s="62">
        <f t="shared" si="90"/>
        <v>127.17661287657279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2.1223104256223175</v>
      </c>
      <c r="AV88" s="23">
        <f>EXP(-LN(2)/25)*AV87+(1-EXP(-LN(2)/25))/(LN(2)/25)*Calculateur!AQ88*Calculateur!AS88*VLOOKUP('Données projet'!$B$10,Paramètres!$A$1:$I$89,3,0)*0.475*44/12</f>
        <v>0.29300154741487572</v>
      </c>
      <c r="AW88" s="23">
        <f>EXP(-LN(2)/2)*AW87+(1-EXP(-LN(2)/2))/(LN(2)/2)*AQ88*AT88*VLOOKUP('Données projet'!$B$10,Paramètres!$A$1:$I$89,3,0)*0.475*44/12</f>
        <v>1.1050167854417248E-8</v>
      </c>
      <c r="AX88" s="23">
        <f t="shared" si="60"/>
        <v>2.4153119840873609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2">
        <f t="shared" si="86"/>
        <v>12.359994738310691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70">
        <f t="shared" si="56"/>
        <v>386.90610750255792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-2.2737367544323206E-13</v>
      </c>
      <c r="O89" s="14">
        <f>N89*VLOOKUP('Données projet'!$B$9,Paramètres!$A$1:$I$89,3,0)*VLOOKUP('Données projet'!$B$9,Paramètres!$A$1:$I$89,5,0)</f>
        <v>-1.2710188457276673E-13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382.94446752777549</v>
      </c>
      <c r="T89" s="62">
        <f t="shared" si="88"/>
        <v>476.29465646955543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2.8033462886951708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1.1462234115035494E-7</v>
      </c>
      <c r="AC89" s="24">
        <f t="shared" si="57"/>
        <v>2.8033464033175117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16.428571428571427</v>
      </c>
      <c r="AI89" s="14">
        <f>IF('Données projet'!$A$62&gt;35,AI88+AH89-AQ88,IF(A89&lt;'Données projet'!$A$62,$AF$205^A89,IF(A89='Données projet'!$A$62,'Données projet'!$B$62,AI88+AH89-AQ88)))</f>
        <v>947.57142857142912</v>
      </c>
      <c r="AJ89" s="14">
        <f>AI89*VLOOKUP('Données projet'!$B$10,Paramètres!$A$1:$I$89,3,0)*VLOOKUP('Données projet'!$B$10,Paramètres!$A$1:$I$89,5,0)</f>
        <v>468.10028571428603</v>
      </c>
      <c r="AK89" s="14">
        <f t="shared" si="89"/>
        <v>105.45411283281064</v>
      </c>
      <c r="AL89" s="22">
        <f t="shared" si="58"/>
        <v>998.9405774695266</v>
      </c>
      <c r="AM89" s="62">
        <f t="shared" si="59"/>
        <v>1292.27391080286</v>
      </c>
      <c r="AN89" s="62">
        <f ca="1">AVERAGE(OFFSET($AM$3,0,0,'Données projet'!$E$10+1,1))-AVERAGE(OFFSET($H$3,0,0,'Données projet'!$E$10+1,1))</f>
        <v>473.90982075211258</v>
      </c>
      <c r="AO89" s="62">
        <f t="shared" si="90"/>
        <v>127.17661287657279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2.0806932126574043</v>
      </c>
      <c r="AV89" s="23">
        <f>EXP(-LN(2)/25)*AV88+(1-EXP(-LN(2)/25))/(LN(2)/25)*Calculateur!AQ89*Calculateur!AS89*VLOOKUP('Données projet'!$B$10,Paramètres!$A$1:$I$89,3,0)*0.475*44/12</f>
        <v>0.28498940469253425</v>
      </c>
      <c r="AW89" s="23">
        <f>EXP(-LN(2)/2)*AW88+(1-EXP(-LN(2)/2))/(LN(2)/2)*AQ89*AT89*VLOOKUP('Données projet'!$B$10,Paramètres!$A$1:$I$89,3,0)*0.475*44/12</f>
        <v>7.8136486231080384E-9</v>
      </c>
      <c r="AX89" s="23">
        <f t="shared" si="60"/>
        <v>2.3656826251635872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2">
        <f t="shared" si="86"/>
        <v>12.486900926874483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70">
        <f t="shared" si="56"/>
        <v>387.96487744763988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-2.2737367544323206E-13</v>
      </c>
      <c r="O90" s="14">
        <f>N90*VLOOKUP('Données projet'!$B$9,Paramètres!$A$1:$I$89,3,0)*VLOOKUP('Données projet'!$B$9,Paramètres!$A$1:$I$89,5,0)</f>
        <v>-1.2710188457276673E-13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382.94446752777549</v>
      </c>
      <c r="T90" s="62">
        <f t="shared" si="88"/>
        <v>476.29465646955543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2.7483743778462588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8.105023470289383E-8</v>
      </c>
      <c r="AC90" s="24">
        <f t="shared" si="57"/>
        <v>2.7483744588964933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>
        <f>VLOOKUP(A90,'Données projet'!$A$61:$I$81,2,0)</f>
        <v>964</v>
      </c>
      <c r="AG90" s="13">
        <f>VLOOKUP(A90,'Données projet'!$A$61:$I$81,9,0)</f>
        <v>16.428571428571427</v>
      </c>
      <c r="AH90" s="13">
        <f t="array" ref="AH90">INDEX(AG:AG,MIN(IF(ISNUMBER(AG90:AG286),ROW(AG90:AG286),"")))</f>
        <v>16.428571428571427</v>
      </c>
      <c r="AI90" s="14">
        <f>IF('Données projet'!$A$62&gt;35,AI89+AH90-AQ89,IF(A90&lt;'Données projet'!$A$62,$AF$205^A90,IF(A90='Données projet'!$A$62,'Données projet'!$B$62,AI89+AH90-AQ89)))</f>
        <v>964.00000000000057</v>
      </c>
      <c r="AJ90" s="14">
        <f>AI90*VLOOKUP('Données projet'!$B$10,Paramètres!$A$1:$I$89,3,0)*VLOOKUP('Données projet'!$B$10,Paramètres!$A$1:$I$89,5,0)</f>
        <v>476.21600000000029</v>
      </c>
      <c r="AK90" s="14">
        <f t="shared" si="89"/>
        <v>107.0679935512336</v>
      </c>
      <c r="AL90" s="22">
        <f t="shared" si="58"/>
        <v>1015.886288768399</v>
      </c>
      <c r="AM90" s="62">
        <f t="shared" si="59"/>
        <v>1309.2196221017323</v>
      </c>
      <c r="AN90" s="62">
        <f ca="1">AVERAGE(OFFSET($AM$3,0,0,'Données projet'!$E$10+1,1))-AVERAGE(OFFSET($H$3,0,0,'Données projet'!$E$10+1,1))</f>
        <v>473.90982075211258</v>
      </c>
      <c r="AO90" s="62">
        <f t="shared" si="90"/>
        <v>127.17661287657279</v>
      </c>
      <c r="AP90" s="16">
        <f>IF(ISNA(VLOOKUP(A90,'Données projet'!$A$61:$I$81,3,0)),0,VLOOKUP(A90,'Données projet'!$A$61:$I$81,3,0))</f>
        <v>10</v>
      </c>
      <c r="AQ90" s="16">
        <f>IF(ISNA(VLOOKUP(A90,'Données projet'!$A$61:$I$81,4,0)),0,VLOOKUP(A90,'Données projet'!$A$61:$I$81,4,0))</f>
        <v>100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2.0398920878547395</v>
      </c>
      <c r="AV90" s="23">
        <f>EXP(-LN(2)/25)*AV89+(1-EXP(-LN(2)/25))/(LN(2)/25)*Calculateur!AQ90*Calculateur!AS90*VLOOKUP('Données projet'!$B$10,Paramètres!$A$1:$I$89,3,0)*0.475*44/12</f>
        <v>0.27719635443427548</v>
      </c>
      <c r="AW90" s="23">
        <f>EXP(-LN(2)/2)*AW89+(1-EXP(-LN(2)/2))/(LN(2)/2)*AQ90*AT90*VLOOKUP('Données projet'!$B$10,Paramètres!$A$1:$I$89,3,0)*0.475*44/12</f>
        <v>5.5250839272086241E-9</v>
      </c>
      <c r="AX90" s="23">
        <f t="shared" si="60"/>
        <v>2.3170884478140992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2">
        <f t="shared" si="86"/>
        <v>12.613637433293027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70">
        <f t="shared" si="56"/>
        <v>389.02335186298552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-2.2737367544323206E-13</v>
      </c>
      <c r="O91" s="14">
        <f>N91*VLOOKUP('Données projet'!$B$9,Paramètres!$A$1:$I$89,3,0)*VLOOKUP('Données projet'!$B$9,Paramètres!$A$1:$I$89,5,0)</f>
        <v>-1.2710188457276673E-13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382.94446752777549</v>
      </c>
      <c r="T91" s="62">
        <f t="shared" si="88"/>
        <v>476.29465646955543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2.6944804326395388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5.7311170575177469E-8</v>
      </c>
      <c r="AC91" s="24">
        <f t="shared" si="57"/>
        <v>2.6944804899507093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14.142857142857142</v>
      </c>
      <c r="AI91" s="14">
        <f>IF('Données projet'!$A$62&gt;35,AI90+AH91-AQ90,IF(A91&lt;'Données projet'!$A$62,$AF$205^A91,IF(A91='Données projet'!$A$62,'Données projet'!$B$62,AI90+AH91-AQ90)))</f>
        <v>878.14285714285768</v>
      </c>
      <c r="AJ91" s="14">
        <f>AI91*VLOOKUP('Données projet'!$B$10,Paramètres!$A$1:$I$89,3,0)*VLOOKUP('Données projet'!$B$10,Paramètres!$A$1:$I$89,5,0)</f>
        <v>433.8025714285717</v>
      </c>
      <c r="AK91" s="14">
        <f t="shared" si="89"/>
        <v>98.596928028374066</v>
      </c>
      <c r="AL91" s="22">
        <f t="shared" si="58"/>
        <v>927.26246155418039</v>
      </c>
      <c r="AM91" s="62">
        <f t="shared" si="59"/>
        <v>1220.5957948875136</v>
      </c>
      <c r="AN91" s="62">
        <f ca="1">AVERAGE(OFFSET($AM$3,0,0,'Données projet'!$E$10+1,1))-AVERAGE(OFFSET($H$3,0,0,'Données projet'!$E$10+1,1))</f>
        <v>473.90982075211258</v>
      </c>
      <c r="AO91" s="62">
        <f t="shared" si="90"/>
        <v>127.17661287657279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1.9998910482232259</v>
      </c>
      <c r="AV91" s="23">
        <f>EXP(-LN(2)/25)*AV90+(1-EXP(-LN(2)/25))/(LN(2)/25)*Calculateur!AQ91*Calculateur!AS91*VLOOKUP('Données projet'!$B$10,Paramètres!$A$1:$I$89,3,0)*0.475*44/12</f>
        <v>0.26961640554514749</v>
      </c>
      <c r="AW91" s="23">
        <f>EXP(-LN(2)/2)*AW90+(1-EXP(-LN(2)/2))/(LN(2)/2)*AQ91*AT91*VLOOKUP('Données projet'!$B$10,Paramètres!$A$1:$I$89,3,0)*0.475*44/12</f>
        <v>3.9068243115540192E-9</v>
      </c>
      <c r="AX91" s="23">
        <f t="shared" si="60"/>
        <v>2.2695074576751977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2">
        <f t="shared" si="86"/>
        <v>12.740206408885738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70">
        <f t="shared" si="56"/>
        <v>390.08153449547615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-2.2737367544323206E-13</v>
      </c>
      <c r="O92" s="14">
        <f>N92*VLOOKUP('Données projet'!$B$9,Paramètres!$A$1:$I$89,3,0)*VLOOKUP('Données projet'!$B$9,Paramètres!$A$1:$I$89,5,0)</f>
        <v>-1.2710188457276673E-13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382.94446752777549</v>
      </c>
      <c r="T92" s="62">
        <f t="shared" si="88"/>
        <v>476.29465646955543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2.6416433148262621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4.0525117351446915E-8</v>
      </c>
      <c r="AC92" s="24">
        <f t="shared" si="57"/>
        <v>2.6416433553513796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14.142857142857142</v>
      </c>
      <c r="AI92" s="14">
        <f>IF('Données projet'!$A$62&gt;35,AI91+AH92-AQ91,IF(A92&lt;'Données projet'!$A$62,$AF$205^A92,IF(A92='Données projet'!$A$62,'Données projet'!$B$62,AI91+AH92-AQ91)))</f>
        <v>892.28571428571479</v>
      </c>
      <c r="AJ92" s="14">
        <f>AI92*VLOOKUP('Données projet'!$B$10,Paramètres!$A$1:$I$89,3,0)*VLOOKUP('Données projet'!$B$10,Paramètres!$A$1:$I$89,5,0)</f>
        <v>440.78914285714308</v>
      </c>
      <c r="AK92" s="14">
        <f t="shared" si="89"/>
        <v>99.998728570418919</v>
      </c>
      <c r="AL92" s="22">
        <f t="shared" si="58"/>
        <v>941.87220940300369</v>
      </c>
      <c r="AM92" s="62">
        <f t="shared" si="59"/>
        <v>1235.2055427363371</v>
      </c>
      <c r="AN92" s="62">
        <f ca="1">AVERAGE(OFFSET($AM$3,0,0,'Données projet'!$E$10+1,1))-AVERAGE(OFFSET($H$3,0,0,'Données projet'!$E$10+1,1))</f>
        <v>473.90982075211258</v>
      </c>
      <c r="AO92" s="62">
        <f t="shared" si="90"/>
        <v>127.17661287657279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1.9606744045806614</v>
      </c>
      <c r="AV92" s="23">
        <f>EXP(-LN(2)/25)*AV91+(1-EXP(-LN(2)/25))/(LN(2)/25)*Calculateur!AQ92*Calculateur!AS92*VLOOKUP('Données projet'!$B$10,Paramètres!$A$1:$I$89,3,0)*0.475*44/12</f>
        <v>0.26224373075700486</v>
      </c>
      <c r="AW92" s="23">
        <f>EXP(-LN(2)/2)*AW91+(1-EXP(-LN(2)/2))/(LN(2)/2)*AQ92*AT92*VLOOKUP('Données projet'!$B$10,Paramètres!$A$1:$I$89,3,0)*0.475*44/12</f>
        <v>2.762541963604312E-9</v>
      </c>
      <c r="AX92" s="23">
        <f t="shared" si="60"/>
        <v>2.2229181381002081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2">
        <f t="shared" si="86"/>
        <v>12.866609953844367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70">
        <f t="shared" si="56"/>
        <v>391.13942900294575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-2.2737367544323206E-13</v>
      </c>
      <c r="O93" s="14">
        <f>N93*VLOOKUP('Données projet'!$B$9,Paramètres!$A$1:$I$89,3,0)*VLOOKUP('Données projet'!$B$9,Paramètres!$A$1:$I$89,5,0)</f>
        <v>-1.2710188457276673E-13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382.94446752777549</v>
      </c>
      <c r="T93" s="62">
        <f t="shared" si="88"/>
        <v>476.29465646955543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2.5898423006658442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2.8655585287588734E-8</v>
      </c>
      <c r="AC93" s="24">
        <f t="shared" si="57"/>
        <v>2.5898423293214297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14.142857142857142</v>
      </c>
      <c r="AI93" s="14">
        <f>IF('Données projet'!$A$62&gt;35,AI92+AH93-AQ92,IF(A93&lt;'Données projet'!$A$62,$AF$205^A93,IF(A93='Données projet'!$A$62,'Données projet'!$B$62,AI92+AH93-AQ92)))</f>
        <v>906.4285714285719</v>
      </c>
      <c r="AJ93" s="14">
        <f>AI93*VLOOKUP('Données projet'!$B$10,Paramètres!$A$1:$I$89,3,0)*VLOOKUP('Données projet'!$B$10,Paramètres!$A$1:$I$89,5,0)</f>
        <v>447.77571428571457</v>
      </c>
      <c r="AK93" s="14">
        <f t="shared" si="89"/>
        <v>101.39794512097096</v>
      </c>
      <c r="AL93" s="22">
        <f t="shared" si="58"/>
        <v>956.47745679997718</v>
      </c>
      <c r="AM93" s="62">
        <f t="shared" si="59"/>
        <v>1249.8107901333105</v>
      </c>
      <c r="AN93" s="62">
        <f ca="1">AVERAGE(OFFSET($AM$3,0,0,'Données projet'!$E$10+1,1))-AVERAGE(OFFSET($H$3,0,0,'Données projet'!$E$10+1,1))</f>
        <v>473.90982075211258</v>
      </c>
      <c r="AO93" s="62">
        <f t="shared" si="90"/>
        <v>127.17661287657279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1.9222267754001368</v>
      </c>
      <c r="AV93" s="23">
        <f>EXP(-LN(2)/25)*AV92+(1-EXP(-LN(2)/25))/(LN(2)/25)*Calculateur!AQ93*Calculateur!AS93*VLOOKUP('Données projet'!$B$10,Paramètres!$A$1:$I$89,3,0)*0.475*44/12</f>
        <v>0.25507266214865615</v>
      </c>
      <c r="AW93" s="23">
        <f>EXP(-LN(2)/2)*AW92+(1-EXP(-LN(2)/2))/(LN(2)/2)*AQ93*AT93*VLOOKUP('Données projet'!$B$10,Paramètres!$A$1:$I$89,3,0)*0.475*44/12</f>
        <v>1.9534121557770096E-9</v>
      </c>
      <c r="AX93" s="23">
        <f t="shared" si="60"/>
        <v>2.1772994395022049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2">
        <f t="shared" si="86"/>
        <v>12.992850119002412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70">
        <f t="shared" si="56"/>
        <v>392.19703895726269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-2.2737367544323206E-13</v>
      </c>
      <c r="O94" s="14">
        <f>N94*VLOOKUP('Données projet'!$B$9,Paramètres!$A$1:$I$89,3,0)*VLOOKUP('Données projet'!$B$9,Paramètres!$A$1:$I$89,5,0)</f>
        <v>-1.2710188457276673E-13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382.94446752777549</v>
      </c>
      <c r="T94" s="62">
        <f t="shared" si="88"/>
        <v>476.29465646955543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2.5390570727976129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2.0262558675723458E-8</v>
      </c>
      <c r="AC94" s="24">
        <f t="shared" si="57"/>
        <v>2.5390570930601717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14.142857142857142</v>
      </c>
      <c r="AI94" s="14">
        <f>IF('Données projet'!$A$62&gt;35,AI93+AH94-AQ93,IF(A94&lt;'Données projet'!$A$62,$AF$205^A94,IF(A94='Données projet'!$A$62,'Données projet'!$B$62,AI93+AH94-AQ93)))</f>
        <v>920.57142857142901</v>
      </c>
      <c r="AJ94" s="14">
        <f>AI94*VLOOKUP('Données projet'!$B$10,Paramètres!$A$1:$I$89,3,0)*VLOOKUP('Données projet'!$B$10,Paramètres!$A$1:$I$89,5,0)</f>
        <v>454.76228571428595</v>
      </c>
      <c r="AK94" s="14">
        <f t="shared" si="89"/>
        <v>102.79462265342295</v>
      </c>
      <c r="AL94" s="22">
        <f t="shared" si="58"/>
        <v>971.07828207375962</v>
      </c>
      <c r="AM94" s="62">
        <f t="shared" si="59"/>
        <v>1264.411615407093</v>
      </c>
      <c r="AN94" s="62">
        <f ca="1">AVERAGE(OFFSET($AM$3,0,0,'Données projet'!$E$10+1,1))-AVERAGE(OFFSET($H$3,0,0,'Données projet'!$E$10+1,1))</f>
        <v>473.90982075211258</v>
      </c>
      <c r="AO94" s="62">
        <f t="shared" si="90"/>
        <v>127.17661287657279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1.8845330807771039</v>
      </c>
      <c r="AV94" s="23">
        <f>EXP(-LN(2)/25)*AV93+(1-EXP(-LN(2)/25))/(LN(2)/25)*Calculateur!AQ94*Calculateur!AS94*VLOOKUP('Données projet'!$B$10,Paramètres!$A$1:$I$89,3,0)*0.475*44/12</f>
        <v>0.24809768678851282</v>
      </c>
      <c r="AW94" s="23">
        <f>EXP(-LN(2)/2)*AW93+(1-EXP(-LN(2)/2))/(LN(2)/2)*AQ94*AT94*VLOOKUP('Données projet'!$B$10,Paramètres!$A$1:$I$89,3,0)*0.475*44/12</f>
        <v>1.381270981802156E-9</v>
      </c>
      <c r="AX94" s="23">
        <f t="shared" si="60"/>
        <v>2.1326307689468877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2">
        <f t="shared" si="86"/>
        <v>13.118928907524481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70">
        <f t="shared" si="56"/>
        <v>393.25436784727196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-2.2737367544323206E-13</v>
      </c>
      <c r="O95" s="14">
        <f>N95*VLOOKUP('Données projet'!$B$9,Paramètres!$A$1:$I$89,3,0)*VLOOKUP('Données projet'!$B$9,Paramètres!$A$1:$I$89,5,0)</f>
        <v>-1.2710188457276673E-13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382.94446752777549</v>
      </c>
      <c r="T95" s="62">
        <f t="shared" si="88"/>
        <v>476.29465646955543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2.4892677122719475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1.4327792643794367E-8</v>
      </c>
      <c r="AC95" s="24">
        <f t="shared" si="57"/>
        <v>2.4892677265997403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14.142857142857142</v>
      </c>
      <c r="AI95" s="14">
        <f>IF('Données projet'!$A$62&gt;35,AI94+AH95-AQ94,IF(A95&lt;'Données projet'!$A$62,$AF$205^A95,IF(A95='Données projet'!$A$62,'Données projet'!$B$62,AI94+AH95-AQ94)))</f>
        <v>934.71428571428612</v>
      </c>
      <c r="AJ95" s="14">
        <f>AI95*VLOOKUP('Données projet'!$B$10,Paramètres!$A$1:$I$89,3,0)*VLOOKUP('Données projet'!$B$10,Paramètres!$A$1:$I$89,5,0)</f>
        <v>461.74885714285739</v>
      </c>
      <c r="AK95" s="14">
        <f t="shared" si="89"/>
        <v>104.18880468001421</v>
      </c>
      <c r="AL95" s="22">
        <f t="shared" si="58"/>
        <v>985.67476100816805</v>
      </c>
      <c r="AM95" s="62">
        <f t="shared" si="59"/>
        <v>1279.0080943415014</v>
      </c>
      <c r="AN95" s="62">
        <f ca="1">AVERAGE(OFFSET($AM$3,0,0,'Données projet'!$E$10+1,1))-AVERAGE(OFFSET($H$3,0,0,'Données projet'!$E$10+1,1))</f>
        <v>473.90982075211258</v>
      </c>
      <c r="AO95" s="62">
        <f t="shared" si="90"/>
        <v>127.17661287657279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1.8475785365147452</v>
      </c>
      <c r="AV95" s="23">
        <f>EXP(-LN(2)/25)*AV94+(1-EXP(-LN(2)/25))/(LN(2)/25)*Calculateur!AQ95*Calculateur!AS95*VLOOKUP('Données projet'!$B$10,Paramètres!$A$1:$I$89,3,0)*0.475*44/12</f>
        <v>0.24131344249639061</v>
      </c>
      <c r="AW95" s="23">
        <f>EXP(-LN(2)/2)*AW94+(1-EXP(-LN(2)/2))/(LN(2)/2)*AQ95*AT95*VLOOKUP('Données projet'!$B$10,Paramètres!$A$1:$I$89,3,0)*0.475*44/12</f>
        <v>9.7670607788850479E-10</v>
      </c>
      <c r="AX95" s="23">
        <f t="shared" si="60"/>
        <v>2.0888919799878423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2">
        <f t="shared" si="86"/>
        <v>13.244848276520115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70">
        <f t="shared" si="56"/>
        <v>394.311419081606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-2.2737367544323206E-13</v>
      </c>
      <c r="O96" s="14">
        <f>N96*VLOOKUP('Données projet'!$B$9,Paramètres!$A$1:$I$89,3,0)*VLOOKUP('Données projet'!$B$9,Paramètres!$A$1:$I$89,5,0)</f>
        <v>-1.2710188457276673E-13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382.94446752777549</v>
      </c>
      <c r="T96" s="62">
        <f t="shared" si="88"/>
        <v>476.29465646955543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2.440454690737679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1.0131279337861729E-8</v>
      </c>
      <c r="AC96" s="24">
        <f t="shared" si="57"/>
        <v>2.4404547008689583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14.142857142857142</v>
      </c>
      <c r="AI96" s="14">
        <f>IF('Données projet'!$A$62&gt;35,AI95+AH96-AQ95,IF(A96&lt;'Données projet'!$A$62,$AF$205^A96,IF(A96='Données projet'!$A$62,'Données projet'!$B$62,AI95+AH96-AQ95)))</f>
        <v>948.85714285714323</v>
      </c>
      <c r="AJ96" s="14">
        <f>AI96*VLOOKUP('Données projet'!$B$10,Paramètres!$A$1:$I$89,3,0)*VLOOKUP('Données projet'!$B$10,Paramètres!$A$1:$I$89,5,0)</f>
        <v>468.73542857142877</v>
      </c>
      <c r="AK96" s="14">
        <f t="shared" si="89"/>
        <v>105.58053332067841</v>
      </c>
      <c r="AL96" s="22">
        <f t="shared" si="58"/>
        <v>1000.2669669620867</v>
      </c>
      <c r="AM96" s="62">
        <f t="shared" si="59"/>
        <v>1293.6003002954201</v>
      </c>
      <c r="AN96" s="62">
        <f ca="1">AVERAGE(OFFSET($AM$3,0,0,'Données projet'!$E$10+1,1))-AVERAGE(OFFSET($H$3,0,0,'Données projet'!$E$10+1,1))</f>
        <v>473.90982075211258</v>
      </c>
      <c r="AO96" s="62">
        <f t="shared" si="90"/>
        <v>127.17661287657279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1.8113486483253252</v>
      </c>
      <c r="AV96" s="23">
        <f>EXP(-LN(2)/25)*AV95+(1-EXP(-LN(2)/25))/(LN(2)/25)*Calculateur!AQ96*Calculateur!AS96*VLOOKUP('Données projet'!$B$10,Paramètres!$A$1:$I$89,3,0)*0.475*44/12</f>
        <v>0.23471471372120439</v>
      </c>
      <c r="AW96" s="23">
        <f>EXP(-LN(2)/2)*AW95+(1-EXP(-LN(2)/2))/(LN(2)/2)*AQ96*AT96*VLOOKUP('Données projet'!$B$10,Paramètres!$A$1:$I$89,3,0)*0.475*44/12</f>
        <v>6.9063549090107801E-10</v>
      </c>
      <c r="AX96" s="23">
        <f t="shared" si="60"/>
        <v>2.0460633627371649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2">
        <f t="shared" si="86"/>
        <v>13.37061013858626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70">
        <f t="shared" si="56"/>
        <v>395.36819599137124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-2.2737367544323206E-13</v>
      </c>
      <c r="O97" s="14">
        <f>N97*VLOOKUP('Données projet'!$B$9,Paramètres!$A$1:$I$89,3,0)*VLOOKUP('Données projet'!$B$9,Paramètres!$A$1:$I$89,5,0)</f>
        <v>-1.2710188457276673E-13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382.94446752777549</v>
      </c>
      <c r="T97" s="62">
        <f t="shared" si="88"/>
        <v>476.29465646955543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2.3925988627826942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7.1638963218971836E-9</v>
      </c>
      <c r="AC97" s="24">
        <f t="shared" si="57"/>
        <v>2.3925988699465903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>
        <f>VLOOKUP(A97,'Données projet'!$A$61:$I$81,2,0)</f>
        <v>963</v>
      </c>
      <c r="AG97" s="13">
        <f>VLOOKUP(A97,'Données projet'!$A$61:$I$81,9,0)</f>
        <v>14.142857142857142</v>
      </c>
      <c r="AH97" s="13">
        <f t="array" ref="AH97">INDEX(AG:AG,MIN(IF(ISNUMBER(AG97:AG293),ROW(AG97:AG293),"")))</f>
        <v>14.142857142857142</v>
      </c>
      <c r="AI97" s="14">
        <f>IF('Données projet'!$A$62&gt;35,AI96+AH97-AQ96,IF(A97&lt;'Données projet'!$A$62,$AF$205^A97,IF(A97='Données projet'!$A$62,'Données projet'!$B$62,AI96+AH97-AQ96)))</f>
        <v>963.00000000000034</v>
      </c>
      <c r="AJ97" s="14">
        <f>AI97*VLOOKUP('Données projet'!$B$10,Paramètres!$A$1:$I$89,3,0)*VLOOKUP('Données projet'!$B$10,Paramètres!$A$1:$I$89,5,0)</f>
        <v>475.72200000000015</v>
      </c>
      <c r="AK97" s="14">
        <f t="shared" si="89"/>
        <v>106.96984936767085</v>
      </c>
      <c r="AL97" s="22">
        <f t="shared" si="58"/>
        <v>1014.8549709820269</v>
      </c>
      <c r="AM97" s="62">
        <f t="shared" si="59"/>
        <v>1308.1883043153603</v>
      </c>
      <c r="AN97" s="62">
        <f ca="1">AVERAGE(OFFSET($AM$3,0,0,'Données projet'!$E$10+1,1))-AVERAGE(OFFSET($H$3,0,0,'Données projet'!$E$10+1,1))</f>
        <v>473.90982075211258</v>
      </c>
      <c r="AO97" s="62">
        <f t="shared" si="90"/>
        <v>127.17661287657279</v>
      </c>
      <c r="AP97" s="16">
        <f>IF(ISNA(VLOOKUP(A97,'Données projet'!$A$61:$I$81,3,0)),0,VLOOKUP(A97,'Données projet'!$A$61:$I$81,3,0))</f>
        <v>11</v>
      </c>
      <c r="AQ97" s="16">
        <f>IF(ISNA(VLOOKUP(A97,'Données projet'!$A$61:$I$81,4,0)),0,VLOOKUP(A97,'Données projet'!$A$61:$I$81,4,0))</f>
        <v>100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1.7758292061452496</v>
      </c>
      <c r="AV97" s="23">
        <f>EXP(-LN(2)/25)*AV96+(1-EXP(-LN(2)/25))/(LN(2)/25)*Calculateur!AQ97*Calculateur!AS97*VLOOKUP('Données projet'!$B$10,Paramètres!$A$1:$I$89,3,0)*0.475*44/12</f>
        <v>0.22829642753138771</v>
      </c>
      <c r="AW97" s="23">
        <f>EXP(-LN(2)/2)*AW96+(1-EXP(-LN(2)/2))/(LN(2)/2)*AQ97*AT97*VLOOKUP('Données projet'!$B$10,Paramètres!$A$1:$I$89,3,0)*0.475*44/12</f>
        <v>4.883530389442524E-10</v>
      </c>
      <c r="AX97" s="23">
        <f t="shared" si="60"/>
        <v>2.0041256341649905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2">
        <f t="shared" si="86"/>
        <v>13.49621636328218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70">
        <f t="shared" si="56"/>
        <v>396.42470183271661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-2.2737367544323206E-13</v>
      </c>
      <c r="O98" s="14">
        <f>N98*VLOOKUP('Données projet'!$B$9,Paramètres!$A$1:$I$89,3,0)*VLOOKUP('Données projet'!$B$9,Paramètres!$A$1:$I$89,5,0)</f>
        <v>-1.2710188457276673E-13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382.94446752777549</v>
      </c>
      <c r="T98" s="62">
        <f t="shared" si="88"/>
        <v>476.29465646955543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2.3456814584247341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5.0656396689308644E-9</v>
      </c>
      <c r="AC98" s="24">
        <f t="shared" si="57"/>
        <v>2.3456814634903735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12.428571428571429</v>
      </c>
      <c r="AI98" s="14">
        <f>IF('Données projet'!$A$62&gt;35,AI97+AH98-AQ97,IF(A98&lt;'Données projet'!$A$62,$AF$205^A98,IF(A98='Données projet'!$A$62,'Données projet'!$B$62,AI97+AH98-AQ97)))</f>
        <v>875.42857142857179</v>
      </c>
      <c r="AJ98" s="14">
        <f>AI98*VLOOKUP('Données projet'!$B$10,Paramètres!$A$1:$I$89,3,0)*VLOOKUP('Données projet'!$B$10,Paramètres!$A$1:$I$89,5,0)</f>
        <v>432.46171428571444</v>
      </c>
      <c r="AK98" s="14">
        <f t="shared" si="89"/>
        <v>98.327596194455523</v>
      </c>
      <c r="AL98" s="22">
        <f t="shared" si="58"/>
        <v>924.458049086296</v>
      </c>
      <c r="AM98" s="62">
        <f t="shared" si="59"/>
        <v>1217.7913824196294</v>
      </c>
      <c r="AN98" s="62">
        <f ca="1">AVERAGE(OFFSET($AM$3,0,0,'Données projet'!$E$10+1,1))-AVERAGE(OFFSET($H$3,0,0,'Données projet'!$E$10+1,1))</f>
        <v>473.90982075211258</v>
      </c>
      <c r="AO98" s="62">
        <f t="shared" si="90"/>
        <v>127.17661287657279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1.7410062785616049</v>
      </c>
      <c r="AV98" s="23">
        <f>EXP(-LN(2)/25)*AV97+(1-EXP(-LN(2)/25))/(LN(2)/25)*Calculateur!AQ98*Calculateur!AS98*VLOOKUP('Données projet'!$B$10,Paramètres!$A$1:$I$89,3,0)*0.475*44/12</f>
        <v>0.22205364971495456</v>
      </c>
      <c r="AW98" s="23">
        <f>EXP(-LN(2)/2)*AW97+(1-EXP(-LN(2)/2))/(LN(2)/2)*AQ98*AT98*VLOOKUP('Données projet'!$B$10,Paramètres!$A$1:$I$89,3,0)*0.475*44/12</f>
        <v>3.45317745450539E-10</v>
      </c>
      <c r="AX98" s="23">
        <f t="shared" si="60"/>
        <v>1.9630599286218773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2">
        <f t="shared" si="86"/>
        <v>13.621668778540512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70">
        <f t="shared" si="56"/>
        <v>397.48093978929154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-2.2737367544323206E-13</v>
      </c>
      <c r="O99" s="14">
        <f>N99*VLOOKUP('Données projet'!$B$9,Paramètres!$A$1:$I$89,3,0)*VLOOKUP('Données projet'!$B$9,Paramètres!$A$1:$I$89,5,0)</f>
        <v>-1.2710188457276673E-13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382.94446752777549</v>
      </c>
      <c r="T99" s="62">
        <f t="shared" si="88"/>
        <v>476.29465646955543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2.2996840757494423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3.5819481609485918E-9</v>
      </c>
      <c r="AC99" s="24">
        <f t="shared" si="57"/>
        <v>2.2996840793313904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12.428571428571429</v>
      </c>
      <c r="AI99" s="14">
        <f>IF('Données projet'!$A$62&gt;35,AI98+AH99-AQ98,IF(A99&lt;'Données projet'!$A$62,$AF$205^A99,IF(A99='Données projet'!$A$62,'Données projet'!$B$62,AI98+AH99-AQ98)))</f>
        <v>887.85714285714323</v>
      </c>
      <c r="AJ99" s="14">
        <f>AI99*VLOOKUP('Données projet'!$B$10,Paramètres!$A$1:$I$89,3,0)*VLOOKUP('Données projet'!$B$10,Paramètres!$A$1:$I$89,5,0)</f>
        <v>438.60142857142876</v>
      </c>
      <c r="AK99" s="14">
        <f t="shared" si="89"/>
        <v>99.560060966540576</v>
      </c>
      <c r="AL99" s="22">
        <f t="shared" si="58"/>
        <v>937.29792761196325</v>
      </c>
      <c r="AM99" s="62">
        <f t="shared" si="59"/>
        <v>1230.6312609452966</v>
      </c>
      <c r="AN99" s="62">
        <f ca="1">AVERAGE(OFFSET($AM$3,0,0,'Données projet'!$E$10+1,1))-AVERAGE(OFFSET($H$3,0,0,'Données projet'!$E$10+1,1))</f>
        <v>473.90982075211258</v>
      </c>
      <c r="AO99" s="62">
        <f t="shared" si="90"/>
        <v>127.17661287657279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1.706866207347987</v>
      </c>
      <c r="AV99" s="23">
        <f>EXP(-LN(2)/25)*AV98+(1-EXP(-LN(2)/25))/(LN(2)/25)*Calculateur!AQ99*Calculateur!AS99*VLOOKUP('Données projet'!$B$10,Paramètres!$A$1:$I$89,3,0)*0.475*44/12</f>
        <v>0.21598158098620521</v>
      </c>
      <c r="AW99" s="23">
        <f>EXP(-LN(2)/2)*AW98+(1-EXP(-LN(2)/2))/(LN(2)/2)*AQ99*AT99*VLOOKUP('Données projet'!$B$10,Paramètres!$A$1:$I$89,3,0)*0.475*44/12</f>
        <v>2.441765194721262E-10</v>
      </c>
      <c r="AX99" s="23">
        <f t="shared" si="60"/>
        <v>1.9228477885783686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2">
        <f t="shared" si="86"/>
        <v>13.746969172017856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70">
        <f t="shared" si="56"/>
        <v>398.5369129745979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-2.2737367544323206E-13</v>
      </c>
      <c r="O100" s="14">
        <f>N100*VLOOKUP('Données projet'!$B$9,Paramètres!$A$1:$I$89,3,0)*VLOOKUP('Données projet'!$B$9,Paramètres!$A$1:$I$89,5,0)</f>
        <v>-1.2710188457276673E-13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382.94446752777549</v>
      </c>
      <c r="T100" s="62">
        <f t="shared" si="88"/>
        <v>476.29465646955543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2.2545886736927798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2.5328198344654322E-9</v>
      </c>
      <c r="AC100" s="24">
        <f t="shared" si="57"/>
        <v>2.2545886762255996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12.428571428571429</v>
      </c>
      <c r="AI100" s="14">
        <f>IF('Données projet'!$A$62&gt;35,AI99+AH100-AQ99,IF(A100&lt;'Données projet'!$A$62,$AF$205^A100,IF(A100='Données projet'!$A$62,'Données projet'!$B$62,AI99+AH100-AQ99)))</f>
        <v>900.28571428571468</v>
      </c>
      <c r="AJ100" s="14">
        <f>AI100*VLOOKUP('Données projet'!$B$10,Paramètres!$A$1:$I$89,3,0)*VLOOKUP('Données projet'!$B$10,Paramètres!$A$1:$I$89,5,0)</f>
        <v>444.74114285714307</v>
      </c>
      <c r="AK100" s="14">
        <f t="shared" si="89"/>
        <v>100.79051911076431</v>
      </c>
      <c r="AL100" s="22">
        <f t="shared" si="58"/>
        <v>950.13431126077228</v>
      </c>
      <c r="AM100" s="62">
        <f t="shared" si="59"/>
        <v>1243.4676445941056</v>
      </c>
      <c r="AN100" s="62">
        <f ca="1">AVERAGE(OFFSET($AM$3,0,0,'Données projet'!$E$10+1,1))-AVERAGE(OFFSET($H$3,0,0,'Données projet'!$E$10+1,1))</f>
        <v>473.90982075211258</v>
      </c>
      <c r="AO100" s="62">
        <f t="shared" si="90"/>
        <v>127.17661287657279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1.6733956021074807</v>
      </c>
      <c r="AV100" s="23">
        <f>EXP(-LN(2)/25)*AV99+(1-EXP(-LN(2)/25))/(LN(2)/25)*Calculateur!AQ100*Calculateur!AS100*VLOOKUP('Données projet'!$B$10,Paramètres!$A$1:$I$89,3,0)*0.475*44/12</f>
        <v>0.21007555329615971</v>
      </c>
      <c r="AW100" s="23">
        <f>EXP(-LN(2)/2)*AW99+(1-EXP(-LN(2)/2))/(LN(2)/2)*AQ100*AT100*VLOOKUP('Données projet'!$B$10,Paramètres!$A$1:$I$89,3,0)*0.475*44/12</f>
        <v>1.726588727252695E-10</v>
      </c>
      <c r="AX100" s="23">
        <f t="shared" si="60"/>
        <v>1.8834711555762993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2">
        <f t="shared" si="86"/>
        <v>13.87211929238806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70">
        <f t="shared" si="56"/>
        <v>399.59262443424268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-2.2737367544323206E-13</v>
      </c>
      <c r="O101" s="14">
        <f>N101*VLOOKUP('Données projet'!$B$9,Paramètres!$A$1:$I$89,3,0)*VLOOKUP('Données projet'!$B$9,Paramètres!$A$1:$I$89,5,0)</f>
        <v>-1.2710188457276673E-13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382.94446752777549</v>
      </c>
      <c r="T101" s="62">
        <f t="shared" si="88"/>
        <v>476.29465646955543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2.2103775649649693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1.7909740804742959E-9</v>
      </c>
      <c r="AC101" s="24">
        <f t="shared" si="57"/>
        <v>2.2103775667559433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12.428571428571429</v>
      </c>
      <c r="AI101" s="14">
        <f>IF('Données projet'!$A$62&gt;35,AI100+AH101-AQ100,IF(A101&lt;'Données projet'!$A$62,$AF$205^A101,IF(A101='Données projet'!$A$62,'Données projet'!$B$62,AI100+AH101-AQ100)))</f>
        <v>912.71428571428612</v>
      </c>
      <c r="AJ101" s="14">
        <f>AI101*VLOOKUP('Données projet'!$B$10,Paramètres!$A$1:$I$89,3,0)*VLOOKUP('Données projet'!$B$10,Paramètres!$A$1:$I$89,5,0)</f>
        <v>450.88085714285734</v>
      </c>
      <c r="AK101" s="14">
        <f t="shared" si="89"/>
        <v>102.01900153053558</v>
      </c>
      <c r="AL101" s="22">
        <f t="shared" si="58"/>
        <v>962.96725385615935</v>
      </c>
      <c r="AM101" s="62">
        <f t="shared" si="59"/>
        <v>1256.3005871894927</v>
      </c>
      <c r="AN101" s="62">
        <f ca="1">AVERAGE(OFFSET($AM$3,0,0,'Données projet'!$E$10+1,1))-AVERAGE(OFFSET($H$3,0,0,'Données projet'!$E$10+1,1))</f>
        <v>473.90982075211258</v>
      </c>
      <c r="AO101" s="62">
        <f t="shared" si="90"/>
        <v>127.17661287657279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1.6405813350206875</v>
      </c>
      <c r="AV101" s="23">
        <f>EXP(-LN(2)/25)*AV100+(1-EXP(-LN(2)/25))/(LN(2)/25)*Calculateur!AQ101*Calculateur!AS101*VLOOKUP('Données projet'!$B$10,Paramètres!$A$1:$I$89,3,0)*0.475*44/12</f>
        <v>0.204331026243883</v>
      </c>
      <c r="AW101" s="23">
        <f>EXP(-LN(2)/2)*AW100+(1-EXP(-LN(2)/2))/(LN(2)/2)*AQ101*AT101*VLOOKUP('Données projet'!$B$10,Paramètres!$A$1:$I$89,3,0)*0.475*44/12</f>
        <v>1.220882597360631E-10</v>
      </c>
      <c r="AX101" s="23">
        <f t="shared" si="60"/>
        <v>1.8449123613866589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2">
        <f t="shared" si="86"/>
        <v>13.997120850581238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70">
        <f t="shared" si="56"/>
        <v>400.64807714809581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-2.2737367544323206E-13</v>
      </c>
      <c r="O102" s="14">
        <f>N102*VLOOKUP('Données projet'!$B$9,Paramètres!$A$1:$I$89,3,0)*VLOOKUP('Données projet'!$B$9,Paramètres!$A$1:$I$89,5,0)</f>
        <v>-1.2710188457276673E-13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382.94446752777549</v>
      </c>
      <c r="T102" s="62">
        <f t="shared" si="88"/>
        <v>476.29465646955543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2.1670334091131975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1.2664099172327161E-9</v>
      </c>
      <c r="AC102" s="24">
        <f t="shared" si="57"/>
        <v>2.1670334103796076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12.428571428571429</v>
      </c>
      <c r="AI102" s="14">
        <f>IF('Données projet'!$A$62&gt;35,AI101+AH102-AQ101,IF(A102&lt;'Données projet'!$A$62,$AF$205^A102,IF(A102='Données projet'!$A$62,'Données projet'!$B$62,AI101+AH102-AQ101)))</f>
        <v>925.14285714285757</v>
      </c>
      <c r="AJ102" s="14">
        <f>AI102*VLOOKUP('Données projet'!$B$10,Paramètres!$A$1:$I$89,3,0)*VLOOKUP('Données projet'!$B$10,Paramètres!$A$1:$I$89,5,0)</f>
        <v>457.02057142857166</v>
      </c>
      <c r="AK102" s="14">
        <f t="shared" si="89"/>
        <v>103.2455382392709</v>
      </c>
      <c r="AL102" s="22">
        <f t="shared" si="58"/>
        <v>975.79680767149239</v>
      </c>
      <c r="AM102" s="62">
        <f t="shared" si="59"/>
        <v>1269.1301410048256</v>
      </c>
      <c r="AN102" s="62">
        <f ca="1">AVERAGE(OFFSET($AM$3,0,0,'Données projet'!$E$10+1,1))-AVERAGE(OFFSET($H$3,0,0,'Données projet'!$E$10+1,1))</f>
        <v>473.90982075211258</v>
      </c>
      <c r="AO102" s="62">
        <f t="shared" si="90"/>
        <v>127.17661287657279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1.6084105356967395</v>
      </c>
      <c r="AV102" s="23">
        <f>EXP(-LN(2)/25)*AV101+(1-EXP(-LN(2)/25))/(LN(2)/25)*Calculateur!AQ102*Calculateur!AS102*VLOOKUP('Données projet'!$B$10,Paramètres!$A$1:$I$89,3,0)*0.475*44/12</f>
        <v>0.19874358358594235</v>
      </c>
      <c r="AW102" s="23">
        <f>EXP(-LN(2)/2)*AW101+(1-EXP(-LN(2)/2))/(LN(2)/2)*AQ102*AT102*VLOOKUP('Données projet'!$B$10,Paramètres!$A$1:$I$89,3,0)*0.475*44/12</f>
        <v>8.6329436362634751E-11</v>
      </c>
      <c r="AX102" s="23">
        <f t="shared" si="60"/>
        <v>1.8071541193690113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2">
        <f t="shared" si="86"/>
        <v>14.121975520971258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70">
        <f t="shared" si="56"/>
        <v>401.70327403235842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-2.2737367544323206E-13</v>
      </c>
      <c r="O103" s="14">
        <f>N103*VLOOKUP('Données projet'!$B$9,Paramètres!$A$1:$I$89,3,0)*VLOOKUP('Données projet'!$B$9,Paramètres!$A$1:$I$89,5,0)</f>
        <v>-1.2710188457276673E-13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382.94446752777549</v>
      </c>
      <c r="T103" s="62">
        <f t="shared" si="88"/>
        <v>476.29465646955543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2.1245392057203545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8.9548704023714795E-10</v>
      </c>
      <c r="AC103" s="24">
        <f t="shared" si="57"/>
        <v>2.1245392066158417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12.428571428571429</v>
      </c>
      <c r="AI103" s="14">
        <f>IF('Données projet'!$A$62&gt;35,AI102+AH103-AQ102,IF(A103&lt;'Données projet'!$A$62,$AF$205^A103,IF(A103='Données projet'!$A$62,'Données projet'!$B$62,AI102+AH103-AQ102)))</f>
        <v>937.57142857142901</v>
      </c>
      <c r="AJ103" s="14">
        <f>AI103*VLOOKUP('Données projet'!$B$10,Paramètres!$A$1:$I$89,3,0)*VLOOKUP('Données projet'!$B$10,Paramètres!$A$1:$I$89,5,0)</f>
        <v>463.16028571428592</v>
      </c>
      <c r="AK103" s="14">
        <f t="shared" si="89"/>
        <v>104.47015839763046</v>
      </c>
      <c r="AL103" s="22">
        <f t="shared" si="58"/>
        <v>988.62302349492109</v>
      </c>
      <c r="AM103" s="62">
        <f t="shared" si="59"/>
        <v>1281.9563568282545</v>
      </c>
      <c r="AN103" s="62">
        <f ca="1">AVERAGE(OFFSET($AM$3,0,0,'Données projet'!$E$10+1,1))-AVERAGE(OFFSET($H$3,0,0,'Données projet'!$E$10+1,1))</f>
        <v>473.90982075211258</v>
      </c>
      <c r="AO103" s="62">
        <f t="shared" si="90"/>
        <v>127.17661287657279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1.5768705861252843</v>
      </c>
      <c r="AV103" s="23">
        <f>EXP(-LN(2)/25)*AV102+(1-EXP(-LN(2)/25))/(LN(2)/25)*Calculateur!AQ103*Calculateur!AS103*VLOOKUP('Données projet'!$B$10,Paramètres!$A$1:$I$89,3,0)*0.475*44/12</f>
        <v>0.19330892984131393</v>
      </c>
      <c r="AW103" s="23">
        <f>EXP(-LN(2)/2)*AW102+(1-EXP(-LN(2)/2))/(LN(2)/2)*AQ103*AT103*VLOOKUP('Données projet'!$B$10,Paramètres!$A$1:$I$89,3,0)*0.475*44/12</f>
        <v>6.104412986803155E-11</v>
      </c>
      <c r="AX103" s="23">
        <f t="shared" si="60"/>
        <v>1.7701795160276423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2">
        <f t="shared" si="86"/>
        <v>14.246684942514399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70">
        <f t="shared" si="56"/>
        <v>402.75821794154609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-2.2737367544323206E-13</v>
      </c>
      <c r="O104" s="14">
        <f>N104*VLOOKUP('Données projet'!$B$9,Paramètres!$A$1:$I$89,3,0)*VLOOKUP('Données projet'!$B$9,Paramètres!$A$1:$I$89,5,0)</f>
        <v>-1.2710188457276673E-13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382.94446752777549</v>
      </c>
      <c r="T104" s="62">
        <f t="shared" si="88"/>
        <v>476.29465646955543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2.0828782877371403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6.3320495861635805E-10</v>
      </c>
      <c r="AC104" s="24">
        <f t="shared" si="57"/>
        <v>2.0828782883703454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>
        <f>VLOOKUP(A104,'Données projet'!$A$61:$I$81,2,0)</f>
        <v>950</v>
      </c>
      <c r="AG104" s="13">
        <f>VLOOKUP(A104,'Données projet'!$A$61:$I$81,9,0)</f>
        <v>12.428571428571429</v>
      </c>
      <c r="AH104" s="13">
        <f t="array" ref="AH104">INDEX(AG:AG,MIN(IF(ISNUMBER(AG104:AG300),ROW(AG104:AG300),"")))</f>
        <v>12.428571428571429</v>
      </c>
      <c r="AI104" s="14">
        <f>IF('Données projet'!$A$62&gt;35,AI103+AH104-AQ103,IF(A104&lt;'Données projet'!$A$62,$AF$205^A104,IF(A104='Données projet'!$A$62,'Données projet'!$B$62,AI103+AH104-AQ103)))</f>
        <v>950.00000000000045</v>
      </c>
      <c r="AJ104" s="14">
        <f>AI104*VLOOKUP('Données projet'!$B$10,Paramètres!$A$1:$I$89,3,0)*VLOOKUP('Données projet'!$B$10,Paramètres!$A$1:$I$89,5,0)</f>
        <v>469.30000000000024</v>
      </c>
      <c r="AK104" s="14">
        <f t="shared" si="89"/>
        <v>105.69289034872332</v>
      </c>
      <c r="AL104" s="22">
        <f t="shared" si="58"/>
        <v>1001.4459506906936</v>
      </c>
      <c r="AM104" s="62">
        <f t="shared" si="59"/>
        <v>1294.779284024027</v>
      </c>
      <c r="AN104" s="62">
        <f ca="1">AVERAGE(OFFSET($AM$3,0,0,'Données projet'!$E$10+1,1))-AVERAGE(OFFSET($H$3,0,0,'Données projet'!$E$10+1,1))</f>
        <v>473.90982075211258</v>
      </c>
      <c r="AO104" s="62">
        <f t="shared" si="90"/>
        <v>127.17661287657279</v>
      </c>
      <c r="AP104" s="16">
        <f>IF(ISNA(VLOOKUP(A104,'Données projet'!$A$61:$I$81,3,0)),0,VLOOKUP(A104,'Données projet'!$A$61:$I$81,3,0))</f>
        <v>12</v>
      </c>
      <c r="AQ104" s="16">
        <f>IF(ISNA(VLOOKUP(A104,'Données projet'!$A$61:$I$81,4,0)),0,VLOOKUP(A104,'Données projet'!$A$61:$I$81,4,0))</f>
        <v>100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1.5459491157274556</v>
      </c>
      <c r="AV104" s="23">
        <f>EXP(-LN(2)/25)*AV103+(1-EXP(-LN(2)/25))/(LN(2)/25)*Calculateur!AQ104*Calculateur!AS104*VLOOKUP('Données projet'!$B$10,Paramètres!$A$1:$I$89,3,0)*0.475*44/12</f>
        <v>0.18802288698912839</v>
      </c>
      <c r="AW104" s="23">
        <f>EXP(-LN(2)/2)*AW103+(1-EXP(-LN(2)/2))/(LN(2)/2)*AQ104*AT104*VLOOKUP('Données projet'!$B$10,Paramètres!$A$1:$I$89,3,0)*0.475*44/12</f>
        <v>4.3164718181317375E-11</v>
      </c>
      <c r="AX104" s="23">
        <f t="shared" si="60"/>
        <v>1.7339720027597487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2">
        <f t="shared" si="86"/>
        <v>14.371250719841637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70">
        <f t="shared" si="56"/>
        <v>403.81291167039103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-2.2737367544323206E-13</v>
      </c>
      <c r="O105" s="14">
        <f>N105*VLOOKUP('Données projet'!$B$9,Paramètres!$A$1:$I$89,3,0)*VLOOKUP('Données projet'!$B$9,Paramètres!$A$1:$I$89,5,0)</f>
        <v>-1.2710188457276673E-13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382.94446752777549</v>
      </c>
      <c r="T105" s="62">
        <f t="shared" si="88"/>
        <v>476.29465646955543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2.0420343149449258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4.4774352011857397E-10</v>
      </c>
      <c r="AC105" s="24">
        <f t="shared" si="57"/>
        <v>2.0420343153926694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850.00000000000045</v>
      </c>
      <c r="AJ105" s="14">
        <f>AI105*VLOOKUP('Données projet'!$B$10,Paramètres!$A$1:$I$89,3,0)*VLOOKUP('Données projet'!$B$10,Paramètres!$A$1:$I$89,5,0)</f>
        <v>419.90000000000026</v>
      </c>
      <c r="AK105" s="14">
        <f t="shared" si="89"/>
        <v>95.799614109391214</v>
      </c>
      <c r="AL105" s="22">
        <f t="shared" si="58"/>
        <v>898.17682790719027</v>
      </c>
      <c r="AM105" s="62">
        <f t="shared" si="59"/>
        <v>1191.5101612405235</v>
      </c>
      <c r="AN105" s="62">
        <f ca="1">AVERAGE(OFFSET($AM$3,0,0,'Données projet'!$E$10+1,1))-AVERAGE(OFFSET($H$3,0,0,'Données projet'!$E$10+1,1))</f>
        <v>473.90982075211258</v>
      </c>
      <c r="AO105" s="62">
        <f t="shared" si="90"/>
        <v>127.17661287657279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1.5156339965038936</v>
      </c>
      <c r="AV105" s="23">
        <f>EXP(-LN(2)/25)*AV104+(1-EXP(-LN(2)/25))/(LN(2)/25)*Calculateur!AQ105*Calculateur!AS105*VLOOKUP('Données projet'!$B$10,Paramètres!$A$1:$I$89,3,0)*0.475*44/12</f>
        <v>0.18288139125671679</v>
      </c>
      <c r="AW105" s="23">
        <f>EXP(-LN(2)/2)*AW104+(1-EXP(-LN(2)/2))/(LN(2)/2)*AQ105*AT105*VLOOKUP('Données projet'!$B$10,Paramètres!$A$1:$I$89,3,0)*0.475*44/12</f>
        <v>3.0522064934015775E-11</v>
      </c>
      <c r="AX105" s="23">
        <f t="shared" si="60"/>
        <v>1.6985153877911325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2">
        <f t="shared" si="86"/>
        <v>14.495674424306822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70">
        <f t="shared" si="56"/>
        <v>404.8673579556679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-2.2737367544323206E-13</v>
      </c>
      <c r="O106" s="14">
        <f>N106*VLOOKUP('Données projet'!$B$9,Paramètres!$A$1:$I$89,3,0)*VLOOKUP('Données projet'!$B$9,Paramètres!$A$1:$I$89,5,0)</f>
        <v>-1.2710188457276673E-13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382.94446752777549</v>
      </c>
      <c r="T106" s="62">
        <f t="shared" si="88"/>
        <v>476.29465646955543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2.0019912675468032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3.1660247930817902E-10</v>
      </c>
      <c r="AC106" s="24">
        <f t="shared" si="57"/>
        <v>2.0019912678634055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850.00000000000045</v>
      </c>
      <c r="AJ106" s="14">
        <f>AI106*VLOOKUP('Données projet'!$B$10,Paramètres!$A$1:$I$89,3,0)*VLOOKUP('Données projet'!$B$10,Paramètres!$A$1:$I$89,5,0)</f>
        <v>419.90000000000026</v>
      </c>
      <c r="AK106" s="14">
        <f t="shared" si="89"/>
        <v>95.799614109391214</v>
      </c>
      <c r="AL106" s="22">
        <f t="shared" si="58"/>
        <v>898.17682790719027</v>
      </c>
      <c r="AM106" s="62">
        <f t="shared" si="59"/>
        <v>1191.5101612405235</v>
      </c>
      <c r="AN106" s="62">
        <f ca="1">AVERAGE(OFFSET($AM$3,0,0,'Données projet'!$E$10+1,1))-AVERAGE(OFFSET($H$3,0,0,'Données projet'!$E$10+1,1))</f>
        <v>473.90982075211258</v>
      </c>
      <c r="AO106" s="62">
        <f t="shared" si="90"/>
        <v>127.17661287657279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1.4859133382779088</v>
      </c>
      <c r="AV106" s="23">
        <f>EXP(-LN(2)/25)*AV105+(1-EXP(-LN(2)/25))/(LN(2)/25)*Calculateur!AQ106*Calculateur!AS106*VLOOKUP('Données projet'!$B$10,Paramètres!$A$1:$I$89,3,0)*0.475*44/12</f>
        <v>0.17788048999548747</v>
      </c>
      <c r="AW106" s="23">
        <f>EXP(-LN(2)/2)*AW105+(1-EXP(-LN(2)/2))/(LN(2)/2)*AQ106*AT106*VLOOKUP('Données projet'!$B$10,Paramètres!$A$1:$I$89,3,0)*0.475*44/12</f>
        <v>2.1582359090658688E-11</v>
      </c>
      <c r="AX106" s="23">
        <f t="shared" si="60"/>
        <v>1.6637938282949787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2">
        <f t="shared" si="86"/>
        <v>14.619957594993028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70">
        <f t="shared" si="56"/>
        <v>405.92155947794635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-2.2737367544323206E-13</v>
      </c>
      <c r="O107" s="14">
        <f>N107*VLOOKUP('Données projet'!$B$9,Paramètres!$A$1:$I$89,3,0)*VLOOKUP('Données projet'!$B$9,Paramètres!$A$1:$I$89,5,0)</f>
        <v>-1.2710188457276673E-13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382.94446752777549</v>
      </c>
      <c r="T107" s="62">
        <f t="shared" si="88"/>
        <v>476.29465646955543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1.9627334398843106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2.2387176005928699E-10</v>
      </c>
      <c r="AC107" s="24">
        <f t="shared" si="57"/>
        <v>1.9627334401081824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850.00000000000045</v>
      </c>
      <c r="AJ107" s="14">
        <f>AI107*VLOOKUP('Données projet'!$B$10,Paramètres!$A$1:$I$89,3,0)*VLOOKUP('Données projet'!$B$10,Paramètres!$A$1:$I$89,5,0)</f>
        <v>419.90000000000026</v>
      </c>
      <c r="AK107" s="14">
        <f t="shared" si="89"/>
        <v>95.799614109391214</v>
      </c>
      <c r="AL107" s="22">
        <f t="shared" si="58"/>
        <v>898.17682790719027</v>
      </c>
      <c r="AM107" s="62">
        <f t="shared" si="59"/>
        <v>1191.5101612405235</v>
      </c>
      <c r="AN107" s="62">
        <f ca="1">AVERAGE(OFFSET($AM$3,0,0,'Données projet'!$E$10+1,1))-AVERAGE(OFFSET($H$3,0,0,'Données projet'!$E$10+1,1))</f>
        <v>473.90982075211258</v>
      </c>
      <c r="AO107" s="62">
        <f t="shared" si="90"/>
        <v>127.17661287657279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1.456775484031924</v>
      </c>
      <c r="AV107" s="23">
        <f>EXP(-LN(2)/25)*AV106+(1-EXP(-LN(2)/25))/(LN(2)/25)*Calculateur!AQ107*Calculateur!AS107*VLOOKUP('Données projet'!$B$10,Paramètres!$A$1:$I$89,3,0)*0.475*44/12</f>
        <v>0.17301633864223245</v>
      </c>
      <c r="AW107" s="23">
        <f>EXP(-LN(2)/2)*AW106+(1-EXP(-LN(2)/2))/(LN(2)/2)*AQ107*AT107*VLOOKUP('Données projet'!$B$10,Paramètres!$A$1:$I$89,3,0)*0.475*44/12</f>
        <v>1.5261032467007887E-11</v>
      </c>
      <c r="AX107" s="23">
        <f t="shared" si="60"/>
        <v>1.6297918226894177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2">
        <f t="shared" si="86"/>
        <v>14.744101739679099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70">
        <f t="shared" si="56"/>
        <v>406.9755188632746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-2.2737367544323206E-13</v>
      </c>
      <c r="O108" s="14">
        <f>N108*VLOOKUP('Données projet'!$B$9,Paramètres!$A$1:$I$89,3,0)*VLOOKUP('Données projet'!$B$9,Paramètres!$A$1:$I$89,5,0)</f>
        <v>-1.2710188457276673E-13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382.94446752777549</v>
      </c>
      <c r="T108" s="62">
        <f t="shared" si="88"/>
        <v>476.29465646955543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1.9242454342773689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1.5830123965408951E-10</v>
      </c>
      <c r="AC108" s="24">
        <f t="shared" si="57"/>
        <v>1.9242454344356701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850.00000000000045</v>
      </c>
      <c r="AJ108" s="14">
        <f>AI108*VLOOKUP('Données projet'!$B$10,Paramètres!$A$1:$I$89,3,0)*VLOOKUP('Données projet'!$B$10,Paramètres!$A$1:$I$89,5,0)</f>
        <v>419.90000000000026</v>
      </c>
      <c r="AK108" s="14">
        <f t="shared" si="89"/>
        <v>95.799614109391214</v>
      </c>
      <c r="AL108" s="22">
        <f t="shared" si="58"/>
        <v>898.17682790719027</v>
      </c>
      <c r="AM108" s="62">
        <f t="shared" si="59"/>
        <v>1191.5101612405235</v>
      </c>
      <c r="AN108" s="62">
        <f ca="1">AVERAGE(OFFSET($AM$3,0,0,'Données projet'!$E$10+1,1))-AVERAGE(OFFSET($H$3,0,0,'Données projet'!$E$10+1,1))</f>
        <v>473.90982075211258</v>
      </c>
      <c r="AO108" s="62">
        <f t="shared" si="90"/>
        <v>127.17661287657279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1.4282090053353667</v>
      </c>
      <c r="AV108" s="23">
        <f>EXP(-LN(2)/25)*AV107+(1-EXP(-LN(2)/25))/(LN(2)/25)*Calculateur!AQ108*Calculateur!AS108*VLOOKUP('Données projet'!$B$10,Paramètres!$A$1:$I$89,3,0)*0.475*44/12</f>
        <v>0.16828519776352679</v>
      </c>
      <c r="AW108" s="23">
        <f>EXP(-LN(2)/2)*AW107+(1-EXP(-LN(2)/2))/(LN(2)/2)*AQ108*AT108*VLOOKUP('Données projet'!$B$10,Paramètres!$A$1:$I$89,3,0)*0.475*44/12</f>
        <v>1.0791179545329344E-11</v>
      </c>
      <c r="AX108" s="23">
        <f t="shared" si="60"/>
        <v>1.5964942031096847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2">
        <f t="shared" si="86"/>
        <v>14.868108335768225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70">
        <f t="shared" si="56"/>
        <v>408.0292386847965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-2.2737367544323206E-13</v>
      </c>
      <c r="O109" s="14">
        <f>N109*VLOOKUP('Données projet'!$B$9,Paramètres!$A$1:$I$89,3,0)*VLOOKUP('Données projet'!$B$9,Paramètres!$A$1:$I$89,5,0)</f>
        <v>-1.2710188457276673E-13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382.94446752777549</v>
      </c>
      <c r="T109" s="62">
        <f t="shared" si="88"/>
        <v>476.29465646955543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1.8865121549850139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1.1193588002964349E-10</v>
      </c>
      <c r="AC109" s="24">
        <f t="shared" si="57"/>
        <v>1.8865121550969497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850.00000000000045</v>
      </c>
      <c r="AJ109" s="14">
        <f>AI109*VLOOKUP('Données projet'!$B$10,Paramètres!$A$1:$I$89,3,0)*VLOOKUP('Données projet'!$B$10,Paramètres!$A$1:$I$89,5,0)</f>
        <v>419.90000000000026</v>
      </c>
      <c r="AK109" s="14">
        <f t="shared" si="89"/>
        <v>95.799614109391214</v>
      </c>
      <c r="AL109" s="22">
        <f t="shared" si="58"/>
        <v>898.17682790719027</v>
      </c>
      <c r="AM109" s="62">
        <f t="shared" si="59"/>
        <v>1191.5101612405235</v>
      </c>
      <c r="AN109" s="62">
        <f ca="1">AVERAGE(OFFSET($AM$3,0,0,'Données projet'!$E$10+1,1))-AVERAGE(OFFSET($H$3,0,0,'Données projet'!$E$10+1,1))</f>
        <v>473.90982075211258</v>
      </c>
      <c r="AO109" s="62">
        <f t="shared" si="90"/>
        <v>127.17661287657279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1.4002026978622173</v>
      </c>
      <c r="AV109" s="23">
        <f>EXP(-LN(2)/25)*AV108+(1-EXP(-LN(2)/25))/(LN(2)/25)*Calculateur!AQ109*Calculateur!AS109*VLOOKUP('Données projet'!$B$10,Paramètres!$A$1:$I$89,3,0)*0.475*44/12</f>
        <v>0.16368343018094922</v>
      </c>
      <c r="AW109" s="23">
        <f>EXP(-LN(2)/2)*AW108+(1-EXP(-LN(2)/2))/(LN(2)/2)*AQ109*AT109*VLOOKUP('Données projet'!$B$10,Paramètres!$A$1:$I$89,3,0)*0.475*44/12</f>
        <v>7.6305162335039437E-12</v>
      </c>
      <c r="AX109" s="23">
        <f t="shared" si="60"/>
        <v>1.563886128050797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2">
        <f t="shared" si="86"/>
        <v>14.991978831180672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70">
        <f t="shared" si="56"/>
        <v>409.08272146430653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-2.2737367544323206E-13</v>
      </c>
      <c r="O110" s="14">
        <f>N110*VLOOKUP('Données projet'!$B$9,Paramètres!$A$1:$I$89,3,0)*VLOOKUP('Données projet'!$B$9,Paramètres!$A$1:$I$89,5,0)</f>
        <v>-1.2710188457276673E-13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382.94446752777549</v>
      </c>
      <c r="T110" s="62">
        <f t="shared" si="88"/>
        <v>476.29465646955543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1.8495188022845541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7.9150619827044756E-11</v>
      </c>
      <c r="AC110" s="24">
        <f t="shared" si="57"/>
        <v>1.8495188023637048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850.00000000000045</v>
      </c>
      <c r="AJ110" s="14">
        <f>AI110*VLOOKUP('Données projet'!$B$10,Paramètres!$A$1:$I$89,3,0)*VLOOKUP('Données projet'!$B$10,Paramètres!$A$1:$I$89,5,0)</f>
        <v>419.90000000000026</v>
      </c>
      <c r="AK110" s="14">
        <f t="shared" si="89"/>
        <v>95.799614109391214</v>
      </c>
      <c r="AL110" s="22">
        <f t="shared" si="58"/>
        <v>898.17682790719027</v>
      </c>
      <c r="AM110" s="62">
        <f t="shared" si="59"/>
        <v>1191.5101612405235</v>
      </c>
      <c r="AN110" s="62">
        <f ca="1">AVERAGE(OFFSET($AM$3,0,0,'Données projet'!$E$10+1,1))-AVERAGE(OFFSET($H$3,0,0,'Données projet'!$E$10+1,1))</f>
        <v>473.90982075211258</v>
      </c>
      <c r="AO110" s="62">
        <f t="shared" si="90"/>
        <v>127.17661287657279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1.3727455769964556</v>
      </c>
      <c r="AV110" s="23">
        <f>EXP(-LN(2)/25)*AV109+(1-EXP(-LN(2)/25))/(LN(2)/25)*Calculateur!AQ110*Calculateur!AS110*VLOOKUP('Données projet'!$B$10,Paramètres!$A$1:$I$89,3,0)*0.475*44/12</f>
        <v>0.15920749817491367</v>
      </c>
      <c r="AW110" s="23">
        <f>EXP(-LN(2)/2)*AW109+(1-EXP(-LN(2)/2))/(LN(2)/2)*AQ110*AT110*VLOOKUP('Données projet'!$B$10,Paramètres!$A$1:$I$89,3,0)*0.475*44/12</f>
        <v>5.3955897726646719E-12</v>
      </c>
      <c r="AX110" s="23">
        <f t="shared" si="60"/>
        <v>1.5319530751767649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2">
        <f t="shared" si="86"/>
        <v>15.115714645211925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70">
        <f t="shared" si="56"/>
        <v>410.13596967374428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-2.2737367544323206E-13</v>
      </c>
      <c r="O111" s="14">
        <f>N111*VLOOKUP('Données projet'!$B$9,Paramètres!$A$1:$I$89,3,0)*VLOOKUP('Données projet'!$B$9,Paramètres!$A$1:$I$89,5,0)</f>
        <v>-1.2710188457276673E-13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382.94446752777549</v>
      </c>
      <c r="T111" s="62">
        <f t="shared" si="88"/>
        <v>476.29465646955543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1.8132508666668332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5.5967940014821747E-11</v>
      </c>
      <c r="AC111" s="24">
        <f t="shared" si="57"/>
        <v>1.8132508667228011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850.00000000000045</v>
      </c>
      <c r="AJ111" s="14">
        <f>AI111*VLOOKUP('Données projet'!$B$10,Paramètres!$A$1:$I$89,3,0)*VLOOKUP('Données projet'!$B$10,Paramètres!$A$1:$I$89,5,0)</f>
        <v>419.90000000000026</v>
      </c>
      <c r="AK111" s="14">
        <f t="shared" si="89"/>
        <v>95.799614109391214</v>
      </c>
      <c r="AL111" s="22">
        <f t="shared" si="58"/>
        <v>898.17682790719027</v>
      </c>
      <c r="AM111" s="62">
        <f t="shared" si="59"/>
        <v>1191.5101612405235</v>
      </c>
      <c r="AN111" s="62">
        <f ca="1">AVERAGE(OFFSET($AM$3,0,0,'Données projet'!$E$10+1,1))-AVERAGE(OFFSET($H$3,0,0,'Données projet'!$E$10+1,1))</f>
        <v>473.90982075211258</v>
      </c>
      <c r="AO111" s="62">
        <f t="shared" si="90"/>
        <v>127.17661287657279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1.3458268735236814</v>
      </c>
      <c r="AV111" s="23">
        <f>EXP(-LN(2)/25)*AV110+(1-EXP(-LN(2)/25))/(LN(2)/25)*Calculateur!AQ111*Calculateur!AS111*VLOOKUP('Données projet'!$B$10,Paramètres!$A$1:$I$89,3,0)*0.475*44/12</f>
        <v>0.15485396076496219</v>
      </c>
      <c r="AW111" s="23">
        <f>EXP(-LN(2)/2)*AW110+(1-EXP(-LN(2)/2))/(LN(2)/2)*AQ111*AT111*VLOOKUP('Données projet'!$B$10,Paramètres!$A$1:$I$89,3,0)*0.475*44/12</f>
        <v>3.8152581167519719E-12</v>
      </c>
      <c r="AX111" s="23">
        <f t="shared" si="60"/>
        <v>1.5006808342924587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2">
        <f t="shared" si="86"/>
        <v>15.239317169358381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70">
        <f t="shared" si="56"/>
        <v>411.18898573663273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-2.2737367544323206E-13</v>
      </c>
      <c r="O112" s="14">
        <f>N112*VLOOKUP('Données projet'!$B$9,Paramètres!$A$1:$I$89,3,0)*VLOOKUP('Données projet'!$B$9,Paramètres!$A$1:$I$89,5,0)</f>
        <v>-1.2710188457276673E-13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382.94446752777549</v>
      </c>
      <c r="T112" s="62">
        <f t="shared" si="88"/>
        <v>476.29465646955543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1.7776941231453194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3.9575309913522378E-11</v>
      </c>
      <c r="AC112" s="24">
        <f t="shared" si="57"/>
        <v>1.7776941231848946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850.00000000000045</v>
      </c>
      <c r="AJ112" s="14">
        <f>AI112*VLOOKUP('Données projet'!$B$10,Paramètres!$A$1:$I$89,3,0)*VLOOKUP('Données projet'!$B$10,Paramètres!$A$1:$I$89,5,0)</f>
        <v>419.90000000000026</v>
      </c>
      <c r="AK112" s="14">
        <f t="shared" si="89"/>
        <v>95.799614109391214</v>
      </c>
      <c r="AL112" s="22">
        <f t="shared" si="58"/>
        <v>898.17682790719027</v>
      </c>
      <c r="AM112" s="62">
        <f t="shared" si="59"/>
        <v>1191.5101612405235</v>
      </c>
      <c r="AN112" s="62">
        <f ca="1">AVERAGE(OFFSET($AM$3,0,0,'Données projet'!$E$10+1,1))-AVERAGE(OFFSET($H$3,0,0,'Données projet'!$E$10+1,1))</f>
        <v>473.90982075211258</v>
      </c>
      <c r="AO112" s="62">
        <f t="shared" si="90"/>
        <v>127.17661287657279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1.3194360294072203</v>
      </c>
      <c r="AV112" s="23">
        <f>EXP(-LN(2)/25)*AV111+(1-EXP(-LN(2)/25))/(LN(2)/25)*Calculateur!AQ112*Calculateur!AS112*VLOOKUP('Données projet'!$B$10,Paramètres!$A$1:$I$89,3,0)*0.475*44/12</f>
        <v>0.15061947106442841</v>
      </c>
      <c r="AW112" s="23">
        <f>EXP(-LN(2)/2)*AW111+(1-EXP(-LN(2)/2))/(LN(2)/2)*AQ112*AT112*VLOOKUP('Données projet'!$B$10,Paramètres!$A$1:$I$89,3,0)*0.475*44/12</f>
        <v>2.697794886332336E-12</v>
      </c>
      <c r="AX112" s="23">
        <f t="shared" si="60"/>
        <v>1.4700555004743465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2">
        <f t="shared" si="86"/>
        <v>15.362787768111703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70">
        <f t="shared" si="56"/>
        <v>412.2417720294614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-2.2737367544323206E-13</v>
      </c>
      <c r="O113" s="14">
        <f>N113*VLOOKUP('Données projet'!$B$9,Paramètres!$A$1:$I$89,3,0)*VLOOKUP('Données projet'!$B$9,Paramètres!$A$1:$I$89,5,0)</f>
        <v>-1.2710188457276673E-13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382.94446752777549</v>
      </c>
      <c r="T113" s="62">
        <f t="shared" si="88"/>
        <v>476.29465646955543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1.7428346256767904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2.7983970007410873E-11</v>
      </c>
      <c r="AC113" s="24">
        <f t="shared" si="57"/>
        <v>1.7428346257047744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850.00000000000045</v>
      </c>
      <c r="AJ113" s="14">
        <f>AI113*VLOOKUP('Données projet'!$B$10,Paramètres!$A$1:$I$89,3,0)*VLOOKUP('Données projet'!$B$10,Paramètres!$A$1:$I$89,5,0)</f>
        <v>419.90000000000026</v>
      </c>
      <c r="AK113" s="14">
        <f t="shared" si="89"/>
        <v>95.799614109391214</v>
      </c>
      <c r="AL113" s="22">
        <f t="shared" si="58"/>
        <v>898.17682790719027</v>
      </c>
      <c r="AM113" s="62">
        <f t="shared" si="59"/>
        <v>1191.5101612405235</v>
      </c>
      <c r="AN113" s="62">
        <f ca="1">AVERAGE(OFFSET($AM$3,0,0,'Données projet'!$E$10+1,1))-AVERAGE(OFFSET($H$3,0,0,'Données projet'!$E$10+1,1))</f>
        <v>473.90982075211258</v>
      </c>
      <c r="AO113" s="62">
        <f t="shared" si="90"/>
        <v>127.17661287657279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1.2935626936470574</v>
      </c>
      <c r="AV113" s="23">
        <f>EXP(-LN(2)/25)*AV112+(1-EXP(-LN(2)/25))/(LN(2)/25)*Calculateur!AQ113*Calculateur!AS113*VLOOKUP('Données projet'!$B$10,Paramètres!$A$1:$I$89,3,0)*0.475*44/12</f>
        <v>0.14650077370743789</v>
      </c>
      <c r="AW113" s="23">
        <f>EXP(-LN(2)/2)*AW112+(1-EXP(-LN(2)/2))/(LN(2)/2)*AQ113*AT113*VLOOKUP('Données projet'!$B$10,Paramètres!$A$1:$I$89,3,0)*0.475*44/12</f>
        <v>1.9076290583759859E-12</v>
      </c>
      <c r="AX113" s="23">
        <f t="shared" si="60"/>
        <v>1.440063467356403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2">
        <f t="shared" si="86"/>
        <v>15.486127779723555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70">
        <f t="shared" si="56"/>
        <v>413.29433088301869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-2.2737367544323206E-13</v>
      </c>
      <c r="O114" s="14">
        <f>N114*VLOOKUP('Données projet'!$B$9,Paramètres!$A$1:$I$89,3,0)*VLOOKUP('Données projet'!$B$9,Paramètres!$A$1:$I$89,5,0)</f>
        <v>-1.2710188457276673E-13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382.94446752777549</v>
      </c>
      <c r="T114" s="62">
        <f t="shared" si="88"/>
        <v>476.29465646955543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1.7086587016914252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1.9787654956761189E-11</v>
      </c>
      <c r="AC114" s="24">
        <f t="shared" si="57"/>
        <v>1.7086587017112129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850.00000000000045</v>
      </c>
      <c r="AJ114" s="14">
        <f>AI114*VLOOKUP('Données projet'!$B$10,Paramètres!$A$1:$I$89,3,0)*VLOOKUP('Données projet'!$B$10,Paramètres!$A$1:$I$89,5,0)</f>
        <v>419.90000000000026</v>
      </c>
      <c r="AK114" s="14">
        <f t="shared" si="89"/>
        <v>95.799614109391214</v>
      </c>
      <c r="AL114" s="22">
        <f t="shared" si="58"/>
        <v>898.17682790719027</v>
      </c>
      <c r="AM114" s="62">
        <f t="shared" si="59"/>
        <v>1191.5101612405235</v>
      </c>
      <c r="AN114" s="62">
        <f ca="1">AVERAGE(OFFSET($AM$3,0,0,'Données projet'!$E$10+1,1))-AVERAGE(OFFSET($H$3,0,0,'Données projet'!$E$10+1,1))</f>
        <v>473.90982075211258</v>
      </c>
      <c r="AO114" s="62">
        <f t="shared" si="90"/>
        <v>127.17661287657279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1.2681967182199749</v>
      </c>
      <c r="AV114" s="23">
        <f>EXP(-LN(2)/25)*AV113+(1-EXP(-LN(2)/25))/(LN(2)/25)*Calculateur!AQ114*Calculateur!AS114*VLOOKUP('Données projet'!$B$10,Paramètres!$A$1:$I$89,3,0)*0.475*44/12</f>
        <v>0.14249470234626713</v>
      </c>
      <c r="AW114" s="23">
        <f>EXP(-LN(2)/2)*AW113+(1-EXP(-LN(2)/2))/(LN(2)/2)*AQ114*AT114*VLOOKUP('Données projet'!$B$10,Paramètres!$A$1:$I$89,3,0)*0.475*44/12</f>
        <v>1.348897443166168E-12</v>
      </c>
      <c r="AX114" s="23">
        <f t="shared" si="60"/>
        <v>1.4106914205675909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2">
        <f t="shared" si="86"/>
        <v>15.609338516941946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70">
        <f t="shared" si="56"/>
        <v>414.34666458367406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-2.2737367544323206E-13</v>
      </c>
      <c r="O115" s="14">
        <f>N115*VLOOKUP('Données projet'!$B$9,Paramètres!$A$1:$I$89,3,0)*VLOOKUP('Données projet'!$B$9,Paramètres!$A$1:$I$89,5,0)</f>
        <v>-1.2710188457276673E-13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382.94446752777549</v>
      </c>
      <c r="T115" s="62">
        <f t="shared" si="88"/>
        <v>476.29465646955543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1.6751529467301578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1.3991985003705437E-11</v>
      </c>
      <c r="AC115" s="24">
        <f t="shared" si="57"/>
        <v>1.6751529467441497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850.00000000000045</v>
      </c>
      <c r="AJ115" s="14">
        <f>AI115*VLOOKUP('Données projet'!$B$10,Paramètres!$A$1:$I$89,3,0)*VLOOKUP('Données projet'!$B$10,Paramètres!$A$1:$I$89,5,0)</f>
        <v>419.90000000000026</v>
      </c>
      <c r="AK115" s="14">
        <f t="shared" si="89"/>
        <v>95.799614109391214</v>
      </c>
      <c r="AL115" s="22">
        <f t="shared" si="58"/>
        <v>898.17682790719027</v>
      </c>
      <c r="AM115" s="62">
        <f t="shared" si="59"/>
        <v>1191.5101612405235</v>
      </c>
      <c r="AN115" s="62">
        <f ca="1">AVERAGE(OFFSET($AM$3,0,0,'Données projet'!$E$10+1,1))-AVERAGE(OFFSET($H$3,0,0,'Données projet'!$E$10+1,1))</f>
        <v>473.90982075211258</v>
      </c>
      <c r="AO115" s="62">
        <f t="shared" si="90"/>
        <v>127.17661287657279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1.2433281540993002</v>
      </c>
      <c r="AV115" s="23">
        <f>EXP(-LN(2)/25)*AV114+(1-EXP(-LN(2)/25))/(LN(2)/25)*Calculateur!AQ115*Calculateur!AS115*VLOOKUP('Données projet'!$B$10,Paramètres!$A$1:$I$89,3,0)*0.475*44/12</f>
        <v>0.13859817721713774</v>
      </c>
      <c r="AW115" s="23">
        <f>EXP(-LN(2)/2)*AW114+(1-EXP(-LN(2)/2))/(LN(2)/2)*AQ115*AT115*VLOOKUP('Données projet'!$B$10,Paramètres!$A$1:$I$89,3,0)*0.475*44/12</f>
        <v>9.5381452918799296E-13</v>
      </c>
      <c r="AX115" s="23">
        <f t="shared" si="60"/>
        <v>1.3819263313173917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2">
        <f t="shared" si="86"/>
        <v>15.732421267720559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70">
        <f t="shared" si="56"/>
        <v>415.39877537461348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-2.2737367544323206E-13</v>
      </c>
      <c r="O116" s="14">
        <f>N116*VLOOKUP('Données projet'!$B$9,Paramètres!$A$1:$I$89,3,0)*VLOOKUP('Données projet'!$B$9,Paramètres!$A$1:$I$89,5,0)</f>
        <v>-1.2710188457276673E-13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382.94446752777549</v>
      </c>
      <c r="T116" s="62">
        <f t="shared" si="88"/>
        <v>476.29465646955543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1.6423042191871882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9.8938274783805945E-12</v>
      </c>
      <c r="AC116" s="24">
        <f t="shared" si="57"/>
        <v>1.642304219197082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850.00000000000045</v>
      </c>
      <c r="AJ116" s="14">
        <f>AI116*VLOOKUP('Données projet'!$B$10,Paramètres!$A$1:$I$89,3,0)*VLOOKUP('Données projet'!$B$10,Paramètres!$A$1:$I$89,5,0)</f>
        <v>419.90000000000026</v>
      </c>
      <c r="AK116" s="14">
        <f t="shared" si="89"/>
        <v>95.799614109391214</v>
      </c>
      <c r="AL116" s="22">
        <f t="shared" si="58"/>
        <v>898.17682790719027</v>
      </c>
      <c r="AM116" s="62">
        <f t="shared" si="59"/>
        <v>1191.5101612405235</v>
      </c>
      <c r="AN116" s="62">
        <f ca="1">AVERAGE(OFFSET($AM$3,0,0,'Données projet'!$E$10+1,1))-AVERAGE(OFFSET($H$3,0,0,'Données projet'!$E$10+1,1))</f>
        <v>473.90982075211258</v>
      </c>
      <c r="AO116" s="62">
        <f t="shared" si="90"/>
        <v>127.17661287657279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1.2189472473527057</v>
      </c>
      <c r="AV116" s="23">
        <f>EXP(-LN(2)/25)*AV115+(1-EXP(-LN(2)/25))/(LN(2)/25)*Calculateur!AQ116*Calculateur!AS116*VLOOKUP('Données projet'!$B$10,Paramètres!$A$1:$I$89,3,0)*0.475*44/12</f>
        <v>0.13480820277257374</v>
      </c>
      <c r="AW116" s="23">
        <f>EXP(-LN(2)/2)*AW115+(1-EXP(-LN(2)/2))/(LN(2)/2)*AQ116*AT116*VLOOKUP('Données projet'!$B$10,Paramètres!$A$1:$I$89,3,0)*0.475*44/12</f>
        <v>6.7444872158308399E-13</v>
      </c>
      <c r="AX116" s="23">
        <f t="shared" si="60"/>
        <v>1.3537554501259537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2">
        <f t="shared" si="86"/>
        <v>15.855377295902201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70">
        <f t="shared" si="56"/>
        <v>416.45066545702986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-2.2737367544323206E-13</v>
      </c>
      <c r="O117" s="14">
        <f>N117*VLOOKUP('Données projet'!$B$9,Paramètres!$A$1:$I$89,3,0)*VLOOKUP('Données projet'!$B$9,Paramètres!$A$1:$I$89,5,0)</f>
        <v>-1.2710188457276673E-13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382.94446752777549</v>
      </c>
      <c r="T117" s="62">
        <f t="shared" si="88"/>
        <v>476.29465646955543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1.6100996351555907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6.9959925018527184E-12</v>
      </c>
      <c r="AC117" s="24">
        <f t="shared" si="57"/>
        <v>1.6100996351625867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850.00000000000045</v>
      </c>
      <c r="AJ117" s="14">
        <f>AI117*VLOOKUP('Données projet'!$B$10,Paramètres!$A$1:$I$89,3,0)*VLOOKUP('Données projet'!$B$10,Paramètres!$A$1:$I$89,5,0)</f>
        <v>419.90000000000026</v>
      </c>
      <c r="AK117" s="14">
        <f t="shared" si="89"/>
        <v>95.799614109391214</v>
      </c>
      <c r="AL117" s="22">
        <f t="shared" si="58"/>
        <v>898.17682790719027</v>
      </c>
      <c r="AM117" s="62">
        <f t="shared" si="59"/>
        <v>1191.5101612405235</v>
      </c>
      <c r="AN117" s="62">
        <f ca="1">AVERAGE(OFFSET($AM$3,0,0,'Données projet'!$E$10+1,1))-AVERAGE(OFFSET($H$3,0,0,'Données projet'!$E$10+1,1))</f>
        <v>473.90982075211258</v>
      </c>
      <c r="AO117" s="62">
        <f t="shared" si="90"/>
        <v>127.17661287657279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1.195044435316527</v>
      </c>
      <c r="AV117" s="23">
        <f>EXP(-LN(2)/25)*AV116+(1-EXP(-LN(2)/25))/(LN(2)/25)*Calculateur!AQ117*Calculateur!AS117*VLOOKUP('Données projet'!$B$10,Paramètres!$A$1:$I$89,3,0)*0.475*44/12</f>
        <v>0.13112186537850243</v>
      </c>
      <c r="AW117" s="23">
        <f>EXP(-LN(2)/2)*AW116+(1-EXP(-LN(2)/2))/(LN(2)/2)*AQ117*AT117*VLOOKUP('Données projet'!$B$10,Paramètres!$A$1:$I$89,3,0)*0.475*44/12</f>
        <v>4.7690726459399648E-13</v>
      </c>
      <c r="AX117" s="23">
        <f t="shared" si="60"/>
        <v>1.3261663006955065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2">
        <f t="shared" si="86"/>
        <v>15.978207841877643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70">
        <f t="shared" si="56"/>
        <v>417.5023369912704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-2.2737367544323206E-13</v>
      </c>
      <c r="O118" s="14">
        <f>N118*VLOOKUP('Données projet'!$B$9,Paramètres!$A$1:$I$89,3,0)*VLOOKUP('Données projet'!$B$9,Paramètres!$A$1:$I$89,5,0)</f>
        <v>-1.2710188457276673E-13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382.94446752777549</v>
      </c>
      <c r="T118" s="62">
        <f t="shared" si="88"/>
        <v>476.29465646955543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1.5785265633739962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4.9469137391902972E-12</v>
      </c>
      <c r="AC118" s="24">
        <f t="shared" si="57"/>
        <v>1.5785265633789431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850.00000000000045</v>
      </c>
      <c r="AJ118" s="14">
        <f>AI118*VLOOKUP('Données projet'!$B$10,Paramètres!$A$1:$I$89,3,0)*VLOOKUP('Données projet'!$B$10,Paramètres!$A$1:$I$89,5,0)</f>
        <v>419.90000000000026</v>
      </c>
      <c r="AK118" s="14">
        <f t="shared" si="89"/>
        <v>95.799614109391214</v>
      </c>
      <c r="AL118" s="22">
        <f t="shared" si="58"/>
        <v>898.17682790719027</v>
      </c>
      <c r="AM118" s="62">
        <f t="shared" si="59"/>
        <v>1191.5101612405235</v>
      </c>
      <c r="AN118" s="62">
        <f ca="1">AVERAGE(OFFSET($AM$3,0,0,'Données projet'!$E$10+1,1))-AVERAGE(OFFSET($H$3,0,0,'Données projet'!$E$10+1,1))</f>
        <v>473.90982075211258</v>
      </c>
      <c r="AO118" s="62">
        <f t="shared" si="90"/>
        <v>127.17661287657279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1.1716103428451021</v>
      </c>
      <c r="AV118" s="23">
        <f>EXP(-LN(2)/25)*AV117+(1-EXP(-LN(2)/25))/(LN(2)/25)*Calculateur!AQ118*Calculateur!AS118*VLOOKUP('Données projet'!$B$10,Paramètres!$A$1:$I$89,3,0)*0.475*44/12</f>
        <v>0.12753633107432807</v>
      </c>
      <c r="AW118" s="23">
        <f>EXP(-LN(2)/2)*AW117+(1-EXP(-LN(2)/2))/(LN(2)/2)*AQ118*AT118*VLOOKUP('Données projet'!$B$10,Paramètres!$A$1:$I$89,3,0)*0.475*44/12</f>
        <v>3.37224360791542E-13</v>
      </c>
      <c r="AX118" s="23">
        <f t="shared" si="60"/>
        <v>1.2991466739197675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2">
        <f t="shared" si="86"/>
        <v>16.100914123220836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70">
        <f t="shared" si="56"/>
        <v>418.55379209794313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-2.2737367544323206E-13</v>
      </c>
      <c r="O119" s="14">
        <f>N119*VLOOKUP('Données projet'!$B$9,Paramètres!$A$1:$I$89,3,0)*VLOOKUP('Données projet'!$B$9,Paramètres!$A$1:$I$89,5,0)</f>
        <v>-1.2710188457276673E-13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382.94446752777549</v>
      </c>
      <c r="T119" s="62">
        <f t="shared" si="88"/>
        <v>476.29465646955543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1.5475726202723665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3.4979962509263592E-12</v>
      </c>
      <c r="AC119" s="24">
        <f t="shared" si="57"/>
        <v>1.5475726202758646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850.00000000000045</v>
      </c>
      <c r="AJ119" s="14">
        <f>AI119*VLOOKUP('Données projet'!$B$10,Paramètres!$A$1:$I$89,3,0)*VLOOKUP('Données projet'!$B$10,Paramètres!$A$1:$I$89,5,0)</f>
        <v>419.90000000000026</v>
      </c>
      <c r="AK119" s="14">
        <f t="shared" si="89"/>
        <v>95.799614109391214</v>
      </c>
      <c r="AL119" s="22">
        <f t="shared" si="58"/>
        <v>898.17682790719027</v>
      </c>
      <c r="AM119" s="62">
        <f t="shared" si="59"/>
        <v>1191.5101612405235</v>
      </c>
      <c r="AN119" s="62">
        <f ca="1">AVERAGE(OFFSET($AM$3,0,0,'Données projet'!$E$10+1,1))-AVERAGE(OFFSET($H$3,0,0,'Données projet'!$E$10+1,1))</f>
        <v>473.90982075211258</v>
      </c>
      <c r="AO119" s="62">
        <f t="shared" si="90"/>
        <v>127.17661287657279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1.1486357786336567</v>
      </c>
      <c r="AV119" s="23">
        <f>EXP(-LN(2)/25)*AV118+(1-EXP(-LN(2)/25))/(LN(2)/25)*Calculateur!AQ119*Calculateur!AS119*VLOOKUP('Données projet'!$B$10,Paramètres!$A$1:$I$89,3,0)*0.475*44/12</f>
        <v>0.12404884339425641</v>
      </c>
      <c r="AW119" s="23">
        <f>EXP(-LN(2)/2)*AW118+(1-EXP(-LN(2)/2))/(LN(2)/2)*AQ119*AT119*VLOOKUP('Données projet'!$B$10,Paramètres!$A$1:$I$89,3,0)*0.475*44/12</f>
        <v>2.3845363229699824E-13</v>
      </c>
      <c r="AX119" s="23">
        <f t="shared" si="60"/>
        <v>1.2726846220281516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2">
        <f t="shared" si="86"/>
        <v>16.22349733530163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70">
        <f t="shared" si="56"/>
        <v>419.60503285898386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-2.2737367544323206E-13</v>
      </c>
      <c r="O120" s="14">
        <f>N120*VLOOKUP('Données projet'!$B$9,Paramètres!$A$1:$I$89,3,0)*VLOOKUP('Données projet'!$B$9,Paramètres!$A$1:$I$89,5,0)</f>
        <v>-1.2710188457276673E-13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382.94446752777549</v>
      </c>
      <c r="T120" s="62">
        <f t="shared" si="88"/>
        <v>476.29465646955543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1.5172256651149187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2.4734568695951486E-12</v>
      </c>
      <c r="AC120" s="24">
        <f t="shared" si="57"/>
        <v>1.5172256651173921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850.00000000000045</v>
      </c>
      <c r="AJ120" s="14">
        <f>AI120*VLOOKUP('Données projet'!$B$10,Paramètres!$A$1:$I$89,3,0)*VLOOKUP('Données projet'!$B$10,Paramètres!$A$1:$I$89,5,0)</f>
        <v>419.90000000000026</v>
      </c>
      <c r="AK120" s="14">
        <f t="shared" si="89"/>
        <v>95.799614109391214</v>
      </c>
      <c r="AL120" s="22">
        <f t="shared" si="58"/>
        <v>898.17682790719027</v>
      </c>
      <c r="AM120" s="62">
        <f t="shared" si="59"/>
        <v>1191.5101612405235</v>
      </c>
      <c r="AN120" s="62">
        <f ca="1">AVERAGE(OFFSET($AM$3,0,0,'Données projet'!$E$10+1,1))-AVERAGE(OFFSET($H$3,0,0,'Données projet'!$E$10+1,1))</f>
        <v>473.90982075211258</v>
      </c>
      <c r="AO120" s="62">
        <f t="shared" si="90"/>
        <v>127.17661287657279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1.1261117316132974</v>
      </c>
      <c r="AV120" s="23">
        <f>EXP(-LN(2)/25)*AV119+(1-EXP(-LN(2)/25))/(LN(2)/25)*Calculateur!AQ120*Calculateur!AS120*VLOOKUP('Données projet'!$B$10,Paramètres!$A$1:$I$89,3,0)*0.475*44/12</f>
        <v>0.12065672124819531</v>
      </c>
      <c r="AW120" s="23">
        <f>EXP(-LN(2)/2)*AW119+(1-EXP(-LN(2)/2))/(LN(2)/2)*AQ120*AT120*VLOOKUP('Données projet'!$B$10,Paramètres!$A$1:$I$89,3,0)*0.475*44/12</f>
        <v>1.68612180395771E-13</v>
      </c>
      <c r="AX120" s="23">
        <f t="shared" si="60"/>
        <v>1.2467684528616612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2">
        <f t="shared" si="86"/>
        <v>16.345958651876956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70">
        <f t="shared" si="56"/>
        <v>420.65606131868589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-2.2737367544323206E-13</v>
      </c>
      <c r="O121" s="14">
        <f>N121*VLOOKUP('Données projet'!$B$9,Paramètres!$A$1:$I$89,3,0)*VLOOKUP('Données projet'!$B$9,Paramètres!$A$1:$I$89,5,0)</f>
        <v>-1.2710188457276673E-13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382.94446752777549</v>
      </c>
      <c r="T121" s="62">
        <f t="shared" si="88"/>
        <v>476.29465646955543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1.4874737952382937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1.7489981254631796E-12</v>
      </c>
      <c r="AC121" s="24">
        <f t="shared" si="57"/>
        <v>1.4874737952400428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850.00000000000045</v>
      </c>
      <c r="AJ121" s="14">
        <f>AI121*VLOOKUP('Données projet'!$B$10,Paramètres!$A$1:$I$89,3,0)*VLOOKUP('Données projet'!$B$10,Paramètres!$A$1:$I$89,5,0)</f>
        <v>419.90000000000026</v>
      </c>
      <c r="AK121" s="14">
        <f t="shared" si="89"/>
        <v>95.799614109391214</v>
      </c>
      <c r="AL121" s="22">
        <f t="shared" si="58"/>
        <v>898.17682790719027</v>
      </c>
      <c r="AM121" s="62">
        <f t="shared" si="59"/>
        <v>1191.5101612405235</v>
      </c>
      <c r="AN121" s="62">
        <f ca="1">AVERAGE(OFFSET($AM$3,0,0,'Données projet'!$E$10+1,1))-AVERAGE(OFFSET($H$3,0,0,'Données projet'!$E$10+1,1))</f>
        <v>473.90982075211258</v>
      </c>
      <c r="AO121" s="62">
        <f t="shared" si="90"/>
        <v>127.17661287657279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1.104029367416695</v>
      </c>
      <c r="AV121" s="23">
        <f>EXP(-LN(2)/25)*AV120+(1-EXP(-LN(2)/25))/(LN(2)/25)*Calculateur!AQ121*Calculateur!AS121*VLOOKUP('Données projet'!$B$10,Paramètres!$A$1:$I$89,3,0)*0.475*44/12</f>
        <v>0.1173573568606022</v>
      </c>
      <c r="AW121" s="23">
        <f>EXP(-LN(2)/2)*AW120+(1-EXP(-LN(2)/2))/(LN(2)/2)*AQ121*AT121*VLOOKUP('Données projet'!$B$10,Paramètres!$A$1:$I$89,3,0)*0.475*44/12</f>
        <v>1.1922681614849912E-13</v>
      </c>
      <c r="AX121" s="23">
        <f t="shared" si="60"/>
        <v>1.2213867242774163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2">
        <f t="shared" si="86"/>
        <v>16.468299225661315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70">
        <f t="shared" si="56"/>
        <v>421.70687948469367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-2.2737367544323206E-13</v>
      </c>
      <c r="O122" s="14">
        <f>N122*VLOOKUP('Données projet'!$B$9,Paramètres!$A$1:$I$89,3,0)*VLOOKUP('Données projet'!$B$9,Paramètres!$A$1:$I$89,5,0)</f>
        <v>-1.2710188457276673E-13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382.94446752777549</v>
      </c>
      <c r="T122" s="62">
        <f t="shared" si="88"/>
        <v>476.29465646955543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1.4583053413831004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1.2367284347975743E-12</v>
      </c>
      <c r="AC122" s="24">
        <f t="shared" si="57"/>
        <v>1.4583053413843372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850.00000000000045</v>
      </c>
      <c r="AJ122" s="14">
        <f>AI122*VLOOKUP('Données projet'!$B$10,Paramètres!$A$1:$I$89,3,0)*VLOOKUP('Données projet'!$B$10,Paramètres!$A$1:$I$89,5,0)</f>
        <v>419.90000000000026</v>
      </c>
      <c r="AK122" s="14">
        <f t="shared" si="89"/>
        <v>95.799614109391214</v>
      </c>
      <c r="AL122" s="22">
        <f t="shared" si="58"/>
        <v>898.17682790719027</v>
      </c>
      <c r="AM122" s="62">
        <f t="shared" si="59"/>
        <v>1191.5101612405235</v>
      </c>
      <c r="AN122" s="62">
        <f ca="1">AVERAGE(OFFSET($AM$3,0,0,'Données projet'!$E$10+1,1))-AVERAGE(OFFSET($H$3,0,0,'Données projet'!$E$10+1,1))</f>
        <v>473.90982075211258</v>
      </c>
      <c r="AO122" s="62">
        <f t="shared" si="90"/>
        <v>127.17661287657279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1.0823800249130759</v>
      </c>
      <c r="AV122" s="23">
        <f>EXP(-LN(2)/25)*AV121+(1-EXP(-LN(2)/25))/(LN(2)/25)*Calculateur!AQ122*Calculateur!AS122*VLOOKUP('Données projet'!$B$10,Paramètres!$A$1:$I$89,3,0)*0.475*44/12</f>
        <v>0.11414821376569385</v>
      </c>
      <c r="AW122" s="23">
        <f>EXP(-LN(2)/2)*AW121+(1-EXP(-LN(2)/2))/(LN(2)/2)*AQ122*AT122*VLOOKUP('Données projet'!$B$10,Paramètres!$A$1:$I$89,3,0)*0.475*44/12</f>
        <v>8.4306090197885499E-14</v>
      </c>
      <c r="AX122" s="23">
        <f t="shared" si="60"/>
        <v>1.1965282386788543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2">
        <f t="shared" si="86"/>
        <v>16.590520188877683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70">
        <f t="shared" si="56"/>
        <v>422.75748932896221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-2.2737367544323206E-13</v>
      </c>
      <c r="O123" s="14">
        <f>N123*VLOOKUP('Données projet'!$B$9,Paramètres!$A$1:$I$89,3,0)*VLOOKUP('Données projet'!$B$9,Paramètres!$A$1:$I$89,5,0)</f>
        <v>-1.2710188457276673E-13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382.94446752777549</v>
      </c>
      <c r="T123" s="62">
        <f t="shared" si="88"/>
        <v>476.29465646955543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1.4297088631170074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8.7449906273158979E-13</v>
      </c>
      <c r="AC123" s="24">
        <f t="shared" si="57"/>
        <v>1.4297088631178818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850.00000000000045</v>
      </c>
      <c r="AJ123" s="14">
        <f>AI123*VLOOKUP('Données projet'!$B$10,Paramètres!$A$1:$I$89,3,0)*VLOOKUP('Données projet'!$B$10,Paramètres!$A$1:$I$89,5,0)</f>
        <v>419.90000000000026</v>
      </c>
      <c r="AK123" s="14">
        <f t="shared" si="89"/>
        <v>95.799614109391214</v>
      </c>
      <c r="AL123" s="22">
        <f t="shared" si="58"/>
        <v>898.17682790719027</v>
      </c>
      <c r="AM123" s="62">
        <f t="shared" si="59"/>
        <v>1191.5101612405235</v>
      </c>
      <c r="AN123" s="62">
        <f ca="1">AVERAGE(OFFSET($AM$3,0,0,'Données projet'!$E$10+1,1))-AVERAGE(OFFSET($H$3,0,0,'Données projet'!$E$10+1,1))</f>
        <v>473.90982075211258</v>
      </c>
      <c r="AO123" s="62">
        <f t="shared" si="90"/>
        <v>127.17661287657279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1.0611552128111577</v>
      </c>
      <c r="AV123" s="23">
        <f>EXP(-LN(2)/25)*AV122+(1-EXP(-LN(2)/25))/(LN(2)/25)*Calculateur!AQ123*Calculateur!AS123*VLOOKUP('Données projet'!$B$10,Paramètres!$A$1:$I$89,3,0)*0.475*44/12</f>
        <v>0.11102682485747728</v>
      </c>
      <c r="AW123" s="23">
        <f>EXP(-LN(2)/2)*AW122+(1-EXP(-LN(2)/2))/(LN(2)/2)*AQ123*AT123*VLOOKUP('Données projet'!$B$10,Paramètres!$A$1:$I$89,3,0)*0.475*44/12</f>
        <v>5.961340807424956E-14</v>
      </c>
      <c r="AX123" s="23">
        <f t="shared" si="60"/>
        <v>1.1721820376686944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2">
        <f t="shared" si="86"/>
        <v>16.712622653789325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70">
        <f t="shared" si="56"/>
        <v>423.80789278868326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-2.2737367544323206E-13</v>
      </c>
      <c r="O124" s="14">
        <f>N124*VLOOKUP('Données projet'!$B$9,Paramètres!$A$1:$I$89,3,0)*VLOOKUP('Données projet'!$B$9,Paramètres!$A$1:$I$89,5,0)</f>
        <v>-1.2710188457276673E-13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382.94446752777549</v>
      </c>
      <c r="T124" s="62">
        <f t="shared" si="88"/>
        <v>476.29465646955543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1.4016731443475829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6.1836421739878716E-13</v>
      </c>
      <c r="AC124" s="24">
        <f t="shared" si="57"/>
        <v>1.4016731443482013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850.00000000000045</v>
      </c>
      <c r="AJ124" s="14">
        <f>AI124*VLOOKUP('Données projet'!$B$10,Paramètres!$A$1:$I$89,3,0)*VLOOKUP('Données projet'!$B$10,Paramètres!$A$1:$I$89,5,0)</f>
        <v>419.90000000000026</v>
      </c>
      <c r="AK124" s="14">
        <f t="shared" si="89"/>
        <v>95.799614109391214</v>
      </c>
      <c r="AL124" s="22">
        <f t="shared" si="58"/>
        <v>898.17682790719027</v>
      </c>
      <c r="AM124" s="62">
        <f t="shared" si="59"/>
        <v>1191.5101612405235</v>
      </c>
      <c r="AN124" s="62">
        <f ca="1">AVERAGE(OFFSET($AM$3,0,0,'Données projet'!$E$10+1,1))-AVERAGE(OFFSET($H$3,0,0,'Données projet'!$E$10+1,1))</f>
        <v>473.90982075211258</v>
      </c>
      <c r="AO124" s="62">
        <f t="shared" si="90"/>
        <v>127.17661287657279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1.040346606328701</v>
      </c>
      <c r="AV124" s="23">
        <f>EXP(-LN(2)/25)*AV123+(1-EXP(-LN(2)/25))/(LN(2)/25)*Calculateur!AQ124*Calculateur!AS124*VLOOKUP('Données projet'!$B$10,Paramètres!$A$1:$I$89,3,0)*0.475*44/12</f>
        <v>0.1079907904931026</v>
      </c>
      <c r="AW124" s="23">
        <f>EXP(-LN(2)/2)*AW123+(1-EXP(-LN(2)/2))/(LN(2)/2)*AQ124*AT124*VLOOKUP('Données projet'!$B$10,Paramètres!$A$1:$I$89,3,0)*0.475*44/12</f>
        <v>4.2153045098942749E-14</v>
      </c>
      <c r="AX124" s="23">
        <f t="shared" si="60"/>
        <v>1.1483373968218458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2">
        <f t="shared" si="86"/>
        <v>16.834607713213771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70">
        <f t="shared" si="56"/>
        <v>424.85809176718089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-2.2737367544323206E-13</v>
      </c>
      <c r="O125" s="14">
        <f>N125*VLOOKUP('Données projet'!$B$9,Paramètres!$A$1:$I$89,3,0)*VLOOKUP('Données projet'!$B$9,Paramètres!$A$1:$I$89,5,0)</f>
        <v>-1.2710188457276673E-13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382.94446752777549</v>
      </c>
      <c r="T125" s="62">
        <f t="shared" si="88"/>
        <v>476.29465646955543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1.374187188923127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4.372495313657949E-13</v>
      </c>
      <c r="AC125" s="24">
        <f t="shared" si="57"/>
        <v>1.3741871889235642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850.00000000000045</v>
      </c>
      <c r="AJ125" s="14">
        <f>AI125*VLOOKUP('Données projet'!$B$10,Paramètres!$A$1:$I$89,3,0)*VLOOKUP('Données projet'!$B$10,Paramètres!$A$1:$I$89,5,0)</f>
        <v>419.90000000000026</v>
      </c>
      <c r="AK125" s="14">
        <f t="shared" si="89"/>
        <v>95.799614109391214</v>
      </c>
      <c r="AL125" s="22">
        <f t="shared" si="58"/>
        <v>898.17682790719027</v>
      </c>
      <c r="AM125" s="62">
        <f t="shared" si="59"/>
        <v>1191.5101612405235</v>
      </c>
      <c r="AN125" s="62">
        <f ca="1">AVERAGE(OFFSET($AM$3,0,0,'Données projet'!$E$10+1,1))-AVERAGE(OFFSET($H$3,0,0,'Données projet'!$E$10+1,1))</f>
        <v>473.90982075211258</v>
      </c>
      <c r="AO125" s="62">
        <f t="shared" si="90"/>
        <v>127.17661287657279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1.0199460439273687</v>
      </c>
      <c r="AV125" s="23">
        <f>EXP(-LN(2)/25)*AV124+(1-EXP(-LN(2)/25))/(LN(2)/25)*Calculateur!AQ125*Calculateur!AS125*VLOOKUP('Données projet'!$B$10,Paramètres!$A$1:$I$89,3,0)*0.475*44/12</f>
        <v>0.10503777664807985</v>
      </c>
      <c r="AW125" s="23">
        <f>EXP(-LN(2)/2)*AW124+(1-EXP(-LN(2)/2))/(LN(2)/2)*AQ125*AT125*VLOOKUP('Données projet'!$B$10,Paramètres!$A$1:$I$89,3,0)*0.475*44/12</f>
        <v>2.980670403712478E-14</v>
      </c>
      <c r="AX125" s="23">
        <f t="shared" si="60"/>
        <v>1.1249838205754783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2">
        <f t="shared" si="86"/>
        <v>16.956476441019255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70">
        <f t="shared" si="56"/>
        <v>425.90808813477543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-2.2737367544323206E-13</v>
      </c>
      <c r="O126" s="14">
        <f>N126*VLOOKUP('Données projet'!$B$9,Paramètres!$A$1:$I$89,3,0)*VLOOKUP('Données projet'!$B$9,Paramètres!$A$1:$I$89,5,0)</f>
        <v>-1.2710188457276673E-13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382.94446752777549</v>
      </c>
      <c r="T126" s="62">
        <f t="shared" si="88"/>
        <v>476.29465646955543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1.3472402163197672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3.0918210869939358E-13</v>
      </c>
      <c r="AC126" s="24">
        <f t="shared" si="57"/>
        <v>1.3472402163200763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850.00000000000045</v>
      </c>
      <c r="AJ126" s="14">
        <f>AI126*VLOOKUP('Données projet'!$B$10,Paramètres!$A$1:$I$89,3,0)*VLOOKUP('Données projet'!$B$10,Paramètres!$A$1:$I$89,5,0)</f>
        <v>419.90000000000026</v>
      </c>
      <c r="AK126" s="14">
        <f t="shared" si="89"/>
        <v>95.799614109391214</v>
      </c>
      <c r="AL126" s="22">
        <f t="shared" si="58"/>
        <v>898.17682790719027</v>
      </c>
      <c r="AM126" s="62">
        <f t="shared" si="59"/>
        <v>1191.5101612405235</v>
      </c>
      <c r="AN126" s="62">
        <f ca="1">AVERAGE(OFFSET($AM$3,0,0,'Données projet'!$E$10+1,1))-AVERAGE(OFFSET($H$3,0,0,'Données projet'!$E$10+1,1))</f>
        <v>473.90982075211258</v>
      </c>
      <c r="AO126" s="62">
        <f t="shared" si="90"/>
        <v>127.17661287657279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0.99994552411161186</v>
      </c>
      <c r="AV126" s="23">
        <f>EXP(-LN(2)/25)*AV125+(1-EXP(-LN(2)/25))/(LN(2)/25)*Calculateur!AQ126*Calculateur!AS126*VLOOKUP('Données projet'!$B$10,Paramètres!$A$1:$I$89,3,0)*0.475*44/12</f>
        <v>0.1021655131219415</v>
      </c>
      <c r="AW126" s="23">
        <f>EXP(-LN(2)/2)*AW125+(1-EXP(-LN(2)/2))/(LN(2)/2)*AQ126*AT126*VLOOKUP('Données projet'!$B$10,Paramètres!$A$1:$I$89,3,0)*0.475*44/12</f>
        <v>2.1076522549471375E-14</v>
      </c>
      <c r="AX126" s="23">
        <f t="shared" si="60"/>
        <v>1.1021110372335745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2">
        <f t="shared" si="86"/>
        <v>17.07822989260459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70">
        <f t="shared" si="56"/>
        <v>426.95788372961988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-2.2737367544323206E-13</v>
      </c>
      <c r="O127" s="14">
        <f>N127*VLOOKUP('Données projet'!$B$9,Paramètres!$A$1:$I$89,3,0)*VLOOKUP('Données projet'!$B$9,Paramètres!$A$1:$I$89,5,0)</f>
        <v>-1.2710188457276673E-13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382.94446752777549</v>
      </c>
      <c r="T127" s="62">
        <f t="shared" si="88"/>
        <v>476.29465646955543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1.3208216574131288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2.1862476568289745E-13</v>
      </c>
      <c r="AC127" s="24">
        <f t="shared" si="57"/>
        <v>1.3208216574133476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850.00000000000045</v>
      </c>
      <c r="AJ127" s="14">
        <f>AI127*VLOOKUP('Données projet'!$B$10,Paramètres!$A$1:$I$89,3,0)*VLOOKUP('Données projet'!$B$10,Paramètres!$A$1:$I$89,5,0)</f>
        <v>419.90000000000026</v>
      </c>
      <c r="AK127" s="14">
        <f t="shared" si="89"/>
        <v>95.799614109391214</v>
      </c>
      <c r="AL127" s="22">
        <f t="shared" si="58"/>
        <v>898.17682790719027</v>
      </c>
      <c r="AM127" s="62">
        <f t="shared" si="59"/>
        <v>1191.5101612405235</v>
      </c>
      <c r="AN127" s="62">
        <f ca="1">AVERAGE(OFFSET($AM$3,0,0,'Données projet'!$E$10+1,1))-AVERAGE(OFFSET($H$3,0,0,'Données projet'!$E$10+1,1))</f>
        <v>473.90982075211258</v>
      </c>
      <c r="AO127" s="62">
        <f t="shared" si="90"/>
        <v>127.17661287657279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0.98033720229032961</v>
      </c>
      <c r="AV127" s="23">
        <f>EXP(-LN(2)/25)*AV126+(1-EXP(-LN(2)/25))/(LN(2)/25)*Calculateur!AQ127*Calculateur!AS127*VLOOKUP('Données projet'!$B$10,Paramètres!$A$1:$I$89,3,0)*0.475*44/12</f>
        <v>9.9371791792971176E-2</v>
      </c>
      <c r="AW127" s="23">
        <f>EXP(-LN(2)/2)*AW126+(1-EXP(-LN(2)/2))/(LN(2)/2)*AQ127*AT127*VLOOKUP('Données projet'!$B$10,Paramètres!$A$1:$I$89,3,0)*0.475*44/12</f>
        <v>1.490335201856239E-14</v>
      </c>
      <c r="AX127" s="23">
        <f t="shared" si="60"/>
        <v>1.0797089940833156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2">
        <f t="shared" si="86"/>
        <v>17.199869105363234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70">
        <f t="shared" si="56"/>
        <v>428.00748035850785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-2.2737367544323206E-13</v>
      </c>
      <c r="O128" s="14">
        <f>N128*VLOOKUP('Données projet'!$B$9,Paramètres!$A$1:$I$89,3,0)*VLOOKUP('Données projet'!$B$9,Paramètres!$A$1:$I$89,5,0)</f>
        <v>-1.2710188457276673E-13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382.94446752777549</v>
      </c>
      <c r="T128" s="62">
        <f t="shared" si="88"/>
        <v>476.29465646955543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1.2949211503329199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1.5459105434969679E-13</v>
      </c>
      <c r="AC128" s="24">
        <f t="shared" si="57"/>
        <v>1.2949211503330744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850.00000000000045</v>
      </c>
      <c r="AJ128" s="14">
        <f>AI128*VLOOKUP('Données projet'!$B$10,Paramètres!$A$1:$I$89,3,0)*VLOOKUP('Données projet'!$B$10,Paramètres!$A$1:$I$89,5,0)</f>
        <v>419.90000000000026</v>
      </c>
      <c r="AK128" s="14">
        <f t="shared" si="89"/>
        <v>95.799614109391214</v>
      </c>
      <c r="AL128" s="22">
        <f t="shared" si="58"/>
        <v>898.17682790719027</v>
      </c>
      <c r="AM128" s="62">
        <f t="shared" si="59"/>
        <v>1191.5101612405235</v>
      </c>
      <c r="AN128" s="62">
        <f ca="1">AVERAGE(OFFSET($AM$3,0,0,'Données projet'!$E$10+1,1))-AVERAGE(OFFSET($H$3,0,0,'Données projet'!$E$10+1,1))</f>
        <v>473.90982075211258</v>
      </c>
      <c r="AO128" s="62">
        <f t="shared" si="90"/>
        <v>127.17661287657279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0.96111338770006727</v>
      </c>
      <c r="AV128" s="23">
        <f>EXP(-LN(2)/25)*AV127+(1-EXP(-LN(2)/25))/(LN(2)/25)*Calculateur!AQ128*Calculateur!AS128*VLOOKUP('Données projet'!$B$10,Paramètres!$A$1:$I$89,3,0)*0.475*44/12</f>
        <v>9.6654464920656963E-2</v>
      </c>
      <c r="AW128" s="23">
        <f>EXP(-LN(2)/2)*AW127+(1-EXP(-LN(2)/2))/(LN(2)/2)*AQ128*AT128*VLOOKUP('Données projet'!$B$10,Paramètres!$A$1:$I$89,3,0)*0.475*44/12</f>
        <v>1.0538261274735687E-14</v>
      </c>
      <c r="AX128" s="23">
        <f t="shared" si="60"/>
        <v>1.0577678526207346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2">
        <f t="shared" si="86"/>
        <v>17.321395099131934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70">
        <f t="shared" si="56"/>
        <v>429.05687979765503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-2.2737367544323206E-13</v>
      </c>
      <c r="O129" s="14">
        <f>N129*VLOOKUP('Données projet'!$B$9,Paramètres!$A$1:$I$89,3,0)*VLOOKUP('Données projet'!$B$9,Paramètres!$A$1:$I$89,5,0)</f>
        <v>-1.2710188457276673E-13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382.94446752777549</v>
      </c>
      <c r="T129" s="62">
        <f t="shared" si="88"/>
        <v>476.29465646955543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1.2695285363988045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1.0931238284144872E-13</v>
      </c>
      <c r="AC129" s="24">
        <f t="shared" si="57"/>
        <v>1.2695285363989137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850.00000000000045</v>
      </c>
      <c r="AJ129" s="14">
        <f>AI129*VLOOKUP('Données projet'!$B$10,Paramètres!$A$1:$I$89,3,0)*VLOOKUP('Données projet'!$B$10,Paramètres!$A$1:$I$89,5,0)</f>
        <v>419.90000000000026</v>
      </c>
      <c r="AK129" s="14">
        <f t="shared" si="89"/>
        <v>95.799614109391214</v>
      </c>
      <c r="AL129" s="22">
        <f t="shared" si="58"/>
        <v>898.17682790719027</v>
      </c>
      <c r="AM129" s="62">
        <f t="shared" si="59"/>
        <v>1191.5101612405235</v>
      </c>
      <c r="AN129" s="62">
        <f ca="1">AVERAGE(OFFSET($AM$3,0,0,'Données projet'!$E$10+1,1))-AVERAGE(OFFSET($H$3,0,0,'Données projet'!$E$10+1,1))</f>
        <v>473.90982075211258</v>
      </c>
      <c r="AO129" s="62">
        <f t="shared" si="90"/>
        <v>127.17661287657279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0.94226654038855095</v>
      </c>
      <c r="AV129" s="23">
        <f>EXP(-LN(2)/25)*AV128+(1-EXP(-LN(2)/25))/(LN(2)/25)*Calculateur!AQ129*Calculateur!AS129*VLOOKUP('Données projet'!$B$10,Paramètres!$A$1:$I$89,3,0)*0.475*44/12</f>
        <v>9.4011443494564195E-2</v>
      </c>
      <c r="AW129" s="23">
        <f>EXP(-LN(2)/2)*AW128+(1-EXP(-LN(2)/2))/(LN(2)/2)*AQ129*AT129*VLOOKUP('Données projet'!$B$10,Paramètres!$A$1:$I$89,3,0)*0.475*44/12</f>
        <v>7.451676009281195E-15</v>
      </c>
      <c r="AX129" s="23">
        <f t="shared" si="60"/>
        <v>1.0362779838831226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2">
        <f t="shared" si="86"/>
        <v>17.442808876624763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70">
        <f t="shared" si="56"/>
        <v>430.10608379345501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-2.2737367544323206E-13</v>
      </c>
      <c r="O130" s="14">
        <f>N130*VLOOKUP('Données projet'!$B$9,Paramètres!$A$1:$I$89,3,0)*VLOOKUP('Données projet'!$B$9,Paramètres!$A$1:$I$89,5,0)</f>
        <v>-1.2710188457276673E-13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382.94446752777549</v>
      </c>
      <c r="T130" s="62">
        <f t="shared" si="88"/>
        <v>476.29465646955543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1.2446338561359718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7.7295527174848394E-14</v>
      </c>
      <c r="AC130" s="24">
        <f t="shared" si="57"/>
        <v>1.244633856136049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850.00000000000045</v>
      </c>
      <c r="AJ130" s="14">
        <f>AI130*VLOOKUP('Données projet'!$B$10,Paramètres!$A$1:$I$89,3,0)*VLOOKUP('Données projet'!$B$10,Paramètres!$A$1:$I$89,5,0)</f>
        <v>419.90000000000026</v>
      </c>
      <c r="AK130" s="14">
        <f t="shared" si="89"/>
        <v>95.799614109391214</v>
      </c>
      <c r="AL130" s="22">
        <f t="shared" si="58"/>
        <v>898.17682790719027</v>
      </c>
      <c r="AM130" s="62">
        <f t="shared" si="59"/>
        <v>1191.5101612405235</v>
      </c>
      <c r="AN130" s="62">
        <f ca="1">AVERAGE(OFFSET($AM$3,0,0,'Données projet'!$E$10+1,1))-AVERAGE(OFFSET($H$3,0,0,'Données projet'!$E$10+1,1))</f>
        <v>473.90982075211258</v>
      </c>
      <c r="AO130" s="62">
        <f t="shared" si="90"/>
        <v>127.17661287657279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0.92378926825737162</v>
      </c>
      <c r="AV130" s="23">
        <f>EXP(-LN(2)/25)*AV129+(1-EXP(-LN(2)/25))/(LN(2)/25)*Calculateur!AQ130*Calculateur!AS130*VLOOKUP('Données projet'!$B$10,Paramètres!$A$1:$I$89,3,0)*0.475*44/12</f>
        <v>9.1440695628358395E-2</v>
      </c>
      <c r="AW130" s="23">
        <f>EXP(-LN(2)/2)*AW129+(1-EXP(-LN(2)/2))/(LN(2)/2)*AQ130*AT130*VLOOKUP('Données projet'!$B$10,Paramètres!$A$1:$I$89,3,0)*0.475*44/12</f>
        <v>5.2691306373678437E-15</v>
      </c>
      <c r="AX130" s="23">
        <f t="shared" si="60"/>
        <v>1.0152299638857354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2">
        <f t="shared" si="86"/>
        <v>17.564111423853195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70">
        <f t="shared" si="56"/>
        <v>431.15509406321121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-2.2737367544323206E-13</v>
      </c>
      <c r="O131" s="14">
        <f>N131*VLOOKUP('Données projet'!$B$9,Paramètres!$A$1:$I$89,3,0)*VLOOKUP('Données projet'!$B$9,Paramètres!$A$1:$I$89,5,0)</f>
        <v>-1.2710188457276673E-13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382.94446752777549</v>
      </c>
      <c r="T131" s="62">
        <f t="shared" si="88"/>
        <v>476.29465646955543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1.2202273453688377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5.4656191420724362E-14</v>
      </c>
      <c r="AC131" s="24">
        <f t="shared" si="57"/>
        <v>1.2202273453688923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850.00000000000045</v>
      </c>
      <c r="AJ131" s="14">
        <f>AI131*VLOOKUP('Données projet'!$B$10,Paramètres!$A$1:$I$89,3,0)*VLOOKUP('Données projet'!$B$10,Paramètres!$A$1:$I$89,5,0)</f>
        <v>419.90000000000026</v>
      </c>
      <c r="AK131" s="14">
        <f t="shared" si="89"/>
        <v>95.799614109391214</v>
      </c>
      <c r="AL131" s="22">
        <f t="shared" si="58"/>
        <v>898.17682790719027</v>
      </c>
      <c r="AM131" s="62">
        <f t="shared" si="59"/>
        <v>1191.5101612405235</v>
      </c>
      <c r="AN131" s="62">
        <f ca="1">AVERAGE(OFFSET($AM$3,0,0,'Données projet'!$E$10+1,1))-AVERAGE(OFFSET($H$3,0,0,'Données projet'!$E$10+1,1))</f>
        <v>473.90982075211258</v>
      </c>
      <c r="AO131" s="62">
        <f t="shared" si="90"/>
        <v>127.17661287657279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0.90567432416266158</v>
      </c>
      <c r="AV131" s="23">
        <f>EXP(-LN(2)/25)*AV130+(1-EXP(-LN(2)/25))/(LN(2)/25)*Calculateur!AQ131*Calculateur!AS131*VLOOKUP('Données projet'!$B$10,Paramètres!$A$1:$I$89,3,0)*0.475*44/12</f>
        <v>8.8940244997743736E-2</v>
      </c>
      <c r="AW131" s="23">
        <f>EXP(-LN(2)/2)*AW130+(1-EXP(-LN(2)/2))/(LN(2)/2)*AQ131*AT131*VLOOKUP('Données projet'!$B$10,Paramètres!$A$1:$I$89,3,0)*0.475*44/12</f>
        <v>3.7258380046405975E-15</v>
      </c>
      <c r="AX131" s="23">
        <f t="shared" si="60"/>
        <v>0.99461456916040913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2">
        <f t="shared" si="86"/>
        <v>17.685303710532512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70">
        <f t="shared" ref="H132:H195" si="110">(B132+E132+F132)*44/12+(C132+D132)*0.475*44/12</f>
        <v>432.20391229584436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-2.2737367544323206E-13</v>
      </c>
      <c r="O132" s="14">
        <f>N132*VLOOKUP('Données projet'!$B$9,Paramètres!$A$1:$I$89,3,0)*VLOOKUP('Données projet'!$B$9,Paramètres!$A$1:$I$89,5,0)</f>
        <v>-1.2710188457276673E-13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382.94446752777549</v>
      </c>
      <c r="T132" s="62">
        <f t="shared" si="88"/>
        <v>476.29465646955543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1.1962994313913453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3.8647763587424197E-14</v>
      </c>
      <c r="AC132" s="24">
        <f t="shared" ref="AC132:AC153" si="111">SUM(Z132:AB132)</f>
        <v>1.1962994313913839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850.00000000000045</v>
      </c>
      <c r="AJ132" s="14">
        <f>AI132*VLOOKUP('Données projet'!$B$10,Paramètres!$A$1:$I$89,3,0)*VLOOKUP('Données projet'!$B$10,Paramètres!$A$1:$I$89,5,0)</f>
        <v>419.90000000000026</v>
      </c>
      <c r="AK132" s="14">
        <f t="shared" si="89"/>
        <v>95.799614109391214</v>
      </c>
      <c r="AL132" s="22">
        <f t="shared" ref="AL132:AL153" si="112">(AJ132+AK132)*0.475*44/12</f>
        <v>898.17682790719027</v>
      </c>
      <c r="AM132" s="62">
        <f t="shared" ref="AM132:AM195" si="113">AL132+(AD132+AE132)*44/12</f>
        <v>1191.5101612405235</v>
      </c>
      <c r="AN132" s="62">
        <f ca="1">AVERAGE(OFFSET($AM$3,0,0,'Données projet'!$E$10+1,1))-AVERAGE(OFFSET($H$3,0,0,'Données projet'!$E$10+1,1))</f>
        <v>473.90982075211258</v>
      </c>
      <c r="AO132" s="62">
        <f t="shared" si="90"/>
        <v>127.17661287657279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0.88791460307262393</v>
      </c>
      <c r="AV132" s="23">
        <f>EXP(-LN(2)/25)*AV131+(1-EXP(-LN(2)/25))/(LN(2)/25)*Calculateur!AQ132*Calculateur!AS132*VLOOKUP('Données projet'!$B$10,Paramètres!$A$1:$I$89,3,0)*0.475*44/12</f>
        <v>8.6508169321116227E-2</v>
      </c>
      <c r="AW132" s="23">
        <f>EXP(-LN(2)/2)*AW131+(1-EXP(-LN(2)/2))/(LN(2)/2)*AQ132*AT132*VLOOKUP('Données projet'!$B$10,Paramètres!$A$1:$I$89,3,0)*0.475*44/12</f>
        <v>2.6345653186839218E-15</v>
      </c>
      <c r="AX132" s="23">
        <f t="shared" ref="AX132:AX153" si="114">SUM(AU132:AW132)</f>
        <v>0.97442277239374286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2">
        <f t="shared" ref="D133:D196" si="140">IFERROR(EXP(-1.0587+0.8836*LN(C133)+0.284),0)</f>
        <v>17.806386690475353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70">
        <f t="shared" si="110"/>
        <v>433.25254015257815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-2.2737367544323206E-13</v>
      </c>
      <c r="O133" s="14">
        <f>N133*VLOOKUP('Données projet'!$B$9,Paramètres!$A$1:$I$89,3,0)*VLOOKUP('Données projet'!$B$9,Paramètres!$A$1:$I$89,5,0)</f>
        <v>-1.2710188457276673E-13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382.94446752777549</v>
      </c>
      <c r="T133" s="62">
        <f t="shared" ref="T133:T196" si="142">$T$3</f>
        <v>476.29465646955543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1.1728407292123653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2.7328095710362181E-14</v>
      </c>
      <c r="AC133" s="24">
        <f t="shared" si="111"/>
        <v>1.1728407292123926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850.00000000000045</v>
      </c>
      <c r="AJ133" s="14">
        <f>AI133*VLOOKUP('Données projet'!$B$10,Paramètres!$A$1:$I$89,3,0)*VLOOKUP('Données projet'!$B$10,Paramètres!$A$1:$I$89,5,0)</f>
        <v>419.90000000000026</v>
      </c>
      <c r="AK133" s="14">
        <f t="shared" ref="AK133:AK153" si="143">EXP(-1.0587+0.8836*LN(AJ133)+0.284)</f>
        <v>95.799614109391214</v>
      </c>
      <c r="AL133" s="22">
        <f t="shared" si="112"/>
        <v>898.17682790719027</v>
      </c>
      <c r="AM133" s="62">
        <f t="shared" si="113"/>
        <v>1191.5101612405235</v>
      </c>
      <c r="AN133" s="62">
        <f ca="1">AVERAGE(OFFSET($AM$3,0,0,'Données projet'!$E$10+1,1))-AVERAGE(OFFSET($H$3,0,0,'Données projet'!$E$10+1,1))</f>
        <v>473.90982075211258</v>
      </c>
      <c r="AO133" s="62">
        <f t="shared" ref="AO133:AO196" si="144">$AO$3</f>
        <v>127.17661287657279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0.87050313928080159</v>
      </c>
      <c r="AV133" s="23">
        <f>EXP(-LN(2)/25)*AV132+(1-EXP(-LN(2)/25))/(LN(2)/25)*Calculateur!AQ133*Calculateur!AS133*VLOOKUP('Données projet'!$B$10,Paramètres!$A$1:$I$89,3,0)*0.475*44/12</f>
        <v>8.4142598881763397E-2</v>
      </c>
      <c r="AW133" s="23">
        <f>EXP(-LN(2)/2)*AW132+(1-EXP(-LN(2)/2))/(LN(2)/2)*AQ133*AT133*VLOOKUP('Données projet'!$B$10,Paramètres!$A$1:$I$89,3,0)*0.475*44/12</f>
        <v>1.8629190023202988E-15</v>
      </c>
      <c r="AX133" s="23">
        <f t="shared" si="114"/>
        <v>0.95464573816256693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2">
        <f t="shared" si="140"/>
        <v>17.927361301972791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70">
        <f t="shared" si="110"/>
        <v>434.30097926760288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-2.2737367544323206E-13</v>
      </c>
      <c r="O134" s="14">
        <f>N134*VLOOKUP('Données projet'!$B$9,Paramètres!$A$1:$I$89,3,0)*VLOOKUP('Données projet'!$B$9,Paramètres!$A$1:$I$89,5,0)</f>
        <v>-1.2710188457276673E-13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382.94446752777549</v>
      </c>
      <c r="T134" s="62">
        <f t="shared" si="142"/>
        <v>476.29465646955543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1.1498420378747194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1.9323881793712099E-14</v>
      </c>
      <c r="AC134" s="24">
        <f t="shared" si="111"/>
        <v>1.1498420378747387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850.00000000000045</v>
      </c>
      <c r="AJ134" s="14">
        <f>AI134*VLOOKUP('Données projet'!$B$10,Paramètres!$A$1:$I$89,3,0)*VLOOKUP('Données projet'!$B$10,Paramètres!$A$1:$I$89,5,0)</f>
        <v>419.90000000000026</v>
      </c>
      <c r="AK134" s="14">
        <f t="shared" si="143"/>
        <v>95.799614109391214</v>
      </c>
      <c r="AL134" s="22">
        <f t="shared" si="112"/>
        <v>898.17682790719027</v>
      </c>
      <c r="AM134" s="62">
        <f t="shared" si="113"/>
        <v>1191.5101612405235</v>
      </c>
      <c r="AN134" s="62">
        <f ca="1">AVERAGE(OFFSET($AM$3,0,0,'Données projet'!$E$10+1,1))-AVERAGE(OFFSET($H$3,0,0,'Données projet'!$E$10+1,1))</f>
        <v>473.90982075211258</v>
      </c>
      <c r="AO134" s="62">
        <f t="shared" si="144"/>
        <v>127.17661287657279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0.85343310367399261</v>
      </c>
      <c r="AV134" s="23">
        <f>EXP(-LN(2)/25)*AV133+(1-EXP(-LN(2)/25))/(LN(2)/25)*Calculateur!AQ134*Calculateur!AS134*VLOOKUP('Données projet'!$B$10,Paramètres!$A$1:$I$89,3,0)*0.475*44/12</f>
        <v>8.1841715090474609E-2</v>
      </c>
      <c r="AW134" s="23">
        <f>EXP(-LN(2)/2)*AW133+(1-EXP(-LN(2)/2))/(LN(2)/2)*AQ134*AT134*VLOOKUP('Données projet'!$B$10,Paramètres!$A$1:$I$89,3,0)*0.475*44/12</f>
        <v>1.3172826593419609E-15</v>
      </c>
      <c r="AX134" s="23">
        <f t="shared" si="114"/>
        <v>0.93527481876446861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2">
        <f t="shared" si="140"/>
        <v>18.048228468163416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70">
        <f t="shared" si="110"/>
        <v>435.34923124871818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-2.2737367544323206E-13</v>
      </c>
      <c r="O135" s="14">
        <f>N135*VLOOKUP('Données projet'!$B$9,Paramètres!$A$1:$I$89,3,0)*VLOOKUP('Données projet'!$B$9,Paramètres!$A$1:$I$89,5,0)</f>
        <v>-1.2710188457276673E-13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382.94446752777549</v>
      </c>
      <c r="T135" s="62">
        <f t="shared" si="142"/>
        <v>476.29465646955543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1.1272943368463881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1.3664047855181091E-14</v>
      </c>
      <c r="AC135" s="24">
        <f t="shared" si="111"/>
        <v>1.1272943368464019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850.00000000000045</v>
      </c>
      <c r="AJ135" s="14">
        <f>AI135*VLOOKUP('Données projet'!$B$10,Paramètres!$A$1:$I$89,3,0)*VLOOKUP('Données projet'!$B$10,Paramètres!$A$1:$I$89,5,0)</f>
        <v>419.90000000000026</v>
      </c>
      <c r="AK135" s="14">
        <f t="shared" si="143"/>
        <v>95.799614109391214</v>
      </c>
      <c r="AL135" s="22">
        <f t="shared" si="112"/>
        <v>898.17682790719027</v>
      </c>
      <c r="AM135" s="62">
        <f t="shared" si="113"/>
        <v>1191.5101612405235</v>
      </c>
      <c r="AN135" s="62">
        <f ca="1">AVERAGE(OFFSET($AM$3,0,0,'Données projet'!$E$10+1,1))-AVERAGE(OFFSET($H$3,0,0,'Données projet'!$E$10+1,1))</f>
        <v>473.90982075211258</v>
      </c>
      <c r="AO135" s="62">
        <f t="shared" si="144"/>
        <v>127.17661287657279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0.83669780105373948</v>
      </c>
      <c r="AV135" s="23">
        <f>EXP(-LN(2)/25)*AV134+(1-EXP(-LN(2)/25))/(LN(2)/25)*Calculateur!AQ135*Calculateur!AS135*VLOOKUP('Données projet'!$B$10,Paramètres!$A$1:$I$89,3,0)*0.475*44/12</f>
        <v>7.9603749087456835E-2</v>
      </c>
      <c r="AW135" s="23">
        <f>EXP(-LN(2)/2)*AW134+(1-EXP(-LN(2)/2))/(LN(2)/2)*AQ135*AT135*VLOOKUP('Données projet'!$B$10,Paramètres!$A$1:$I$89,3,0)*0.475*44/12</f>
        <v>9.3145950116014938E-16</v>
      </c>
      <c r="AX135" s="23">
        <f t="shared" si="114"/>
        <v>0.91630155014119719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2">
        <f t="shared" si="140"/>
        <v>18.168989097390945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70">
        <f t="shared" si="110"/>
        <v>436.39729767795615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-2.2737367544323206E-13</v>
      </c>
      <c r="O136" s="14">
        <f>N136*VLOOKUP('Données projet'!$B$9,Paramètres!$A$1:$I$89,3,0)*VLOOKUP('Données projet'!$B$9,Paramètres!$A$1:$I$89,5,0)</f>
        <v>-1.2710188457276673E-13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382.94446752777549</v>
      </c>
      <c r="T136" s="62">
        <f t="shared" si="142"/>
        <v>476.29465646955543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1.1051887824824829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9.6619408968560493E-15</v>
      </c>
      <c r="AC136" s="24">
        <f t="shared" si="111"/>
        <v>1.1051887824824926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850.00000000000045</v>
      </c>
      <c r="AJ136" s="14">
        <f>AI136*VLOOKUP('Données projet'!$B$10,Paramètres!$A$1:$I$89,3,0)*VLOOKUP('Données projet'!$B$10,Paramètres!$A$1:$I$89,5,0)</f>
        <v>419.90000000000026</v>
      </c>
      <c r="AK136" s="14">
        <f t="shared" si="143"/>
        <v>95.799614109391214</v>
      </c>
      <c r="AL136" s="22">
        <f t="shared" si="112"/>
        <v>898.17682790719027</v>
      </c>
      <c r="AM136" s="62">
        <f t="shared" si="113"/>
        <v>1191.5101612405235</v>
      </c>
      <c r="AN136" s="62">
        <f ca="1">AVERAGE(OFFSET($AM$3,0,0,'Données projet'!$E$10+1,1))-AVERAGE(OFFSET($H$3,0,0,'Données projet'!$E$10+1,1))</f>
        <v>473.90982075211258</v>
      </c>
      <c r="AO136" s="62">
        <f t="shared" si="144"/>
        <v>127.17661287657279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0.82029066751034285</v>
      </c>
      <c r="AV136" s="23">
        <f>EXP(-LN(2)/25)*AV135+(1-EXP(-LN(2)/25))/(LN(2)/25)*Calculateur!AQ136*Calculateur!AS136*VLOOKUP('Données projet'!$B$10,Paramètres!$A$1:$I$89,3,0)*0.475*44/12</f>
        <v>7.7426980382481095E-2</v>
      </c>
      <c r="AW136" s="23">
        <f>EXP(-LN(2)/2)*AW135+(1-EXP(-LN(2)/2))/(LN(2)/2)*AQ136*AT136*VLOOKUP('Données projet'!$B$10,Paramètres!$A$1:$I$89,3,0)*0.475*44/12</f>
        <v>6.5864132967098046E-16</v>
      </c>
      <c r="AX136" s="23">
        <f t="shared" si="114"/>
        <v>0.8977176478928246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2">
        <f t="shared" si="140"/>
        <v>18.289644083550719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70">
        <f t="shared" si="110"/>
        <v>437.4451801121844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-2.2737367544323206E-13</v>
      </c>
      <c r="O137" s="14">
        <f>N137*VLOOKUP('Données projet'!$B$9,Paramètres!$A$1:$I$89,3,0)*VLOOKUP('Données projet'!$B$9,Paramètres!$A$1:$I$89,5,0)</f>
        <v>-1.2710188457276673E-13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382.94446752777549</v>
      </c>
      <c r="T137" s="62">
        <f t="shared" si="142"/>
        <v>476.29465646955543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1.083516704556597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6.8320239275905453E-15</v>
      </c>
      <c r="AC137" s="24">
        <f t="shared" si="111"/>
        <v>1.0835167045566039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850.00000000000045</v>
      </c>
      <c r="AJ137" s="14">
        <f>AI137*VLOOKUP('Données projet'!$B$10,Paramètres!$A$1:$I$89,3,0)*VLOOKUP('Données projet'!$B$10,Paramètres!$A$1:$I$89,5,0)</f>
        <v>419.90000000000026</v>
      </c>
      <c r="AK137" s="14">
        <f t="shared" si="143"/>
        <v>95.799614109391214</v>
      </c>
      <c r="AL137" s="22">
        <f t="shared" si="112"/>
        <v>898.17682790719027</v>
      </c>
      <c r="AM137" s="62">
        <f t="shared" si="113"/>
        <v>1191.5101612405235</v>
      </c>
      <c r="AN137" s="62">
        <f ca="1">AVERAGE(OFFSET($AM$3,0,0,'Données projet'!$E$10+1,1))-AVERAGE(OFFSET($H$3,0,0,'Données projet'!$E$10+1,1))</f>
        <v>473.90982075211258</v>
      </c>
      <c r="AO137" s="62">
        <f t="shared" si="144"/>
        <v>127.17661287657279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0.80420526784836899</v>
      </c>
      <c r="AV137" s="23">
        <f>EXP(-LN(2)/25)*AV136+(1-EXP(-LN(2)/25))/(LN(2)/25)*Calculateur!AQ137*Calculateur!AS137*VLOOKUP('Données projet'!$B$10,Paramètres!$A$1:$I$89,3,0)*0.475*44/12</f>
        <v>7.5309735532214206E-2</v>
      </c>
      <c r="AW137" s="23">
        <f>EXP(-LN(2)/2)*AW136+(1-EXP(-LN(2)/2))/(LN(2)/2)*AQ137*AT137*VLOOKUP('Données projet'!$B$10,Paramètres!$A$1:$I$89,3,0)*0.475*44/12</f>
        <v>4.6572975058007469E-16</v>
      </c>
      <c r="AX137" s="23">
        <f t="shared" si="114"/>
        <v>0.87951500338058364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2">
        <f t="shared" si="140"/>
        <v>18.41019430642563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70">
        <f t="shared" si="110"/>
        <v>438.49288008369155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-2.2737367544323206E-13</v>
      </c>
      <c r="O138" s="14">
        <f>N138*VLOOKUP('Données projet'!$B$9,Paramètres!$A$1:$I$89,3,0)*VLOOKUP('Données projet'!$B$9,Paramètres!$A$1:$I$89,5,0)</f>
        <v>-1.2710188457276673E-13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382.94446752777549</v>
      </c>
      <c r="T138" s="62">
        <f t="shared" si="142"/>
        <v>476.29465646955543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1.0622696028601755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4.8309704484280247E-15</v>
      </c>
      <c r="AC138" s="24">
        <f t="shared" si="111"/>
        <v>1.0622696028601804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850.00000000000045</v>
      </c>
      <c r="AJ138" s="14">
        <f>AI138*VLOOKUP('Données projet'!$B$10,Paramètres!$A$1:$I$89,3,0)*VLOOKUP('Données projet'!$B$10,Paramètres!$A$1:$I$89,5,0)</f>
        <v>419.90000000000026</v>
      </c>
      <c r="AK138" s="14">
        <f t="shared" si="143"/>
        <v>95.799614109391214</v>
      </c>
      <c r="AL138" s="22">
        <f t="shared" si="112"/>
        <v>898.17682790719027</v>
      </c>
      <c r="AM138" s="62">
        <f t="shared" si="113"/>
        <v>1191.5101612405235</v>
      </c>
      <c r="AN138" s="62">
        <f ca="1">AVERAGE(OFFSET($AM$3,0,0,'Données projet'!$E$10+1,1))-AVERAGE(OFFSET($H$3,0,0,'Données projet'!$E$10+1,1))</f>
        <v>473.90982075211258</v>
      </c>
      <c r="AO138" s="62">
        <f t="shared" si="144"/>
        <v>127.17661287657279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0.78843529306264137</v>
      </c>
      <c r="AV138" s="23">
        <f>EXP(-LN(2)/25)*AV137+(1-EXP(-LN(2)/25))/(LN(2)/25)*Calculateur!AQ138*Calculateur!AS138*VLOOKUP('Données projet'!$B$10,Paramètres!$A$1:$I$89,3,0)*0.475*44/12</f>
        <v>7.3250386853718943E-2</v>
      </c>
      <c r="AW138" s="23">
        <f>EXP(-LN(2)/2)*AW137+(1-EXP(-LN(2)/2))/(LN(2)/2)*AQ138*AT138*VLOOKUP('Données projet'!$B$10,Paramètres!$A$1:$I$89,3,0)*0.475*44/12</f>
        <v>3.2932066483549023E-16</v>
      </c>
      <c r="AX138" s="23">
        <f t="shared" si="114"/>
        <v>0.86168567991636069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2">
        <f t="shared" si="140"/>
        <v>18.530640632011767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70">
        <f t="shared" si="110"/>
        <v>439.54039910075409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-2.2737367544323206E-13</v>
      </c>
      <c r="O139" s="14">
        <f>N139*VLOOKUP('Données projet'!$B$9,Paramètres!$A$1:$I$89,3,0)*VLOOKUP('Données projet'!$B$9,Paramètres!$A$1:$I$89,5,0)</f>
        <v>-1.2710188457276673E-13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382.94446752777549</v>
      </c>
      <c r="T139" s="62">
        <f t="shared" si="142"/>
        <v>476.29465646955543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1.0414391438685684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3.4160119637952726E-15</v>
      </c>
      <c r="AC139" s="24">
        <f t="shared" si="111"/>
        <v>1.0414391438685717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850.00000000000045</v>
      </c>
      <c r="AJ139" s="14">
        <f>AI139*VLOOKUP('Données projet'!$B$10,Paramètres!$A$1:$I$89,3,0)*VLOOKUP('Données projet'!$B$10,Paramètres!$A$1:$I$89,5,0)</f>
        <v>419.90000000000026</v>
      </c>
      <c r="AK139" s="14">
        <f t="shared" si="143"/>
        <v>95.799614109391214</v>
      </c>
      <c r="AL139" s="22">
        <f t="shared" si="112"/>
        <v>898.17682790719027</v>
      </c>
      <c r="AM139" s="62">
        <f t="shared" si="113"/>
        <v>1191.5101612405235</v>
      </c>
      <c r="AN139" s="62">
        <f ca="1">AVERAGE(OFFSET($AM$3,0,0,'Données projet'!$E$10+1,1))-AVERAGE(OFFSET($H$3,0,0,'Données projet'!$E$10+1,1))</f>
        <v>473.90982075211258</v>
      </c>
      <c r="AO139" s="62">
        <f t="shared" si="144"/>
        <v>127.17661287657279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0.77297455786372704</v>
      </c>
      <c r="AV139" s="23">
        <f>EXP(-LN(2)/25)*AV138+(1-EXP(-LN(2)/25))/(LN(2)/25)*Calculateur!AQ139*Calculateur!AS139*VLOOKUP('Données projet'!$B$10,Paramètres!$A$1:$I$89,3,0)*0.475*44/12</f>
        <v>7.1247351173133563E-2</v>
      </c>
      <c r="AW139" s="23">
        <f>EXP(-LN(2)/2)*AW138+(1-EXP(-LN(2)/2))/(LN(2)/2)*AQ139*AT139*VLOOKUP('Données projet'!$B$10,Paramètres!$A$1:$I$89,3,0)*0.475*44/12</f>
        <v>2.3286487529003734E-16</v>
      </c>
      <c r="AX139" s="23">
        <f t="shared" si="114"/>
        <v>0.84422190903686078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2">
        <f t="shared" si="140"/>
        <v>18.65098391283415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70">
        <f t="shared" si="110"/>
        <v>440.58773864818636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-2.2737367544323206E-13</v>
      </c>
      <c r="O140" s="14">
        <f>N140*VLOOKUP('Données projet'!$B$9,Paramètres!$A$1:$I$89,3,0)*VLOOKUP('Données projet'!$B$9,Paramètres!$A$1:$I$89,5,0)</f>
        <v>-1.2710188457276673E-13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382.94446752777549</v>
      </c>
      <c r="T140" s="62">
        <f t="shared" si="142"/>
        <v>476.29465646955543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1.0210171574724611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2.4154852242140123E-15</v>
      </c>
      <c r="AC140" s="24">
        <f t="shared" si="111"/>
        <v>1.0210171574724636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850.00000000000045</v>
      </c>
      <c r="AJ140" s="14">
        <f>AI140*VLOOKUP('Données projet'!$B$10,Paramètres!$A$1:$I$89,3,0)*VLOOKUP('Données projet'!$B$10,Paramètres!$A$1:$I$89,5,0)</f>
        <v>419.90000000000026</v>
      </c>
      <c r="AK140" s="14">
        <f t="shared" si="143"/>
        <v>95.799614109391214</v>
      </c>
      <c r="AL140" s="22">
        <f t="shared" si="112"/>
        <v>898.17682790719027</v>
      </c>
      <c r="AM140" s="62">
        <f t="shared" si="113"/>
        <v>1191.5101612405235</v>
      </c>
      <c r="AN140" s="62">
        <f ca="1">AVERAGE(OFFSET($AM$3,0,0,'Données projet'!$E$10+1,1))-AVERAGE(OFFSET($H$3,0,0,'Données projet'!$E$10+1,1))</f>
        <v>473.90982075211258</v>
      </c>
      <c r="AO140" s="62">
        <f t="shared" si="144"/>
        <v>127.17661287657279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0.75781699825194604</v>
      </c>
      <c r="AV140" s="23">
        <f>EXP(-LN(2)/25)*AV139+(1-EXP(-LN(2)/25))/(LN(2)/25)*Calculateur!AQ140*Calculateur!AS140*VLOOKUP('Données projet'!$B$10,Paramètres!$A$1:$I$89,3,0)*0.475*44/12</f>
        <v>6.9299088608568871E-2</v>
      </c>
      <c r="AW140" s="23">
        <f>EXP(-LN(2)/2)*AW139+(1-EXP(-LN(2)/2))/(LN(2)/2)*AQ140*AT140*VLOOKUP('Données projet'!$B$10,Paramètres!$A$1:$I$89,3,0)*0.475*44/12</f>
        <v>1.6466033241774512E-16</v>
      </c>
      <c r="AX140" s="23">
        <f t="shared" si="114"/>
        <v>0.82711608686051508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2">
        <f t="shared" si="140"/>
        <v>18.771224988253135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70">
        <f t="shared" si="110"/>
        <v>441.63490018787445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-2.2737367544323206E-13</v>
      </c>
      <c r="O141" s="14">
        <f>N141*VLOOKUP('Données projet'!$B$9,Paramètres!$A$1:$I$89,3,0)*VLOOKUP('Données projet'!$B$9,Paramètres!$A$1:$I$89,5,0)</f>
        <v>-1.2710188457276673E-13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382.94446752777549</v>
      </c>
      <c r="T141" s="62">
        <f t="shared" si="142"/>
        <v>476.29465646955543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1.0009956337733998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1.7080059818976363E-15</v>
      </c>
      <c r="AC141" s="24">
        <f t="shared" si="111"/>
        <v>1.0009956337734016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850.00000000000045</v>
      </c>
      <c r="AJ141" s="14">
        <f>AI141*VLOOKUP('Données projet'!$B$10,Paramètres!$A$1:$I$89,3,0)*VLOOKUP('Données projet'!$B$10,Paramètres!$A$1:$I$89,5,0)</f>
        <v>419.90000000000026</v>
      </c>
      <c r="AK141" s="14">
        <f t="shared" si="143"/>
        <v>95.799614109391214</v>
      </c>
      <c r="AL141" s="22">
        <f t="shared" si="112"/>
        <v>898.17682790719027</v>
      </c>
      <c r="AM141" s="62">
        <f t="shared" si="113"/>
        <v>1191.5101612405235</v>
      </c>
      <c r="AN141" s="62">
        <f ca="1">AVERAGE(OFFSET($AM$3,0,0,'Données projet'!$E$10+1,1))-AVERAGE(OFFSET($H$3,0,0,'Données projet'!$E$10+1,1))</f>
        <v>473.90982075211258</v>
      </c>
      <c r="AO141" s="62">
        <f t="shared" si="144"/>
        <v>127.17661287657279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0.74295666913895364</v>
      </c>
      <c r="AV141" s="23">
        <f>EXP(-LN(2)/25)*AV140+(1-EXP(-LN(2)/25))/(LN(2)/25)*Calculateur!AQ141*Calculateur!AS141*VLOOKUP('Données projet'!$B$10,Paramètres!$A$1:$I$89,3,0)*0.475*44/12</f>
        <v>6.7404101386286872E-2</v>
      </c>
      <c r="AW141" s="23">
        <f>EXP(-LN(2)/2)*AW140+(1-EXP(-LN(2)/2))/(LN(2)/2)*AQ141*AT141*VLOOKUP('Données projet'!$B$10,Paramètres!$A$1:$I$89,3,0)*0.475*44/12</f>
        <v>1.1643243764501867E-16</v>
      </c>
      <c r="AX141" s="23">
        <f t="shared" si="114"/>
        <v>0.81036077052524058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2">
        <f t="shared" si="140"/>
        <v>18.891364684761506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70">
        <f t="shared" si="110"/>
        <v>442.68188515929319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-2.2737367544323206E-13</v>
      </c>
      <c r="O142" s="14">
        <f>N142*VLOOKUP('Données projet'!$B$9,Paramètres!$A$1:$I$89,3,0)*VLOOKUP('Données projet'!$B$9,Paramètres!$A$1:$I$89,5,0)</f>
        <v>-1.2710188457276673E-13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382.94446752777549</v>
      </c>
      <c r="T142" s="62">
        <f t="shared" si="142"/>
        <v>476.29465646955543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0.98136671994215352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1.2077426121070062E-15</v>
      </c>
      <c r="AC142" s="24">
        <f t="shared" si="111"/>
        <v>0.98136671994215474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850.00000000000045</v>
      </c>
      <c r="AJ142" s="14">
        <f>AI142*VLOOKUP('Données projet'!$B$10,Paramètres!$A$1:$I$89,3,0)*VLOOKUP('Données projet'!$B$10,Paramètres!$A$1:$I$89,5,0)</f>
        <v>419.90000000000026</v>
      </c>
      <c r="AK142" s="14">
        <f t="shared" si="143"/>
        <v>95.799614109391214</v>
      </c>
      <c r="AL142" s="22">
        <f t="shared" si="112"/>
        <v>898.17682790719027</v>
      </c>
      <c r="AM142" s="62">
        <f t="shared" si="113"/>
        <v>1191.5101612405235</v>
      </c>
      <c r="AN142" s="62">
        <f ca="1">AVERAGE(OFFSET($AM$3,0,0,'Données projet'!$E$10+1,1))-AVERAGE(OFFSET($H$3,0,0,'Données projet'!$E$10+1,1))</f>
        <v>473.90982075211258</v>
      </c>
      <c r="AO142" s="62">
        <f t="shared" si="144"/>
        <v>127.17661287657279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0.72838774201596124</v>
      </c>
      <c r="AV142" s="23">
        <f>EXP(-LN(2)/25)*AV141+(1-EXP(-LN(2)/25))/(LN(2)/25)*Calculateur!AQ142*Calculateur!AS142*VLOOKUP('Données projet'!$B$10,Paramètres!$A$1:$I$89,3,0)*0.475*44/12</f>
        <v>6.5560932689251214E-2</v>
      </c>
      <c r="AW142" s="23">
        <f>EXP(-LN(2)/2)*AW141+(1-EXP(-LN(2)/2))/(LN(2)/2)*AQ142*AT142*VLOOKUP('Données projet'!$B$10,Paramètres!$A$1:$I$89,3,0)*0.475*44/12</f>
        <v>8.2330166208872558E-17</v>
      </c>
      <c r="AX142" s="23">
        <f t="shared" si="114"/>
        <v>0.79394867470521258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2">
        <f t="shared" si="140"/>
        <v>19.011403816272956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70">
        <f t="shared" si="110"/>
        <v>443.72869498000898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-2.2737367544323206E-13</v>
      </c>
      <c r="O143" s="14">
        <f>N143*VLOOKUP('Données projet'!$B$9,Paramètres!$A$1:$I$89,3,0)*VLOOKUP('Données projet'!$B$9,Paramètres!$A$1:$I$89,5,0)</f>
        <v>-1.2710188457276673E-13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382.94446752777549</v>
      </c>
      <c r="T143" s="62">
        <f t="shared" si="142"/>
        <v>476.29465646955543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0.96212271713868269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8.5400299094881816E-16</v>
      </c>
      <c r="AC143" s="24">
        <f t="shared" si="111"/>
        <v>0.96212271713868358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850.00000000000045</v>
      </c>
      <c r="AJ143" s="14">
        <f>AI143*VLOOKUP('Données projet'!$B$10,Paramètres!$A$1:$I$89,3,0)*VLOOKUP('Données projet'!$B$10,Paramètres!$A$1:$I$89,5,0)</f>
        <v>419.90000000000026</v>
      </c>
      <c r="AK143" s="14">
        <f t="shared" si="143"/>
        <v>95.799614109391214</v>
      </c>
      <c r="AL143" s="22">
        <f t="shared" si="112"/>
        <v>898.17682790719027</v>
      </c>
      <c r="AM143" s="62">
        <f t="shared" si="113"/>
        <v>1191.5101612405235</v>
      </c>
      <c r="AN143" s="62">
        <f ca="1">AVERAGE(OFFSET($AM$3,0,0,'Données projet'!$E$10+1,1))-AVERAGE(OFFSET($H$3,0,0,'Données projet'!$E$10+1,1))</f>
        <v>473.90982075211258</v>
      </c>
      <c r="AO143" s="62">
        <f t="shared" si="144"/>
        <v>127.17661287657279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0.71410450266768255</v>
      </c>
      <c r="AV143" s="23">
        <f>EXP(-LN(2)/25)*AV142+(1-EXP(-LN(2)/25))/(LN(2)/25)*Calculateur!AQ143*Calculateur!AS143*VLOOKUP('Données projet'!$B$10,Paramètres!$A$1:$I$89,3,0)*0.475*44/12</f>
        <v>6.3768165537164037E-2</v>
      </c>
      <c r="AW143" s="23">
        <f>EXP(-LN(2)/2)*AW142+(1-EXP(-LN(2)/2))/(LN(2)/2)*AQ143*AT143*VLOOKUP('Données projet'!$B$10,Paramètres!$A$1:$I$89,3,0)*0.475*44/12</f>
        <v>5.8216218822509336E-17</v>
      </c>
      <c r="AX143" s="23">
        <f t="shared" si="114"/>
        <v>0.77787266820484668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2">
        <f t="shared" si="140"/>
        <v>19.13134318440186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70">
        <f t="shared" si="110"/>
        <v>444.7753310461668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-2.2737367544323206E-13</v>
      </c>
      <c r="O144" s="14">
        <f>N144*VLOOKUP('Données projet'!$B$9,Paramètres!$A$1:$I$89,3,0)*VLOOKUP('Données projet'!$B$9,Paramètres!$A$1:$I$89,5,0)</f>
        <v>-1.2710188457276673E-13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382.94446752777549</v>
      </c>
      <c r="T144" s="62">
        <f t="shared" si="142"/>
        <v>476.29465646955543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0.94325607749250528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6.0387130605350308E-16</v>
      </c>
      <c r="AC144" s="24">
        <f t="shared" si="111"/>
        <v>0.94325607749250584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850.00000000000045</v>
      </c>
      <c r="AJ144" s="14">
        <f>AI144*VLOOKUP('Données projet'!$B$10,Paramètres!$A$1:$I$89,3,0)*VLOOKUP('Données projet'!$B$10,Paramètres!$A$1:$I$89,5,0)</f>
        <v>419.90000000000026</v>
      </c>
      <c r="AK144" s="14">
        <f t="shared" si="143"/>
        <v>95.799614109391214</v>
      </c>
      <c r="AL144" s="22">
        <f t="shared" si="112"/>
        <v>898.17682790719027</v>
      </c>
      <c r="AM144" s="62">
        <f t="shared" si="113"/>
        <v>1191.5101612405235</v>
      </c>
      <c r="AN144" s="62">
        <f ca="1">AVERAGE(OFFSET($AM$3,0,0,'Données projet'!$E$10+1,1))-AVERAGE(OFFSET($H$3,0,0,'Données projet'!$E$10+1,1))</f>
        <v>473.90982075211258</v>
      </c>
      <c r="AO144" s="62">
        <f t="shared" si="144"/>
        <v>127.17661287657279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0.70010134893110787</v>
      </c>
      <c r="AV144" s="23">
        <f>EXP(-LN(2)/25)*AV143+(1-EXP(-LN(2)/25))/(LN(2)/25)*Calculateur!AQ144*Calculateur!AS144*VLOOKUP('Données projet'!$B$10,Paramètres!$A$1:$I$89,3,0)*0.475*44/12</f>
        <v>6.2024421697128206E-2</v>
      </c>
      <c r="AW144" s="23">
        <f>EXP(-LN(2)/2)*AW143+(1-EXP(-LN(2)/2))/(LN(2)/2)*AQ144*AT144*VLOOKUP('Données projet'!$B$10,Paramètres!$A$1:$I$89,3,0)*0.475*44/12</f>
        <v>4.1165083104436279E-17</v>
      </c>
      <c r="AX144" s="23">
        <f t="shared" si="114"/>
        <v>0.76212577062823605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2">
        <f t="shared" si="140"/>
        <v>19.251183578735148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70">
        <f t="shared" si="110"/>
        <v>445.82179473296389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-2.2737367544323206E-13</v>
      </c>
      <c r="O145" s="14">
        <f>N145*VLOOKUP('Données projet'!$B$9,Paramètres!$A$1:$I$89,3,0)*VLOOKUP('Données projet'!$B$9,Paramètres!$A$1:$I$89,5,0)</f>
        <v>-1.2710188457276673E-13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382.94446752777549</v>
      </c>
      <c r="T145" s="62">
        <f t="shared" si="142"/>
        <v>476.29465646955543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0.92475940114227551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4.2700149547440908E-16</v>
      </c>
      <c r="AC145" s="24">
        <f t="shared" si="111"/>
        <v>0.92475940114227595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850.00000000000045</v>
      </c>
      <c r="AJ145" s="14">
        <f>AI145*VLOOKUP('Données projet'!$B$10,Paramètres!$A$1:$I$89,3,0)*VLOOKUP('Données projet'!$B$10,Paramètres!$A$1:$I$89,5,0)</f>
        <v>419.90000000000026</v>
      </c>
      <c r="AK145" s="14">
        <f t="shared" si="143"/>
        <v>95.799614109391214</v>
      </c>
      <c r="AL145" s="22">
        <f t="shared" si="112"/>
        <v>898.17682790719027</v>
      </c>
      <c r="AM145" s="62">
        <f t="shared" si="113"/>
        <v>1191.5101612405235</v>
      </c>
      <c r="AN145" s="62">
        <f ca="1">AVERAGE(OFFSET($AM$3,0,0,'Données projet'!$E$10+1,1))-AVERAGE(OFFSET($H$3,0,0,'Données projet'!$E$10+1,1))</f>
        <v>473.90982075211258</v>
      </c>
      <c r="AO145" s="62">
        <f t="shared" si="144"/>
        <v>127.17661287657279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0.68637278849822703</v>
      </c>
      <c r="AV145" s="23">
        <f>EXP(-LN(2)/25)*AV144+(1-EXP(-LN(2)/25))/(LN(2)/25)*Calculateur!AQ145*Calculateur!AS145*VLOOKUP('Données projet'!$B$10,Paramètres!$A$1:$I$89,3,0)*0.475*44/12</f>
        <v>6.0328360624097653E-2</v>
      </c>
      <c r="AW145" s="23">
        <f>EXP(-LN(2)/2)*AW144+(1-EXP(-LN(2)/2))/(LN(2)/2)*AQ145*AT145*VLOOKUP('Données projet'!$B$10,Paramètres!$A$1:$I$89,3,0)*0.475*44/12</f>
        <v>2.9108109411254668E-17</v>
      </c>
      <c r="AX145" s="23">
        <f t="shared" si="114"/>
        <v>0.74670114912232466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2">
        <f t="shared" si="140"/>
        <v>19.370925777096051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70">
        <f t="shared" si="110"/>
        <v>446.86808739510911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-2.2737367544323206E-13</v>
      </c>
      <c r="O146" s="14">
        <f>N146*VLOOKUP('Données projet'!$B$9,Paramètres!$A$1:$I$89,3,0)*VLOOKUP('Données projet'!$B$9,Paramètres!$A$1:$I$89,5,0)</f>
        <v>-1.2710188457276673E-13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382.94446752777549</v>
      </c>
      <c r="T146" s="62">
        <f t="shared" si="142"/>
        <v>476.29465646955543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0.90662543333341516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3.0193565302675154E-16</v>
      </c>
      <c r="AC146" s="24">
        <f t="shared" si="111"/>
        <v>0.9066254333334155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850.00000000000045</v>
      </c>
      <c r="AJ146" s="14">
        <f>AI146*VLOOKUP('Données projet'!$B$10,Paramètres!$A$1:$I$89,3,0)*VLOOKUP('Données projet'!$B$10,Paramètres!$A$1:$I$89,5,0)</f>
        <v>419.90000000000026</v>
      </c>
      <c r="AK146" s="14">
        <f t="shared" si="143"/>
        <v>95.799614109391214</v>
      </c>
      <c r="AL146" s="22">
        <f t="shared" si="112"/>
        <v>898.17682790719027</v>
      </c>
      <c r="AM146" s="62">
        <f t="shared" si="113"/>
        <v>1191.5101612405235</v>
      </c>
      <c r="AN146" s="62">
        <f ca="1">AVERAGE(OFFSET($AM$3,0,0,'Données projet'!$E$10+1,1))-AVERAGE(OFFSET($H$3,0,0,'Données projet'!$E$10+1,1))</f>
        <v>473.90982075211258</v>
      </c>
      <c r="AO146" s="62">
        <f t="shared" si="144"/>
        <v>127.17661287657279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0.6729134367618399</v>
      </c>
      <c r="AV146" s="23">
        <f>EXP(-LN(2)/25)*AV145+(1-EXP(-LN(2)/25))/(LN(2)/25)*Calculateur!AQ146*Calculateur!AS146*VLOOKUP('Données projet'!$B$10,Paramètres!$A$1:$I$89,3,0)*0.475*44/12</f>
        <v>5.8678678430301098E-2</v>
      </c>
      <c r="AW146" s="23">
        <f>EXP(-LN(2)/2)*AW145+(1-EXP(-LN(2)/2))/(LN(2)/2)*AQ146*AT146*VLOOKUP('Données projet'!$B$10,Paramètres!$A$1:$I$89,3,0)*0.475*44/12</f>
        <v>2.0582541552218139E-17</v>
      </c>
      <c r="AX146" s="23">
        <f t="shared" si="114"/>
        <v>0.73159211519214096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2">
        <f t="shared" si="140"/>
        <v>19.49057054580048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70">
        <f t="shared" si="110"/>
        <v>447.91421036726933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-2.2737367544323206E-13</v>
      </c>
      <c r="O147" s="14">
        <f>N147*VLOOKUP('Données projet'!$B$9,Paramètres!$A$1:$I$89,3,0)*VLOOKUP('Données projet'!$B$9,Paramètres!$A$1:$I$89,5,0)</f>
        <v>-1.2710188457276673E-13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382.94446752777549</v>
      </c>
      <c r="T147" s="62">
        <f t="shared" si="142"/>
        <v>476.29465646955543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0.88884706157265836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2.1350074773720454E-16</v>
      </c>
      <c r="AC147" s="24">
        <f t="shared" si="111"/>
        <v>0.88884706157265858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850.00000000000045</v>
      </c>
      <c r="AJ147" s="14">
        <f>AI147*VLOOKUP('Données projet'!$B$10,Paramètres!$A$1:$I$89,3,0)*VLOOKUP('Données projet'!$B$10,Paramètres!$A$1:$I$89,5,0)</f>
        <v>419.90000000000026</v>
      </c>
      <c r="AK147" s="14">
        <f t="shared" si="143"/>
        <v>95.799614109391214</v>
      </c>
      <c r="AL147" s="22">
        <f t="shared" si="112"/>
        <v>898.17682790719027</v>
      </c>
      <c r="AM147" s="62">
        <f t="shared" si="113"/>
        <v>1191.5101612405235</v>
      </c>
      <c r="AN147" s="62">
        <f ca="1">AVERAGE(OFFSET($AM$3,0,0,'Données projet'!$E$10+1,1))-AVERAGE(OFFSET($H$3,0,0,'Données projet'!$E$10+1,1))</f>
        <v>473.90982075211258</v>
      </c>
      <c r="AO147" s="62">
        <f t="shared" si="144"/>
        <v>127.17661287657279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0.65971801470360936</v>
      </c>
      <c r="AV147" s="23">
        <f>EXP(-LN(2)/25)*AV146+(1-EXP(-LN(2)/25))/(LN(2)/25)*Calculateur!AQ147*Calculateur!AS147*VLOOKUP('Données projet'!$B$10,Paramètres!$A$1:$I$89,3,0)*0.475*44/12</f>
        <v>5.7074106882846927E-2</v>
      </c>
      <c r="AW147" s="23">
        <f>EXP(-LN(2)/2)*AW146+(1-EXP(-LN(2)/2))/(LN(2)/2)*AQ147*AT147*VLOOKUP('Données projet'!$B$10,Paramètres!$A$1:$I$89,3,0)*0.475*44/12</f>
        <v>1.4554054705627334E-17</v>
      </c>
      <c r="AX147" s="23">
        <f t="shared" si="114"/>
        <v>0.71679212158645633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2">
        <f t="shared" si="140"/>
        <v>19.610118639905842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70">
        <f t="shared" si="110"/>
        <v>448.96016496450284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-2.2737367544323206E-13</v>
      </c>
      <c r="O148" s="14">
        <f>N148*VLOOKUP('Données projet'!$B$9,Paramètres!$A$1:$I$89,3,0)*VLOOKUP('Données projet'!$B$9,Paramètres!$A$1:$I$89,5,0)</f>
        <v>-1.2710188457276673E-13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382.94446752777549</v>
      </c>
      <c r="T148" s="62">
        <f t="shared" si="142"/>
        <v>476.29465646955543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0.87141731283839385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1.5096782651337577E-16</v>
      </c>
      <c r="AC148" s="24">
        <f t="shared" si="111"/>
        <v>0.87141731283839396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850.00000000000045</v>
      </c>
      <c r="AJ148" s="14">
        <f>AI148*VLOOKUP('Données projet'!$B$10,Paramètres!$A$1:$I$89,3,0)*VLOOKUP('Données projet'!$B$10,Paramètres!$A$1:$I$89,5,0)</f>
        <v>419.90000000000026</v>
      </c>
      <c r="AK148" s="14">
        <f t="shared" si="143"/>
        <v>95.799614109391214</v>
      </c>
      <c r="AL148" s="22">
        <f t="shared" si="112"/>
        <v>898.17682790719027</v>
      </c>
      <c r="AM148" s="62">
        <f t="shared" si="113"/>
        <v>1191.5101612405235</v>
      </c>
      <c r="AN148" s="62">
        <f ca="1">AVERAGE(OFFSET($AM$3,0,0,'Données projet'!$E$10+1,1))-AVERAGE(OFFSET($H$3,0,0,'Données projet'!$E$10+1,1))</f>
        <v>473.90982075211258</v>
      </c>
      <c r="AO148" s="62">
        <f t="shared" si="144"/>
        <v>127.17661287657279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0.64678134682352806</v>
      </c>
      <c r="AV148" s="23">
        <f>EXP(-LN(2)/25)*AV147+(1-EXP(-LN(2)/25))/(LN(2)/25)*Calculateur!AQ148*Calculateur!AS148*VLOOKUP('Données projet'!$B$10,Paramètres!$A$1:$I$89,3,0)*0.475*44/12</f>
        <v>5.551341242873864E-2</v>
      </c>
      <c r="AW148" s="23">
        <f>EXP(-LN(2)/2)*AW147+(1-EXP(-LN(2)/2))/(LN(2)/2)*AQ148*AT148*VLOOKUP('Données projet'!$B$10,Paramètres!$A$1:$I$89,3,0)*0.475*44/12</f>
        <v>1.029127077610907E-17</v>
      </c>
      <c r="AX148" s="23">
        <f t="shared" si="114"/>
        <v>0.7022947592522667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2">
        <f t="shared" si="140"/>
        <v>19.729570803453061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70">
        <f t="shared" si="110"/>
        <v>450.00595248268087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-2.2737367544323206E-13</v>
      </c>
      <c r="O149" s="14">
        <f>N149*VLOOKUP('Données projet'!$B$9,Paramètres!$A$1:$I$89,3,0)*VLOOKUP('Données projet'!$B$9,Paramètres!$A$1:$I$89,5,0)</f>
        <v>-1.2710188457276673E-13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382.94446752777549</v>
      </c>
      <c r="T149" s="62">
        <f t="shared" si="142"/>
        <v>476.29465646955543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0.85432935084571138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1.0675037386860227E-16</v>
      </c>
      <c r="AC149" s="24">
        <f t="shared" si="111"/>
        <v>0.85432935084571149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850.00000000000045</v>
      </c>
      <c r="AJ149" s="14">
        <f>AI149*VLOOKUP('Données projet'!$B$10,Paramètres!$A$1:$I$89,3,0)*VLOOKUP('Données projet'!$B$10,Paramètres!$A$1:$I$89,5,0)</f>
        <v>419.90000000000026</v>
      </c>
      <c r="AK149" s="14">
        <f t="shared" si="143"/>
        <v>95.799614109391214</v>
      </c>
      <c r="AL149" s="22">
        <f t="shared" si="112"/>
        <v>898.17682790719027</v>
      </c>
      <c r="AM149" s="62">
        <f t="shared" si="113"/>
        <v>1191.5101612405235</v>
      </c>
      <c r="AN149" s="62">
        <f ca="1">AVERAGE(OFFSET($AM$3,0,0,'Données projet'!$E$10+1,1))-AVERAGE(OFFSET($H$3,0,0,'Données projet'!$E$10+1,1))</f>
        <v>473.90982075211258</v>
      </c>
      <c r="AO149" s="62">
        <f t="shared" si="144"/>
        <v>127.17661287657279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0.6340983591099868</v>
      </c>
      <c r="AV149" s="23">
        <f>EXP(-LN(2)/25)*AV148+(1-EXP(-LN(2)/25))/(LN(2)/25)*Calculateur!AQ149*Calculateur!AS149*VLOOKUP('Données projet'!$B$10,Paramètres!$A$1:$I$89,3,0)*0.475*44/12</f>
        <v>5.3995395246551302E-2</v>
      </c>
      <c r="AW149" s="23">
        <f>EXP(-LN(2)/2)*AW148+(1-EXP(-LN(2)/2))/(LN(2)/2)*AQ149*AT149*VLOOKUP('Données projet'!$B$10,Paramètres!$A$1:$I$89,3,0)*0.475*44/12</f>
        <v>7.277027352813667E-18</v>
      </c>
      <c r="AX149" s="23">
        <f t="shared" si="114"/>
        <v>0.68809375435653808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2">
        <f t="shared" si="140"/>
        <v>19.848927769701536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70">
        <f t="shared" si="110"/>
        <v>451.05157419889701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-2.2737367544323206E-13</v>
      </c>
      <c r="O150" s="14">
        <f>N150*VLOOKUP('Données projet'!$B$9,Paramètres!$A$1:$I$89,3,0)*VLOOKUP('Données projet'!$B$9,Paramètres!$A$1:$I$89,5,0)</f>
        <v>-1.2710188457276673E-13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382.94446752777549</v>
      </c>
      <c r="T150" s="62">
        <f t="shared" si="142"/>
        <v>476.29465646955543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0.83757647336507768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7.5483913256687885E-17</v>
      </c>
      <c r="AC150" s="24">
        <f t="shared" si="111"/>
        <v>0.83757647336507779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850.00000000000045</v>
      </c>
      <c r="AJ150" s="14">
        <f>AI150*VLOOKUP('Données projet'!$B$10,Paramètres!$A$1:$I$89,3,0)*VLOOKUP('Données projet'!$B$10,Paramètres!$A$1:$I$89,5,0)</f>
        <v>419.90000000000026</v>
      </c>
      <c r="AK150" s="14">
        <f t="shared" si="143"/>
        <v>95.799614109391214</v>
      </c>
      <c r="AL150" s="22">
        <f t="shared" si="112"/>
        <v>898.17682790719027</v>
      </c>
      <c r="AM150" s="62">
        <f t="shared" si="113"/>
        <v>1191.5101612405235</v>
      </c>
      <c r="AN150" s="62">
        <f ca="1">AVERAGE(OFFSET($AM$3,0,0,'Données projet'!$E$10+1,1))-AVERAGE(OFFSET($H$3,0,0,'Données projet'!$E$10+1,1))</f>
        <v>473.90982075211258</v>
      </c>
      <c r="AO150" s="62">
        <f t="shared" si="144"/>
        <v>127.17661287657279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0.62166407704964943</v>
      </c>
      <c r="AV150" s="23">
        <f>EXP(-LN(2)/25)*AV149+(1-EXP(-LN(2)/25))/(LN(2)/25)*Calculateur!AQ150*Calculateur!AS150*VLOOKUP('Données projet'!$B$10,Paramètres!$A$1:$I$89,3,0)*0.475*44/12</f>
        <v>5.2518888324039927E-2</v>
      </c>
      <c r="AW150" s="23">
        <f>EXP(-LN(2)/2)*AW149+(1-EXP(-LN(2)/2))/(LN(2)/2)*AQ150*AT150*VLOOKUP('Données projet'!$B$10,Paramètres!$A$1:$I$89,3,0)*0.475*44/12</f>
        <v>5.1456353880545348E-18</v>
      </c>
      <c r="AX150" s="23">
        <f t="shared" si="114"/>
        <v>0.67418296537368938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2">
        <f t="shared" si="140"/>
        <v>19.968190261357677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70">
        <f t="shared" si="110"/>
        <v>452.09703137186477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-2.2737367544323206E-13</v>
      </c>
      <c r="O151" s="14">
        <f>N151*VLOOKUP('Données projet'!$B$9,Paramètres!$A$1:$I$89,3,0)*VLOOKUP('Données projet'!$B$9,Paramètres!$A$1:$I$89,5,0)</f>
        <v>-1.2710188457276673E-13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382.94446752777549</v>
      </c>
      <c r="T151" s="62">
        <f t="shared" si="142"/>
        <v>476.29465646955543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0.82115210959359297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5.3375186934301135E-17</v>
      </c>
      <c r="AC151" s="24">
        <f t="shared" si="111"/>
        <v>0.82115210959359297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850.00000000000045</v>
      </c>
      <c r="AJ151" s="14">
        <f>AI151*VLOOKUP('Données projet'!$B$10,Paramètres!$A$1:$I$89,3,0)*VLOOKUP('Données projet'!$B$10,Paramètres!$A$1:$I$89,5,0)</f>
        <v>419.90000000000026</v>
      </c>
      <c r="AK151" s="14">
        <f t="shared" si="143"/>
        <v>95.799614109391214</v>
      </c>
      <c r="AL151" s="22">
        <f t="shared" si="112"/>
        <v>898.17682790719027</v>
      </c>
      <c r="AM151" s="62">
        <f t="shared" si="113"/>
        <v>1191.5101612405235</v>
      </c>
      <c r="AN151" s="62">
        <f ca="1">AVERAGE(OFFSET($AM$3,0,0,'Données projet'!$E$10+1,1))-AVERAGE(OFFSET($H$3,0,0,'Données projet'!$E$10+1,1))</f>
        <v>473.90982075211258</v>
      </c>
      <c r="AO151" s="62">
        <f t="shared" si="144"/>
        <v>127.17661287657279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0.60947362367635216</v>
      </c>
      <c r="AV151" s="23">
        <f>EXP(-LN(2)/25)*AV150+(1-EXP(-LN(2)/25))/(LN(2)/25)*Calculateur!AQ151*Calculateur!AS151*VLOOKUP('Données projet'!$B$10,Paramètres!$A$1:$I$89,3,0)*0.475*44/12</f>
        <v>5.1082756560970749E-2</v>
      </c>
      <c r="AW151" s="23">
        <f>EXP(-LN(2)/2)*AW150+(1-EXP(-LN(2)/2))/(LN(2)/2)*AQ151*AT151*VLOOKUP('Données projet'!$B$10,Paramètres!$A$1:$I$89,3,0)*0.475*44/12</f>
        <v>3.6385136764068335E-18</v>
      </c>
      <c r="AX151" s="23">
        <f t="shared" si="114"/>
        <v>0.66055638023732288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2">
        <f t="shared" si="140"/>
        <v>20.087358990796993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70">
        <f t="shared" si="110"/>
        <v>453.14232524230488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-2.2737367544323206E-13</v>
      </c>
      <c r="O152" s="14">
        <f>N152*VLOOKUP('Données projet'!$B$9,Paramètres!$A$1:$I$89,3,0)*VLOOKUP('Données projet'!$B$9,Paramètres!$A$1:$I$89,5,0)</f>
        <v>-1.2710188457276673E-13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382.94446752777549</v>
      </c>
      <c r="T152" s="62">
        <f t="shared" si="142"/>
        <v>476.29465646955543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0.80504981757779426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3.7741956628343943E-17</v>
      </c>
      <c r="AC152" s="24">
        <f t="shared" si="111"/>
        <v>0.80504981757779426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850.00000000000045</v>
      </c>
      <c r="AJ152" s="14">
        <f>AI152*VLOOKUP('Données projet'!$B$10,Paramètres!$A$1:$I$89,3,0)*VLOOKUP('Données projet'!$B$10,Paramètres!$A$1:$I$89,5,0)</f>
        <v>419.90000000000026</v>
      </c>
      <c r="AK152" s="14">
        <f t="shared" si="143"/>
        <v>95.799614109391214</v>
      </c>
      <c r="AL152" s="22">
        <f t="shared" si="112"/>
        <v>898.17682790719027</v>
      </c>
      <c r="AM152" s="62">
        <f t="shared" si="113"/>
        <v>1191.5101612405235</v>
      </c>
      <c r="AN152" s="62">
        <f ca="1">AVERAGE(OFFSET($AM$3,0,0,'Données projet'!$E$10+1,1))-AVERAGE(OFFSET($H$3,0,0,'Données projet'!$E$10+1,1))</f>
        <v>473.90982075211258</v>
      </c>
      <c r="AO152" s="62">
        <f t="shared" si="144"/>
        <v>127.17661287657279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0.59752221765826286</v>
      </c>
      <c r="AV152" s="23">
        <f>EXP(-LN(2)/25)*AV151+(1-EXP(-LN(2)/25))/(LN(2)/25)*Calculateur!AQ152*Calculateur!AS152*VLOOKUP('Données projet'!$B$10,Paramètres!$A$1:$I$89,3,0)*0.475*44/12</f>
        <v>4.9685895896485588E-2</v>
      </c>
      <c r="AW152" s="23">
        <f>EXP(-LN(2)/2)*AW151+(1-EXP(-LN(2)/2))/(LN(2)/2)*AQ152*AT152*VLOOKUP('Données projet'!$B$10,Paramètres!$A$1:$I$89,3,0)*0.475*44/12</f>
        <v>2.5728176940272674E-18</v>
      </c>
      <c r="AX152" s="23">
        <f t="shared" si="114"/>
        <v>0.6472081135547485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2">
        <f t="shared" si="140"/>
        <v>20.206434660280181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70">
        <f t="shared" si="110"/>
        <v>454.18745703332144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-2.2737367544323206E-13</v>
      </c>
      <c r="O153" s="14">
        <f>N153*VLOOKUP('Données projet'!$B$9,Paramètres!$A$1:$I$89,3,0)*VLOOKUP('Données projet'!$B$9,Paramètres!$A$1:$I$89,5,0)</f>
        <v>-1.2710188457276673E-13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382.94446752777549</v>
      </c>
      <c r="T153" s="62">
        <f t="shared" si="142"/>
        <v>476.29465646955543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0.78926328168699711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2.6687593467150567E-17</v>
      </c>
      <c r="AC153" s="24">
        <f t="shared" si="111"/>
        <v>0.78926328168699711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850.00000000000045</v>
      </c>
      <c r="AJ153" s="14">
        <f>AI153*VLOOKUP('Données projet'!$B$10,Paramètres!$A$1:$I$89,3,0)*VLOOKUP('Données projet'!$B$10,Paramètres!$A$1:$I$89,5,0)</f>
        <v>419.90000000000026</v>
      </c>
      <c r="AK153" s="14">
        <f t="shared" si="143"/>
        <v>95.799614109391214</v>
      </c>
      <c r="AL153" s="22">
        <f t="shared" si="112"/>
        <v>898.17682790719027</v>
      </c>
      <c r="AM153" s="62">
        <f t="shared" si="113"/>
        <v>1191.5101612405235</v>
      </c>
      <c r="AN153" s="62">
        <f ca="1">AVERAGE(OFFSET($AM$3,0,0,'Données projet'!$E$10+1,1))-AVERAGE(OFFSET($H$3,0,0,'Données projet'!$E$10+1,1))</f>
        <v>473.90982075211258</v>
      </c>
      <c r="AO153" s="62">
        <f t="shared" si="144"/>
        <v>127.17661287657279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0.5858051714225504</v>
      </c>
      <c r="AV153" s="23">
        <f>EXP(-LN(2)/25)*AV152+(1-EXP(-LN(2)/25))/(LN(2)/25)*Calculateur!AQ153*Calculateur!AS153*VLOOKUP('Données projet'!$B$10,Paramètres!$A$1:$I$89,3,0)*0.475*44/12</f>
        <v>4.8327232460328481E-2</v>
      </c>
      <c r="AW153" s="23">
        <f>EXP(-LN(2)/2)*AW152+(1-EXP(-LN(2)/2))/(LN(2)/2)*AQ153*AT153*VLOOKUP('Données projet'!$B$10,Paramètres!$A$1:$I$89,3,0)*0.475*44/12</f>
        <v>1.8192568382034168E-18</v>
      </c>
      <c r="AX153" s="23">
        <f t="shared" si="114"/>
        <v>0.63413240388287884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2">
        <f t="shared" si="140"/>
        <v>20.325417962163076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70">
        <f t="shared" si="110"/>
        <v>455.23242795076749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-2.2737367544323206E-13</v>
      </c>
      <c r="O154" s="14">
        <f>N154*VLOOKUP('Données projet'!$B$9,Paramètres!$A$1:$I$89,3,0)*VLOOKUP('Données projet'!$B$9,Paramètres!$A$1:$I$89,5,0)</f>
        <v>-1.2710188457276673E-13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382.94446752777549</v>
      </c>
      <c r="T154" s="62">
        <f t="shared" si="142"/>
        <v>476.29465646955543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0.77378631013618226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1.8870978314171971E-17</v>
      </c>
      <c r="AC154" s="24">
        <f t="shared" ref="AC154:AC203" si="163">SUM(Z154:AB154)</f>
        <v>0.77378631013618226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850.00000000000045</v>
      </c>
      <c r="AJ154" s="14">
        <f>AI154*VLOOKUP('Données projet'!$B$10,Paramètres!$A$1:$I$89,3,0)*VLOOKUP('Données projet'!$B$10,Paramètres!$A$1:$I$89,5,0)</f>
        <v>419.90000000000026</v>
      </c>
      <c r="AK154" s="14">
        <f t="shared" ref="AK154:AK203" si="164">EXP(-1.0587+0.8836*LN(AJ154)+0.284)</f>
        <v>95.799614109391214</v>
      </c>
      <c r="AL154" s="22">
        <f t="shared" ref="AL154:AL203" si="165">(AJ154+AK154)*0.475*44/12</f>
        <v>898.17682790719027</v>
      </c>
      <c r="AM154" s="62">
        <f t="shared" si="113"/>
        <v>1191.5101612405235</v>
      </c>
      <c r="AN154" s="62">
        <f ca="1">AVERAGE(OFFSET($AM$3,0,0,'Données projet'!$E$10+1,1))-AVERAGE(OFFSET($H$3,0,0,'Données projet'!$E$10+1,1))</f>
        <v>473.90982075211258</v>
      </c>
      <c r="AO154" s="62">
        <f t="shared" si="144"/>
        <v>127.17661287657279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0.5743178893168277</v>
      </c>
      <c r="AV154" s="23">
        <f>EXP(-LN(2)/25)*AV153+(1-EXP(-LN(2)/25))/(LN(2)/25)*Calculateur!AQ154*Calculateur!AS154*VLOOKUP('Données projet'!$B$10,Paramètres!$A$1:$I$89,3,0)*0.475*44/12</f>
        <v>4.7005721747282098E-2</v>
      </c>
      <c r="AW154" s="23">
        <f>EXP(-LN(2)/2)*AW153+(1-EXP(-LN(2)/2))/(LN(2)/2)*AQ154*AT154*VLOOKUP('Données projet'!$B$10,Paramètres!$A$1:$I$89,3,0)*0.475*44/12</f>
        <v>1.2864088470136337E-18</v>
      </c>
      <c r="AX154" s="23">
        <f t="shared" ref="AX154:AX203" si="166">SUM(AU154:AW154)</f>
        <v>0.62132361106410983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2">
        <f t="shared" si="140"/>
        <v>20.444309579101091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70">
        <f t="shared" si="110"/>
        <v>456.27723918360118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-2.2737367544323206E-13</v>
      </c>
      <c r="O155" s="14">
        <f>N155*VLOOKUP('Données projet'!$B$9,Paramètres!$A$1:$I$89,3,0)*VLOOKUP('Données projet'!$B$9,Paramètres!$A$1:$I$89,5,0)</f>
        <v>-1.2710188457276673E-13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382.94446752777549</v>
      </c>
      <c r="T155" s="62">
        <f t="shared" si="142"/>
        <v>476.29465646955543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0.75861283255745848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1.3343796733575284E-17</v>
      </c>
      <c r="AC155" s="24">
        <f t="shared" si="163"/>
        <v>0.75861283255745848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850.00000000000045</v>
      </c>
      <c r="AJ155" s="14">
        <f>AI155*VLOOKUP('Données projet'!$B$10,Paramètres!$A$1:$I$89,3,0)*VLOOKUP('Données projet'!$B$10,Paramètres!$A$1:$I$89,5,0)</f>
        <v>419.90000000000026</v>
      </c>
      <c r="AK155" s="14">
        <f t="shared" si="164"/>
        <v>95.799614109391214</v>
      </c>
      <c r="AL155" s="22">
        <f t="shared" si="165"/>
        <v>898.17682790719027</v>
      </c>
      <c r="AM155" s="62">
        <f t="shared" si="113"/>
        <v>1191.5101612405235</v>
      </c>
      <c r="AN155" s="62">
        <f ca="1">AVERAGE(OFFSET($AM$3,0,0,'Données projet'!$E$10+1,1))-AVERAGE(OFFSET($H$3,0,0,'Données projet'!$E$10+1,1))</f>
        <v>473.90982075211258</v>
      </c>
      <c r="AO155" s="62">
        <f t="shared" si="144"/>
        <v>127.17661287657279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0.56305586580664801</v>
      </c>
      <c r="AV155" s="23">
        <f>EXP(-LN(2)/25)*AV154+(1-EXP(-LN(2)/25))/(LN(2)/25)*Calculateur!AQ155*Calculateur!AS155*VLOOKUP('Données projet'!$B$10,Paramètres!$A$1:$I$89,3,0)*0.475*44/12</f>
        <v>4.5720347814179198E-2</v>
      </c>
      <c r="AW155" s="23">
        <f>EXP(-LN(2)/2)*AW154+(1-EXP(-LN(2)/2))/(LN(2)/2)*AQ155*AT155*VLOOKUP('Données projet'!$B$10,Paramètres!$A$1:$I$89,3,0)*0.475*44/12</f>
        <v>9.0962841910170838E-19</v>
      </c>
      <c r="AX155" s="23">
        <f t="shared" si="166"/>
        <v>0.60877621362082723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2">
        <f t="shared" si="140"/>
        <v>20.563110184247964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70">
        <f t="shared" si="110"/>
        <v>457.32189190423196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-2.2737367544323206E-13</v>
      </c>
      <c r="O156" s="14">
        <f>N156*VLOOKUP('Données projet'!$B$9,Paramètres!$A$1:$I$89,3,0)*VLOOKUP('Données projet'!$B$9,Paramètres!$A$1:$I$89,5,0)</f>
        <v>-1.2710188457276673E-13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382.94446752777549</v>
      </c>
      <c r="T156" s="62">
        <f t="shared" si="142"/>
        <v>476.29465646955543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0.74373689761914596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9.4354891570859856E-18</v>
      </c>
      <c r="AC156" s="24">
        <f t="shared" si="163"/>
        <v>0.74373689761914596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850.00000000000045</v>
      </c>
      <c r="AJ156" s="14">
        <f>AI156*VLOOKUP('Données projet'!$B$10,Paramètres!$A$1:$I$89,3,0)*VLOOKUP('Données projet'!$B$10,Paramètres!$A$1:$I$89,5,0)</f>
        <v>419.90000000000026</v>
      </c>
      <c r="AK156" s="14">
        <f t="shared" si="164"/>
        <v>95.799614109391214</v>
      </c>
      <c r="AL156" s="22">
        <f t="shared" si="165"/>
        <v>898.17682790719027</v>
      </c>
      <c r="AM156" s="62">
        <f t="shared" si="113"/>
        <v>1191.5101612405235</v>
      </c>
      <c r="AN156" s="62">
        <f ca="1">AVERAGE(OFFSET($AM$3,0,0,'Données projet'!$E$10+1,1))-AVERAGE(OFFSET($H$3,0,0,'Données projet'!$E$10+1,1))</f>
        <v>473.90982075211258</v>
      </c>
      <c r="AO156" s="62">
        <f t="shared" si="144"/>
        <v>127.17661287657279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0.55201468370834683</v>
      </c>
      <c r="AV156" s="23">
        <f>EXP(-LN(2)/25)*AV155+(1-EXP(-LN(2)/25))/(LN(2)/25)*Calculateur!AQ156*Calculateur!AS156*VLOOKUP('Données projet'!$B$10,Paramètres!$A$1:$I$89,3,0)*0.475*44/12</f>
        <v>4.4470122498871868E-2</v>
      </c>
      <c r="AW156" s="23">
        <f>EXP(-LN(2)/2)*AW155+(1-EXP(-LN(2)/2))/(LN(2)/2)*AQ156*AT156*VLOOKUP('Données projet'!$B$10,Paramètres!$A$1:$I$89,3,0)*0.475*44/12</f>
        <v>6.4320442350681686E-19</v>
      </c>
      <c r="AX156" s="23">
        <f t="shared" si="166"/>
        <v>0.59648480620721867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2">
        <f t="shared" si="140"/>
        <v>20.681820441449297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70">
        <f t="shared" si="110"/>
        <v>458.36638726885758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-2.2737367544323206E-13</v>
      </c>
      <c r="O157" s="14">
        <f>N157*VLOOKUP('Données projet'!$B$9,Paramètres!$A$1:$I$89,3,0)*VLOOKUP('Données projet'!$B$9,Paramètres!$A$1:$I$89,5,0)</f>
        <v>-1.2710188457276673E-13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382.94446752777549</v>
      </c>
      <c r="T157" s="62">
        <f t="shared" si="142"/>
        <v>476.29465646955543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0.72915267069154932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6.6718983667876419E-18</v>
      </c>
      <c r="AC157" s="24">
        <f t="shared" si="163"/>
        <v>0.72915267069154932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850.00000000000045</v>
      </c>
      <c r="AJ157" s="14">
        <f>AI157*VLOOKUP('Données projet'!$B$10,Paramètres!$A$1:$I$89,3,0)*VLOOKUP('Données projet'!$B$10,Paramètres!$A$1:$I$89,5,0)</f>
        <v>419.90000000000026</v>
      </c>
      <c r="AK157" s="14">
        <f t="shared" si="164"/>
        <v>95.799614109391214</v>
      </c>
      <c r="AL157" s="22">
        <f t="shared" si="165"/>
        <v>898.17682790719027</v>
      </c>
      <c r="AM157" s="62">
        <f t="shared" si="113"/>
        <v>1191.5101612405235</v>
      </c>
      <c r="AN157" s="62">
        <f ca="1">AVERAGE(OFFSET($AM$3,0,0,'Données projet'!$E$10+1,1))-AVERAGE(OFFSET($H$3,0,0,'Données projet'!$E$10+1,1))</f>
        <v>473.90982075211258</v>
      </c>
      <c r="AO157" s="62">
        <f t="shared" si="144"/>
        <v>127.17661287657279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0.54119001245653731</v>
      </c>
      <c r="AV157" s="23">
        <f>EXP(-LN(2)/25)*AV156+(1-EXP(-LN(2)/25))/(LN(2)/25)*Calculateur!AQ157*Calculateur!AS157*VLOOKUP('Données projet'!$B$10,Paramètres!$A$1:$I$89,3,0)*0.475*44/12</f>
        <v>4.3254084660558113E-2</v>
      </c>
      <c r="AW157" s="23">
        <f>EXP(-LN(2)/2)*AW156+(1-EXP(-LN(2)/2))/(LN(2)/2)*AQ157*AT157*VLOOKUP('Données projet'!$B$10,Paramètres!$A$1:$I$89,3,0)*0.475*44/12</f>
        <v>4.5481420955085419E-19</v>
      </c>
      <c r="AX157" s="23">
        <f t="shared" si="166"/>
        <v>0.58444409711709544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2">
        <f t="shared" si="140"/>
        <v>20.800441005430773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70">
        <f t="shared" si="110"/>
        <v>459.41072641779198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-2.2737367544323206E-13</v>
      </c>
      <c r="O158" s="14">
        <f>N158*VLOOKUP('Données projet'!$B$9,Paramètres!$A$1:$I$89,3,0)*VLOOKUP('Données projet'!$B$9,Paramètres!$A$1:$I$89,5,0)</f>
        <v>-1.2710188457276673E-13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382.94446752777549</v>
      </c>
      <c r="T158" s="62">
        <f t="shared" si="142"/>
        <v>476.29465646955543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0.71485443155850281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4.7177445785429928E-18</v>
      </c>
      <c r="AC158" s="24">
        <f t="shared" si="163"/>
        <v>0.71485443155850281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850.00000000000045</v>
      </c>
      <c r="AJ158" s="14">
        <f>AI158*VLOOKUP('Données projet'!$B$10,Paramètres!$A$1:$I$89,3,0)*VLOOKUP('Données projet'!$B$10,Paramètres!$A$1:$I$89,5,0)</f>
        <v>419.90000000000026</v>
      </c>
      <c r="AK158" s="14">
        <f t="shared" si="164"/>
        <v>95.799614109391214</v>
      </c>
      <c r="AL158" s="22">
        <f t="shared" si="165"/>
        <v>898.17682790719027</v>
      </c>
      <c r="AM158" s="62">
        <f t="shared" si="113"/>
        <v>1191.5101612405235</v>
      </c>
      <c r="AN158" s="62">
        <f ca="1">AVERAGE(OFFSET($AM$3,0,0,'Données projet'!$E$10+1,1))-AVERAGE(OFFSET($H$3,0,0,'Données projet'!$E$10+1,1))</f>
        <v>473.90982075211258</v>
      </c>
      <c r="AO158" s="62">
        <f t="shared" si="144"/>
        <v>127.17661287657279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0.53057760640557816</v>
      </c>
      <c r="AV158" s="23">
        <f>EXP(-LN(2)/25)*AV157+(1-EXP(-LN(2)/25))/(LN(2)/25)*Calculateur!AQ158*Calculateur!AS158*VLOOKUP('Données projet'!$B$10,Paramètres!$A$1:$I$89,3,0)*0.475*44/12</f>
        <v>4.2071299440881699E-2</v>
      </c>
      <c r="AW158" s="23">
        <f>EXP(-LN(2)/2)*AW157+(1-EXP(-LN(2)/2))/(LN(2)/2)*AQ158*AT158*VLOOKUP('Données projet'!$B$10,Paramètres!$A$1:$I$89,3,0)*0.475*44/12</f>
        <v>3.2160221175340843E-19</v>
      </c>
      <c r="AX158" s="23">
        <f t="shared" si="166"/>
        <v>0.57264890584645989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2">
        <f t="shared" si="140"/>
        <v>20.918972521981534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70">
        <f t="shared" si="110"/>
        <v>460.45491047578457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-2.2737367544323206E-13</v>
      </c>
      <c r="O159" s="14">
        <f>N159*VLOOKUP('Données projet'!$B$9,Paramètres!$A$1:$I$89,3,0)*VLOOKUP('Données projet'!$B$9,Paramètres!$A$1:$I$89,5,0)</f>
        <v>-1.2710188457276673E-13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382.94446752777549</v>
      </c>
      <c r="T159" s="62">
        <f t="shared" si="142"/>
        <v>476.29465646955543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0.70083657217379058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3.3359491833938209E-18</v>
      </c>
      <c r="AC159" s="24">
        <f t="shared" si="163"/>
        <v>0.70083657217379058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850.00000000000045</v>
      </c>
      <c r="AJ159" s="14">
        <f>AI159*VLOOKUP('Données projet'!$B$10,Paramètres!$A$1:$I$89,3,0)*VLOOKUP('Données projet'!$B$10,Paramètres!$A$1:$I$89,5,0)</f>
        <v>419.90000000000026</v>
      </c>
      <c r="AK159" s="14">
        <f t="shared" si="164"/>
        <v>95.799614109391214</v>
      </c>
      <c r="AL159" s="22">
        <f t="shared" si="165"/>
        <v>898.17682790719027</v>
      </c>
      <c r="AM159" s="62">
        <f t="shared" si="113"/>
        <v>1191.5101612405235</v>
      </c>
      <c r="AN159" s="62">
        <f ca="1">AVERAGE(OFFSET($AM$3,0,0,'Données projet'!$E$10+1,1))-AVERAGE(OFFSET($H$3,0,0,'Données projet'!$E$10+1,1))</f>
        <v>473.90982075211258</v>
      </c>
      <c r="AO159" s="62">
        <f t="shared" si="144"/>
        <v>127.17661287657279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0.52017330316434984</v>
      </c>
      <c r="AV159" s="23">
        <f>EXP(-LN(2)/25)*AV158+(1-EXP(-LN(2)/25))/(LN(2)/25)*Calculateur!AQ159*Calculateur!AS159*VLOOKUP('Données projet'!$B$10,Paramètres!$A$1:$I$89,3,0)*0.475*44/12</f>
        <v>4.0920857545237305E-2</v>
      </c>
      <c r="AW159" s="23">
        <f>EXP(-LN(2)/2)*AW158+(1-EXP(-LN(2)/2))/(LN(2)/2)*AQ159*AT159*VLOOKUP('Données projet'!$B$10,Paramètres!$A$1:$I$89,3,0)*0.475*44/12</f>
        <v>2.2740710477542709E-19</v>
      </c>
      <c r="AX159" s="23">
        <f t="shared" si="166"/>
        <v>0.56109416070958718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2">
        <f t="shared" si="140"/>
        <v>21.037415628132592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70">
        <f t="shared" si="110"/>
        <v>461.49894055233096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-2.2737367544323206E-13</v>
      </c>
      <c r="O160" s="14">
        <f>N160*VLOOKUP('Données projet'!$B$9,Paramètres!$A$1:$I$89,3,0)*VLOOKUP('Données projet'!$B$9,Paramètres!$A$1:$I$89,5,0)</f>
        <v>-1.2710188457276673E-13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382.94446752777549</v>
      </c>
      <c r="T160" s="62">
        <f t="shared" si="142"/>
        <v>476.29465646955543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0.6870935944615626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2.3588722892714964E-18</v>
      </c>
      <c r="AC160" s="24">
        <f t="shared" si="163"/>
        <v>0.6870935944615626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850.00000000000045</v>
      </c>
      <c r="AJ160" s="14">
        <f>AI160*VLOOKUP('Données projet'!$B$10,Paramètres!$A$1:$I$89,3,0)*VLOOKUP('Données projet'!$B$10,Paramètres!$A$1:$I$89,5,0)</f>
        <v>419.90000000000026</v>
      </c>
      <c r="AK160" s="14">
        <f t="shared" si="164"/>
        <v>95.799614109391214</v>
      </c>
      <c r="AL160" s="22">
        <f t="shared" si="165"/>
        <v>898.17682790719027</v>
      </c>
      <c r="AM160" s="62">
        <f t="shared" si="113"/>
        <v>1191.5101612405235</v>
      </c>
      <c r="AN160" s="62">
        <f ca="1">AVERAGE(OFFSET($AM$3,0,0,'Données projet'!$E$10+1,1))-AVERAGE(OFFSET($H$3,0,0,'Données projet'!$E$10+1,1))</f>
        <v>473.90982075211258</v>
      </c>
      <c r="AO160" s="62">
        <f t="shared" si="144"/>
        <v>127.17661287657279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0.50997302196368366</v>
      </c>
      <c r="AV160" s="23">
        <f>EXP(-LN(2)/25)*AV159+(1-EXP(-LN(2)/25))/(LN(2)/25)*Calculateur!AQ160*Calculateur!AS160*VLOOKUP('Données projet'!$B$10,Paramètres!$A$1:$I$89,3,0)*0.475*44/12</f>
        <v>3.9801874543728417E-2</v>
      </c>
      <c r="AW160" s="23">
        <f>EXP(-LN(2)/2)*AW159+(1-EXP(-LN(2)/2))/(LN(2)/2)*AQ160*AT160*VLOOKUP('Données projet'!$B$10,Paramètres!$A$1:$I$89,3,0)*0.475*44/12</f>
        <v>1.6080110587670421E-19</v>
      </c>
      <c r="AX160" s="23">
        <f t="shared" si="166"/>
        <v>0.54977489650741207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2">
        <f t="shared" si="140"/>
        <v>21.155770952330599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70">
        <f t="shared" si="110"/>
        <v>462.5428177419758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-2.2737367544323206E-13</v>
      </c>
      <c r="O161" s="14">
        <f>N161*VLOOKUP('Données projet'!$B$9,Paramètres!$A$1:$I$89,3,0)*VLOOKUP('Données projet'!$B$9,Paramètres!$A$1:$I$89,5,0)</f>
        <v>-1.2710188457276673E-13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382.94446752777549</v>
      </c>
      <c r="T161" s="62">
        <f t="shared" si="142"/>
        <v>476.29465646955543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0.67362010815988271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1.6679745916969105E-18</v>
      </c>
      <c r="AC161" s="24">
        <f t="shared" si="163"/>
        <v>0.67362010815988271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850.00000000000045</v>
      </c>
      <c r="AJ161" s="14">
        <f>AI161*VLOOKUP('Données projet'!$B$10,Paramètres!$A$1:$I$89,3,0)*VLOOKUP('Données projet'!$B$10,Paramètres!$A$1:$I$89,5,0)</f>
        <v>419.90000000000026</v>
      </c>
      <c r="AK161" s="14">
        <f t="shared" si="164"/>
        <v>95.799614109391214</v>
      </c>
      <c r="AL161" s="22">
        <f t="shared" si="165"/>
        <v>898.17682790719027</v>
      </c>
      <c r="AM161" s="62">
        <f t="shared" si="113"/>
        <v>1191.5101612405235</v>
      </c>
      <c r="AN161" s="62">
        <f ca="1">AVERAGE(OFFSET($AM$3,0,0,'Données projet'!$E$10+1,1))-AVERAGE(OFFSET($H$3,0,0,'Données projet'!$E$10+1,1))</f>
        <v>473.90982075211258</v>
      </c>
      <c r="AO161" s="62">
        <f t="shared" si="144"/>
        <v>127.17661287657279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0.49997276205580532</v>
      </c>
      <c r="AV161" s="23">
        <f>EXP(-LN(2)/25)*AV160+(1-EXP(-LN(2)/25))/(LN(2)/25)*Calculateur!AQ161*Calculateur!AS161*VLOOKUP('Données projet'!$B$10,Paramètres!$A$1:$I$89,3,0)*0.475*44/12</f>
        <v>3.8713490191240547E-2</v>
      </c>
      <c r="AW161" s="23">
        <f>EXP(-LN(2)/2)*AW160+(1-EXP(-LN(2)/2))/(LN(2)/2)*AQ161*AT161*VLOOKUP('Données projet'!$B$10,Paramètres!$A$1:$I$89,3,0)*0.475*44/12</f>
        <v>1.1370355238771355E-19</v>
      </c>
      <c r="AX161" s="23">
        <f t="shared" si="166"/>
        <v>0.53868625224704592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2">
        <f t="shared" si="140"/>
        <v>21.274039114607188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70">
        <f t="shared" si="110"/>
        <v>463.58654312460754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-2.2737367544323206E-13</v>
      </c>
      <c r="O162" s="14">
        <f>N162*VLOOKUP('Données projet'!$B$9,Paramètres!$A$1:$I$89,3,0)*VLOOKUP('Données projet'!$B$9,Paramètres!$A$1:$I$89,5,0)</f>
        <v>-1.2710188457276673E-13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382.94446752777549</v>
      </c>
      <c r="T162" s="62">
        <f t="shared" si="142"/>
        <v>476.29465646955543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0.66041082870656354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1.1794361446357482E-18</v>
      </c>
      <c r="AC162" s="24">
        <f t="shared" si="163"/>
        <v>0.66041082870656354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850.00000000000045</v>
      </c>
      <c r="AJ162" s="14">
        <f>AI162*VLOOKUP('Données projet'!$B$10,Paramètres!$A$1:$I$89,3,0)*VLOOKUP('Données projet'!$B$10,Paramètres!$A$1:$I$89,5,0)</f>
        <v>419.90000000000026</v>
      </c>
      <c r="AK162" s="14">
        <f t="shared" si="164"/>
        <v>95.799614109391214</v>
      </c>
      <c r="AL162" s="22">
        <f t="shared" si="165"/>
        <v>898.17682790719027</v>
      </c>
      <c r="AM162" s="62">
        <f t="shared" si="113"/>
        <v>1191.5101612405235</v>
      </c>
      <c r="AN162" s="62">
        <f ca="1">AVERAGE(OFFSET($AM$3,0,0,'Données projet'!$E$10+1,1))-AVERAGE(OFFSET($H$3,0,0,'Données projet'!$E$10+1,1))</f>
        <v>473.90982075211258</v>
      </c>
      <c r="AO162" s="62">
        <f t="shared" si="144"/>
        <v>127.17661287657279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0.4901686011451642</v>
      </c>
      <c r="AV162" s="23">
        <f>EXP(-LN(2)/25)*AV161+(1-EXP(-LN(2)/25))/(LN(2)/25)*Calculateur!AQ162*Calculateur!AS162*VLOOKUP('Données projet'!$B$10,Paramètres!$A$1:$I$89,3,0)*0.475*44/12</f>
        <v>3.7654867766107103E-2</v>
      </c>
      <c r="AW162" s="23">
        <f>EXP(-LN(2)/2)*AW161+(1-EXP(-LN(2)/2))/(LN(2)/2)*AQ162*AT162*VLOOKUP('Données projet'!$B$10,Paramètres!$A$1:$I$89,3,0)*0.475*44/12</f>
        <v>8.0400552938352107E-20</v>
      </c>
      <c r="AX162" s="23">
        <f t="shared" si="166"/>
        <v>0.5278234689112713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2">
        <f t="shared" si="140"/>
        <v>21.392220726743776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70">
        <f t="shared" si="110"/>
        <v>464.63011776574541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-2.2737367544323206E-13</v>
      </c>
      <c r="O163" s="14">
        <f>N163*VLOOKUP('Données projet'!$B$9,Paramètres!$A$1:$I$89,3,0)*VLOOKUP('Données projet'!$B$9,Paramètres!$A$1:$I$89,5,0)</f>
        <v>-1.2710188457276673E-13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382.94446752777549</v>
      </c>
      <c r="T163" s="62">
        <f t="shared" si="142"/>
        <v>476.29465646955543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0.64746057516645905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8.3398729584845523E-19</v>
      </c>
      <c r="AC163" s="24">
        <f t="shared" si="163"/>
        <v>0.64746057516645905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850.00000000000045</v>
      </c>
      <c r="AJ163" s="14">
        <f>AI163*VLOOKUP('Données projet'!$B$10,Paramètres!$A$1:$I$89,3,0)*VLOOKUP('Données projet'!$B$10,Paramètres!$A$1:$I$89,5,0)</f>
        <v>419.90000000000026</v>
      </c>
      <c r="AK163" s="14">
        <f t="shared" si="164"/>
        <v>95.799614109391214</v>
      </c>
      <c r="AL163" s="22">
        <f t="shared" si="165"/>
        <v>898.17682790719027</v>
      </c>
      <c r="AM163" s="62">
        <f t="shared" si="113"/>
        <v>1191.5101612405235</v>
      </c>
      <c r="AN163" s="62">
        <f ca="1">AVERAGE(OFFSET($AM$3,0,0,'Données projet'!$E$10+1,1))-AVERAGE(OFFSET($H$3,0,0,'Données projet'!$E$10+1,1))</f>
        <v>473.90982075211258</v>
      </c>
      <c r="AO163" s="62">
        <f t="shared" si="144"/>
        <v>127.17661287657279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0.48055669385003308</v>
      </c>
      <c r="AV163" s="23">
        <f>EXP(-LN(2)/25)*AV162+(1-EXP(-LN(2)/25))/(LN(2)/25)*Calculateur!AQ163*Calculateur!AS163*VLOOKUP('Données projet'!$B$10,Paramètres!$A$1:$I$89,3,0)*0.475*44/12</f>
        <v>3.6625193426859472E-2</v>
      </c>
      <c r="AW163" s="23">
        <f>EXP(-LN(2)/2)*AW162+(1-EXP(-LN(2)/2))/(LN(2)/2)*AQ163*AT163*VLOOKUP('Données projet'!$B$10,Paramètres!$A$1:$I$89,3,0)*0.475*44/12</f>
        <v>5.6851776193856774E-20</v>
      </c>
      <c r="AX163" s="23">
        <f t="shared" si="166"/>
        <v>0.51718188727689252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2">
        <f t="shared" si="140"/>
        <v>21.51031639243222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70">
        <f t="shared" si="110"/>
        <v>465.67354271681944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-2.2737367544323206E-13</v>
      </c>
      <c r="O164" s="14">
        <f>N164*VLOOKUP('Données projet'!$B$9,Paramètres!$A$1:$I$89,3,0)*VLOOKUP('Données projet'!$B$9,Paramètres!$A$1:$I$89,5,0)</f>
        <v>-1.2710188457276673E-13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382.94446752777549</v>
      </c>
      <c r="T164" s="62">
        <f t="shared" si="142"/>
        <v>476.29465646955543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0.63476426819940135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5.897180723178741E-19</v>
      </c>
      <c r="AC164" s="24">
        <f t="shared" si="163"/>
        <v>0.63476426819940135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850.00000000000045</v>
      </c>
      <c r="AJ164" s="14">
        <f>AI164*VLOOKUP('Données projet'!$B$10,Paramètres!$A$1:$I$89,3,0)*VLOOKUP('Données projet'!$B$10,Paramètres!$A$1:$I$89,5,0)</f>
        <v>419.90000000000026</v>
      </c>
      <c r="AK164" s="14">
        <f t="shared" si="164"/>
        <v>95.799614109391214</v>
      </c>
      <c r="AL164" s="22">
        <f t="shared" si="165"/>
        <v>898.17682790719027</v>
      </c>
      <c r="AM164" s="62">
        <f t="shared" si="113"/>
        <v>1191.5101612405235</v>
      </c>
      <c r="AN164" s="62">
        <f ca="1">AVERAGE(OFFSET($AM$3,0,0,'Données projet'!$E$10+1,1))-AVERAGE(OFFSET($H$3,0,0,'Données projet'!$E$10+1,1))</f>
        <v>473.90982075211258</v>
      </c>
      <c r="AO164" s="62">
        <f t="shared" si="144"/>
        <v>127.17661287657279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0.47113327019427492</v>
      </c>
      <c r="AV164" s="23">
        <f>EXP(-LN(2)/25)*AV163+(1-EXP(-LN(2)/25))/(LN(2)/25)*Calculateur!AQ164*Calculateur!AS164*VLOOKUP('Données projet'!$B$10,Paramètres!$A$1:$I$89,3,0)*0.475*44/12</f>
        <v>3.5623675586566782E-2</v>
      </c>
      <c r="AW164" s="23">
        <f>EXP(-LN(2)/2)*AW163+(1-EXP(-LN(2)/2))/(LN(2)/2)*AQ164*AT164*VLOOKUP('Données projet'!$B$10,Paramètres!$A$1:$I$89,3,0)*0.475*44/12</f>
        <v>4.0200276469176054E-20</v>
      </c>
      <c r="AX164" s="23">
        <f t="shared" si="166"/>
        <v>0.50675694578084174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2">
        <f t="shared" si="140"/>
        <v>21.628326707431373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70">
        <f t="shared" si="110"/>
        <v>466.71681901544298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-2.2737367544323206E-13</v>
      </c>
      <c r="O165" s="14">
        <f>N165*VLOOKUP('Données projet'!$B$9,Paramètres!$A$1:$I$89,3,0)*VLOOKUP('Données projet'!$B$9,Paramètres!$A$1:$I$89,5,0)</f>
        <v>-1.2710188457276673E-13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382.94446752777549</v>
      </c>
      <c r="T165" s="62">
        <f t="shared" si="142"/>
        <v>476.29465646955543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0.622316928067985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4.1699364792422762E-19</v>
      </c>
      <c r="AC165" s="24">
        <f t="shared" si="163"/>
        <v>0.622316928067985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850.00000000000045</v>
      </c>
      <c r="AJ165" s="14">
        <f>AI165*VLOOKUP('Données projet'!$B$10,Paramètres!$A$1:$I$89,3,0)*VLOOKUP('Données projet'!$B$10,Paramètres!$A$1:$I$89,5,0)</f>
        <v>419.90000000000026</v>
      </c>
      <c r="AK165" s="14">
        <f t="shared" si="164"/>
        <v>95.799614109391214</v>
      </c>
      <c r="AL165" s="22">
        <f t="shared" si="165"/>
        <v>898.17682790719027</v>
      </c>
      <c r="AM165" s="62">
        <f t="shared" si="113"/>
        <v>1191.5101612405235</v>
      </c>
      <c r="AN165" s="62">
        <f ca="1">AVERAGE(OFFSET($AM$3,0,0,'Données projet'!$E$10+1,1))-AVERAGE(OFFSET($H$3,0,0,'Données projet'!$E$10+1,1))</f>
        <v>473.90982075211258</v>
      </c>
      <c r="AO165" s="62">
        <f t="shared" si="144"/>
        <v>127.17661287657279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0.46189463412868526</v>
      </c>
      <c r="AV165" s="23">
        <f>EXP(-LN(2)/25)*AV164+(1-EXP(-LN(2)/25))/(LN(2)/25)*Calculateur!AQ165*Calculateur!AS165*VLOOKUP('Données projet'!$B$10,Paramètres!$A$1:$I$89,3,0)*0.475*44/12</f>
        <v>3.4649544304284435E-2</v>
      </c>
      <c r="AW165" s="23">
        <f>EXP(-LN(2)/2)*AW164+(1-EXP(-LN(2)/2))/(LN(2)/2)*AQ165*AT165*VLOOKUP('Données projet'!$B$10,Paramètres!$A$1:$I$89,3,0)*0.475*44/12</f>
        <v>2.8425888096928387E-20</v>
      </c>
      <c r="AX165" s="23">
        <f t="shared" si="166"/>
        <v>0.49654417843296972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2">
        <f t="shared" si="140"/>
        <v>21.74625225971964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70">
        <f t="shared" si="110"/>
        <v>467.75994768567836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-2.2737367544323206E-13</v>
      </c>
      <c r="O166" s="14">
        <f>N166*VLOOKUP('Données projet'!$B$9,Paramètres!$A$1:$I$89,3,0)*VLOOKUP('Données projet'!$B$9,Paramètres!$A$1:$I$89,5,0)</f>
        <v>-1.2710188457276673E-13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382.94446752777549</v>
      </c>
      <c r="T166" s="62">
        <f t="shared" si="142"/>
        <v>476.29465646955543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0.61011367268441796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2.9485903615893705E-19</v>
      </c>
      <c r="AC166" s="24">
        <f t="shared" si="163"/>
        <v>0.61011367268441796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850.00000000000045</v>
      </c>
      <c r="AJ166" s="14">
        <f>AI166*VLOOKUP('Données projet'!$B$10,Paramètres!$A$1:$I$89,3,0)*VLOOKUP('Données projet'!$B$10,Paramètres!$A$1:$I$89,5,0)</f>
        <v>419.90000000000026</v>
      </c>
      <c r="AK166" s="14">
        <f t="shared" si="164"/>
        <v>95.799614109391214</v>
      </c>
      <c r="AL166" s="22">
        <f t="shared" si="165"/>
        <v>898.17682790719027</v>
      </c>
      <c r="AM166" s="62">
        <f t="shared" si="113"/>
        <v>1191.5101612405235</v>
      </c>
      <c r="AN166" s="62">
        <f ca="1">AVERAGE(OFFSET($AM$3,0,0,'Données projet'!$E$10+1,1))-AVERAGE(OFFSET($H$3,0,0,'Données projet'!$E$10+1,1))</f>
        <v>473.90982075211258</v>
      </c>
      <c r="AO166" s="62">
        <f t="shared" si="144"/>
        <v>127.17661287657279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0.45283716208133024</v>
      </c>
      <c r="AV166" s="23">
        <f>EXP(-LN(2)/25)*AV165+(1-EXP(-LN(2)/25))/(LN(2)/25)*Calculateur!AQ166*Calculateur!AS166*VLOOKUP('Données projet'!$B$10,Paramètres!$A$1:$I$89,3,0)*0.475*44/12</f>
        <v>3.3702050693143436E-2</v>
      </c>
      <c r="AW166" s="23">
        <f>EXP(-LN(2)/2)*AW165+(1-EXP(-LN(2)/2))/(LN(2)/2)*AQ166*AT166*VLOOKUP('Données projet'!$B$10,Paramètres!$A$1:$I$89,3,0)*0.475*44/12</f>
        <v>2.0100138234588027E-20</v>
      </c>
      <c r="AX166" s="23">
        <f t="shared" si="166"/>
        <v>0.48653921277447365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2">
        <f t="shared" si="140"/>
        <v>21.864093629643623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70">
        <f t="shared" si="110"/>
        <v>468.80292973829592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-2.2737367544323206E-13</v>
      </c>
      <c r="O167" s="14">
        <f>N167*VLOOKUP('Données projet'!$B$9,Paramètres!$A$1:$I$89,3,0)*VLOOKUP('Données projet'!$B$9,Paramètres!$A$1:$I$89,5,0)</f>
        <v>-1.2710188457276673E-13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382.94446752777549</v>
      </c>
      <c r="T167" s="62">
        <f t="shared" si="142"/>
        <v>476.29465646955543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0.59814971569567177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2.0849682396211381E-19</v>
      </c>
      <c r="AC167" s="24">
        <f t="shared" si="163"/>
        <v>0.59814971569567177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850.00000000000045</v>
      </c>
      <c r="AJ167" s="14">
        <f>AI167*VLOOKUP('Données projet'!$B$10,Paramètres!$A$1:$I$89,3,0)*VLOOKUP('Données projet'!$B$10,Paramètres!$A$1:$I$89,5,0)</f>
        <v>419.90000000000026</v>
      </c>
      <c r="AK167" s="14">
        <f t="shared" si="164"/>
        <v>95.799614109391214</v>
      </c>
      <c r="AL167" s="22">
        <f t="shared" si="165"/>
        <v>898.17682790719027</v>
      </c>
      <c r="AM167" s="62">
        <f t="shared" si="113"/>
        <v>1191.5101612405235</v>
      </c>
      <c r="AN167" s="62">
        <f ca="1">AVERAGE(OFFSET($AM$3,0,0,'Données projet'!$E$10+1,1))-AVERAGE(OFFSET($H$3,0,0,'Données projet'!$E$10+1,1))</f>
        <v>473.90982075211258</v>
      </c>
      <c r="AO167" s="62">
        <f t="shared" si="144"/>
        <v>127.17661287657279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0.44395730153631141</v>
      </c>
      <c r="AV167" s="23">
        <f>EXP(-LN(2)/25)*AV166+(1-EXP(-LN(2)/25))/(LN(2)/25)*Calculateur!AQ167*Calculateur!AS167*VLOOKUP('Données projet'!$B$10,Paramètres!$A$1:$I$89,3,0)*0.475*44/12</f>
        <v>3.2780466344625607E-2</v>
      </c>
      <c r="AW167" s="23">
        <f>EXP(-LN(2)/2)*AW166+(1-EXP(-LN(2)/2))/(LN(2)/2)*AQ167*AT167*VLOOKUP('Données projet'!$B$10,Paramètres!$A$1:$I$89,3,0)*0.475*44/12</f>
        <v>1.4212944048464193E-20</v>
      </c>
      <c r="AX167" s="23">
        <f t="shared" si="166"/>
        <v>0.47673776788093702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2">
        <f t="shared" si="140"/>
        <v>21.981851390063195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70">
        <f t="shared" si="110"/>
        <v>469.8457661710267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-2.2737367544323206E-13</v>
      </c>
      <c r="O168" s="14">
        <f>N168*VLOOKUP('Données projet'!$B$9,Paramètres!$A$1:$I$89,3,0)*VLOOKUP('Données projet'!$B$9,Paramètres!$A$1:$I$89,5,0)</f>
        <v>-1.2710188457276673E-13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382.94446752777549</v>
      </c>
      <c r="T168" s="62">
        <f t="shared" si="142"/>
        <v>476.29465646955543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0.58642036460618174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1.4742951807946853E-19</v>
      </c>
      <c r="AC168" s="24">
        <f t="shared" si="163"/>
        <v>0.58642036460618174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850.00000000000045</v>
      </c>
      <c r="AJ168" s="14">
        <f>AI168*VLOOKUP('Données projet'!$B$10,Paramètres!$A$1:$I$89,3,0)*VLOOKUP('Données projet'!$B$10,Paramètres!$A$1:$I$89,5,0)</f>
        <v>419.90000000000026</v>
      </c>
      <c r="AK168" s="14">
        <f t="shared" si="164"/>
        <v>95.799614109391214</v>
      </c>
      <c r="AL168" s="22">
        <f t="shared" si="165"/>
        <v>898.17682790719027</v>
      </c>
      <c r="AM168" s="62">
        <f t="shared" si="113"/>
        <v>1191.5101612405235</v>
      </c>
      <c r="AN168" s="62">
        <f ca="1">AVERAGE(OFFSET($AM$3,0,0,'Données projet'!$E$10+1,1))-AVERAGE(OFFSET($H$3,0,0,'Données projet'!$E$10+1,1))</f>
        <v>473.90982075211258</v>
      </c>
      <c r="AO168" s="62">
        <f t="shared" si="144"/>
        <v>127.17661287657279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0.43525156964040024</v>
      </c>
      <c r="AV168" s="23">
        <f>EXP(-LN(2)/25)*AV167+(1-EXP(-LN(2)/25))/(LN(2)/25)*Calculateur!AQ168*Calculateur!AS168*VLOOKUP('Données projet'!$B$10,Paramètres!$A$1:$I$89,3,0)*0.475*44/12</f>
        <v>3.1884082768582019E-2</v>
      </c>
      <c r="AW168" s="23">
        <f>EXP(-LN(2)/2)*AW167+(1-EXP(-LN(2)/2))/(LN(2)/2)*AQ168*AT168*VLOOKUP('Données projet'!$B$10,Paramètres!$A$1:$I$89,3,0)*0.475*44/12</f>
        <v>1.0050069117294013E-20</v>
      </c>
      <c r="AX168" s="23">
        <f t="shared" si="166"/>
        <v>0.46713565240898225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2">
        <f t="shared" si="140"/>
        <v>22.099526106492764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70">
        <f t="shared" si="110"/>
        <v>470.88845796880821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-2.2737367544323206E-13</v>
      </c>
      <c r="O169" s="14">
        <f>N169*VLOOKUP('Données projet'!$B$9,Paramètres!$A$1:$I$89,3,0)*VLOOKUP('Données projet'!$B$9,Paramètres!$A$1:$I$89,5,0)</f>
        <v>-1.2710188457276673E-13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382.94446752777549</v>
      </c>
      <c r="T169" s="62">
        <f t="shared" si="142"/>
        <v>476.29465646955543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0.57492101893735881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1.042484119810569E-19</v>
      </c>
      <c r="AC169" s="24">
        <f t="shared" si="163"/>
        <v>0.57492101893735881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850.00000000000045</v>
      </c>
      <c r="AJ169" s="14">
        <f>AI169*VLOOKUP('Données projet'!$B$10,Paramètres!$A$1:$I$89,3,0)*VLOOKUP('Données projet'!$B$10,Paramètres!$A$1:$I$89,5,0)</f>
        <v>419.90000000000026</v>
      </c>
      <c r="AK169" s="14">
        <f t="shared" si="164"/>
        <v>95.799614109391214</v>
      </c>
      <c r="AL169" s="22">
        <f t="shared" si="165"/>
        <v>898.17682790719027</v>
      </c>
      <c r="AM169" s="62">
        <f t="shared" si="113"/>
        <v>1191.5101612405235</v>
      </c>
      <c r="AN169" s="62">
        <f ca="1">AVERAGE(OFFSET($AM$3,0,0,'Données projet'!$E$10+1,1))-AVERAGE(OFFSET($H$3,0,0,'Données projet'!$E$10+1,1))</f>
        <v>473.90982075211258</v>
      </c>
      <c r="AO169" s="62">
        <f t="shared" si="144"/>
        <v>127.17661287657279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0.42671655183699575</v>
      </c>
      <c r="AV169" s="23">
        <f>EXP(-LN(2)/25)*AV168+(1-EXP(-LN(2)/25))/(LN(2)/25)*Calculateur!AQ169*Calculateur!AS169*VLOOKUP('Données projet'!$B$10,Paramètres!$A$1:$I$89,3,0)*0.475*44/12</f>
        <v>3.1012210848564103E-2</v>
      </c>
      <c r="AW169" s="23">
        <f>EXP(-LN(2)/2)*AW168+(1-EXP(-LN(2)/2))/(LN(2)/2)*AQ169*AT169*VLOOKUP('Données projet'!$B$10,Paramètres!$A$1:$I$89,3,0)*0.475*44/12</f>
        <v>7.1064720242320967E-21</v>
      </c>
      <c r="AX169" s="23">
        <f t="shared" si="166"/>
        <v>0.45772876268555984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2">
        <f t="shared" si="140"/>
        <v>22.217118337239182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70">
        <f t="shared" si="110"/>
        <v>471.93100610402485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-2.2737367544323206E-13</v>
      </c>
      <c r="O170" s="14">
        <f>N170*VLOOKUP('Données projet'!$B$9,Paramètres!$A$1:$I$89,3,0)*VLOOKUP('Données projet'!$B$9,Paramètres!$A$1:$I$89,5,0)</f>
        <v>-1.2710188457276673E-13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382.94446752777549</v>
      </c>
      <c r="T170" s="62">
        <f t="shared" si="142"/>
        <v>476.29465646955543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0.56364716842319329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7.3714759039734263E-20</v>
      </c>
      <c r="AC170" s="24">
        <f t="shared" si="163"/>
        <v>0.56364716842319329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850.00000000000045</v>
      </c>
      <c r="AJ170" s="14">
        <f>AI170*VLOOKUP('Données projet'!$B$10,Paramètres!$A$1:$I$89,3,0)*VLOOKUP('Données projet'!$B$10,Paramètres!$A$1:$I$89,5,0)</f>
        <v>419.90000000000026</v>
      </c>
      <c r="AK170" s="14">
        <f t="shared" si="164"/>
        <v>95.799614109391214</v>
      </c>
      <c r="AL170" s="22">
        <f t="shared" si="165"/>
        <v>898.17682790719027</v>
      </c>
      <c r="AM170" s="62">
        <f t="shared" si="113"/>
        <v>1191.5101612405235</v>
      </c>
      <c r="AN170" s="62">
        <f ca="1">AVERAGE(OFFSET($AM$3,0,0,'Données projet'!$E$10+1,1))-AVERAGE(OFFSET($H$3,0,0,'Données projet'!$E$10+1,1))</f>
        <v>473.90982075211258</v>
      </c>
      <c r="AO170" s="62">
        <f t="shared" si="144"/>
        <v>127.17661287657279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0.41834890052686924</v>
      </c>
      <c r="AV170" s="23">
        <f>EXP(-LN(2)/25)*AV169+(1-EXP(-LN(2)/25))/(LN(2)/25)*Calculateur!AQ170*Calculateur!AS170*VLOOKUP('Données projet'!$B$10,Paramètres!$A$1:$I$89,3,0)*0.475*44/12</f>
        <v>3.0164180312048827E-2</v>
      </c>
      <c r="AW170" s="23">
        <f>EXP(-LN(2)/2)*AW169+(1-EXP(-LN(2)/2))/(LN(2)/2)*AQ170*AT170*VLOOKUP('Données projet'!$B$10,Paramètres!$A$1:$I$89,3,0)*0.475*44/12</f>
        <v>5.0250345586470067E-21</v>
      </c>
      <c r="AX170" s="23">
        <f t="shared" si="166"/>
        <v>0.44851308083891805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2">
        <f t="shared" si="140"/>
        <v>22.334628633536209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70">
        <f t="shared" si="110"/>
        <v>472.97341153674216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-2.2737367544323206E-13</v>
      </c>
      <c r="O171" s="14">
        <f>N171*VLOOKUP('Données projet'!$B$9,Paramètres!$A$1:$I$89,3,0)*VLOOKUP('Données projet'!$B$9,Paramètres!$A$1:$I$89,5,0)</f>
        <v>-1.2710188457276673E-13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382.94446752777549</v>
      </c>
      <c r="T171" s="62">
        <f t="shared" si="142"/>
        <v>476.29465646955543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0.55259439124124066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5.2124205990528452E-20</v>
      </c>
      <c r="AC171" s="24">
        <f t="shared" si="163"/>
        <v>0.55259439124124066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850.00000000000045</v>
      </c>
      <c r="AJ171" s="14">
        <f>AI171*VLOOKUP('Données projet'!$B$10,Paramètres!$A$1:$I$89,3,0)*VLOOKUP('Données projet'!$B$10,Paramètres!$A$1:$I$89,5,0)</f>
        <v>419.90000000000026</v>
      </c>
      <c r="AK171" s="14">
        <f t="shared" si="164"/>
        <v>95.799614109391214</v>
      </c>
      <c r="AL171" s="22">
        <f t="shared" si="165"/>
        <v>898.17682790719027</v>
      </c>
      <c r="AM171" s="62">
        <f t="shared" si="113"/>
        <v>1191.5101612405235</v>
      </c>
      <c r="AN171" s="62">
        <f ca="1">AVERAGE(OFFSET($AM$3,0,0,'Données projet'!$E$10+1,1))-AVERAGE(OFFSET($H$3,0,0,'Données projet'!$E$10+1,1))</f>
        <v>473.90982075211258</v>
      </c>
      <c r="AO171" s="62">
        <f t="shared" si="144"/>
        <v>127.17661287657279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0.41014533375517093</v>
      </c>
      <c r="AV171" s="23">
        <f>EXP(-LN(2)/25)*AV170+(1-EXP(-LN(2)/25))/(LN(2)/25)*Calculateur!AQ171*Calculateur!AS171*VLOOKUP('Données projet'!$B$10,Paramètres!$A$1:$I$89,3,0)*0.475*44/12</f>
        <v>2.9339339215150549E-2</v>
      </c>
      <c r="AW171" s="23">
        <f>EXP(-LN(2)/2)*AW170+(1-EXP(-LN(2)/2))/(LN(2)/2)*AQ171*AT171*VLOOKUP('Données projet'!$B$10,Paramètres!$A$1:$I$89,3,0)*0.475*44/12</f>
        <v>3.5532360121160483E-21</v>
      </c>
      <c r="AX171" s="23">
        <f t="shared" si="166"/>
        <v>0.43948467297032145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2">
        <f t="shared" si="140"/>
        <v>22.452057539675593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70">
        <f t="shared" si="110"/>
        <v>474.0156752149349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-2.2737367544323206E-13</v>
      </c>
      <c r="O172" s="14">
        <f>N172*VLOOKUP('Données projet'!$B$9,Paramètres!$A$1:$I$89,3,0)*VLOOKUP('Données projet'!$B$9,Paramètres!$A$1:$I$89,5,0)</f>
        <v>-1.2710188457276673E-13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382.94446752777549</v>
      </c>
      <c r="T172" s="62">
        <f t="shared" si="142"/>
        <v>476.29465646955543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0.54175835227829772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3.6857379519867131E-20</v>
      </c>
      <c r="AC172" s="24">
        <f t="shared" si="163"/>
        <v>0.54175835227829772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850.00000000000045</v>
      </c>
      <c r="AJ172" s="14">
        <f>AI172*VLOOKUP('Données projet'!$B$10,Paramètres!$A$1:$I$89,3,0)*VLOOKUP('Données projet'!$B$10,Paramètres!$A$1:$I$89,5,0)</f>
        <v>419.90000000000026</v>
      </c>
      <c r="AK172" s="14">
        <f t="shared" si="164"/>
        <v>95.799614109391214</v>
      </c>
      <c r="AL172" s="22">
        <f t="shared" si="165"/>
        <v>898.17682790719027</v>
      </c>
      <c r="AM172" s="62">
        <f t="shared" si="113"/>
        <v>1191.5101612405235</v>
      </c>
      <c r="AN172" s="62">
        <f ca="1">AVERAGE(OFFSET($AM$3,0,0,'Données projet'!$E$10+1,1))-AVERAGE(OFFSET($H$3,0,0,'Données projet'!$E$10+1,1))</f>
        <v>473.90982075211258</v>
      </c>
      <c r="AO172" s="62">
        <f t="shared" si="144"/>
        <v>127.17661287657279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0.40210263392418399</v>
      </c>
      <c r="AV172" s="23">
        <f>EXP(-LN(2)/25)*AV171+(1-EXP(-LN(2)/25))/(LN(2)/25)*Calculateur!AQ172*Calculateur!AS172*VLOOKUP('Données projet'!$B$10,Paramètres!$A$1:$I$89,3,0)*0.475*44/12</f>
        <v>2.8537053441423463E-2</v>
      </c>
      <c r="AW172" s="23">
        <f>EXP(-LN(2)/2)*AW171+(1-EXP(-LN(2)/2))/(LN(2)/2)*AQ172*AT172*VLOOKUP('Données projet'!$B$10,Paramètres!$A$1:$I$89,3,0)*0.475*44/12</f>
        <v>2.5125172793235033E-21</v>
      </c>
      <c r="AX172" s="23">
        <f t="shared" si="166"/>
        <v>0.43063968736560748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2">
        <f t="shared" si="140"/>
        <v>22.569405593135201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70">
        <f t="shared" si="110"/>
        <v>475.05779807471038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-2.2737367544323206E-13</v>
      </c>
      <c r="O173" s="14">
        <f>N173*VLOOKUP('Données projet'!$B$9,Paramètres!$A$1:$I$89,3,0)*VLOOKUP('Données projet'!$B$9,Paramètres!$A$1:$I$89,5,0)</f>
        <v>-1.2710188457276673E-13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382.94446752777549</v>
      </c>
      <c r="T173" s="62">
        <f t="shared" si="142"/>
        <v>476.29465646955543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0.53113480143008696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2.6062102995264226E-20</v>
      </c>
      <c r="AC173" s="24">
        <f t="shared" si="163"/>
        <v>0.53113480143008696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850.00000000000045</v>
      </c>
      <c r="AJ173" s="14">
        <f>AI173*VLOOKUP('Données projet'!$B$10,Paramètres!$A$1:$I$89,3,0)*VLOOKUP('Données projet'!$B$10,Paramètres!$A$1:$I$89,5,0)</f>
        <v>419.90000000000026</v>
      </c>
      <c r="AK173" s="14">
        <f t="shared" si="164"/>
        <v>95.799614109391214</v>
      </c>
      <c r="AL173" s="22">
        <f t="shared" si="165"/>
        <v>898.17682790719027</v>
      </c>
      <c r="AM173" s="62">
        <f t="shared" si="113"/>
        <v>1191.5101612405235</v>
      </c>
      <c r="AN173" s="62">
        <f ca="1">AVERAGE(OFFSET($AM$3,0,0,'Données projet'!$E$10+1,1))-AVERAGE(OFFSET($H$3,0,0,'Données projet'!$E$10+1,1))</f>
        <v>473.90982075211258</v>
      </c>
      <c r="AO173" s="62">
        <f t="shared" si="144"/>
        <v>127.17661287657279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0.39421764653132019</v>
      </c>
      <c r="AV173" s="23">
        <f>EXP(-LN(2)/25)*AV172+(1-EXP(-LN(2)/25))/(LN(2)/25)*Calculateur!AQ173*Calculateur!AS173*VLOOKUP('Données projet'!$B$10,Paramètres!$A$1:$I$89,3,0)*0.475*44/12</f>
        <v>2.775670621436932E-2</v>
      </c>
      <c r="AW173" s="23">
        <f>EXP(-LN(2)/2)*AW172+(1-EXP(-LN(2)/2))/(LN(2)/2)*AQ173*AT173*VLOOKUP('Données projet'!$B$10,Paramètres!$A$1:$I$89,3,0)*0.475*44/12</f>
        <v>1.7766180060580242E-21</v>
      </c>
      <c r="AX173" s="23">
        <f t="shared" si="166"/>
        <v>0.42197435274568951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2">
        <f t="shared" si="140"/>
        <v>22.686673324703712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70">
        <f t="shared" si="110"/>
        <v>476.0997810405255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-2.2737367544323206E-13</v>
      </c>
      <c r="O174" s="14">
        <f>N174*VLOOKUP('Données projet'!$B$9,Paramètres!$A$1:$I$89,3,0)*VLOOKUP('Données projet'!$B$9,Paramètres!$A$1:$I$89,5,0)</f>
        <v>-1.2710188457276673E-13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382.94446752777549</v>
      </c>
      <c r="T174" s="62">
        <f t="shared" si="142"/>
        <v>476.29465646955543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0.52071957193428342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1.8428689759933566E-20</v>
      </c>
      <c r="AC174" s="24">
        <f t="shared" si="163"/>
        <v>0.52071957193428342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850.00000000000045</v>
      </c>
      <c r="AJ174" s="14">
        <f>AI174*VLOOKUP('Données projet'!$B$10,Paramètres!$A$1:$I$89,3,0)*VLOOKUP('Données projet'!$B$10,Paramètres!$A$1:$I$89,5,0)</f>
        <v>419.90000000000026</v>
      </c>
      <c r="AK174" s="14">
        <f t="shared" si="164"/>
        <v>95.799614109391214</v>
      </c>
      <c r="AL174" s="22">
        <f t="shared" si="165"/>
        <v>898.17682790719027</v>
      </c>
      <c r="AM174" s="62">
        <f t="shared" si="113"/>
        <v>1191.5101612405235</v>
      </c>
      <c r="AN174" s="62">
        <f ca="1">AVERAGE(OFFSET($AM$3,0,0,'Données projet'!$E$10+1,1))-AVERAGE(OFFSET($H$3,0,0,'Données projet'!$E$10+1,1))</f>
        <v>473.90982075211258</v>
      </c>
      <c r="AO174" s="62">
        <f t="shared" si="144"/>
        <v>127.17661287657279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0.38648727893186302</v>
      </c>
      <c r="AV174" s="23">
        <f>EXP(-LN(2)/25)*AV173+(1-EXP(-LN(2)/25))/(LN(2)/25)*Calculateur!AQ174*Calculateur!AS174*VLOOKUP('Données projet'!$B$10,Paramètres!$A$1:$I$89,3,0)*0.475*44/12</f>
        <v>2.6997697623275651E-2</v>
      </c>
      <c r="AW174" s="23">
        <f>EXP(-LN(2)/2)*AW173+(1-EXP(-LN(2)/2))/(LN(2)/2)*AQ174*AT174*VLOOKUP('Données projet'!$B$10,Paramètres!$A$1:$I$89,3,0)*0.475*44/12</f>
        <v>1.2562586396617517E-21</v>
      </c>
      <c r="AX174" s="23">
        <f t="shared" si="166"/>
        <v>0.41348497655513866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2">
        <f t="shared" si="140"/>
        <v>22.803861258602598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70">
        <f t="shared" si="110"/>
        <v>477.14162502539943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-2.2737367544323206E-13</v>
      </c>
      <c r="O175" s="14">
        <f>N175*VLOOKUP('Données projet'!$B$9,Paramètres!$A$1:$I$89,3,0)*VLOOKUP('Données projet'!$B$9,Paramètres!$A$1:$I$89,5,0)</f>
        <v>-1.2710188457276673E-13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382.94446752777549</v>
      </c>
      <c r="T175" s="62">
        <f t="shared" si="142"/>
        <v>476.29465646955543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0.5105085787362299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1.3031051497632113E-20</v>
      </c>
      <c r="AC175" s="24">
        <f t="shared" si="163"/>
        <v>0.5105085787362299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850.00000000000045</v>
      </c>
      <c r="AJ175" s="14">
        <f>AI175*VLOOKUP('Données projet'!$B$10,Paramètres!$A$1:$I$89,3,0)*VLOOKUP('Données projet'!$B$10,Paramètres!$A$1:$I$89,5,0)</f>
        <v>419.90000000000026</v>
      </c>
      <c r="AK175" s="14">
        <f t="shared" si="164"/>
        <v>95.799614109391214</v>
      </c>
      <c r="AL175" s="22">
        <f t="shared" si="165"/>
        <v>898.17682790719027</v>
      </c>
      <c r="AM175" s="62">
        <f t="shared" si="113"/>
        <v>1191.5101612405235</v>
      </c>
      <c r="AN175" s="62">
        <f ca="1">AVERAGE(OFFSET($AM$3,0,0,'Données projet'!$E$10+1,1))-AVERAGE(OFFSET($H$3,0,0,'Données projet'!$E$10+1,1))</f>
        <v>473.90982075211258</v>
      </c>
      <c r="AO175" s="62">
        <f t="shared" si="144"/>
        <v>127.17661287657279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0.37890849912597252</v>
      </c>
      <c r="AV175" s="23">
        <f>EXP(-LN(2)/25)*AV174+(1-EXP(-LN(2)/25))/(LN(2)/25)*Calculateur!AQ175*Calculateur!AS175*VLOOKUP('Données projet'!$B$10,Paramètres!$A$1:$I$89,3,0)*0.475*44/12</f>
        <v>2.6259444162019963E-2</v>
      </c>
      <c r="AW175" s="23">
        <f>EXP(-LN(2)/2)*AW174+(1-EXP(-LN(2)/2))/(LN(2)/2)*AQ175*AT175*VLOOKUP('Données projet'!$B$10,Paramètres!$A$1:$I$89,3,0)*0.475*44/12</f>
        <v>8.8830900302901209E-22</v>
      </c>
      <c r="AX175" s="23">
        <f t="shared" si="166"/>
        <v>0.40516794328799249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2">
        <f t="shared" si="140"/>
        <v>22.920969912605038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70">
        <f t="shared" si="110"/>
        <v>478.18333093112028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-2.2737367544323206E-13</v>
      </c>
      <c r="O176" s="14">
        <f>N176*VLOOKUP('Données projet'!$B$9,Paramètres!$A$1:$I$89,3,0)*VLOOKUP('Données projet'!$B$9,Paramètres!$A$1:$I$89,5,0)</f>
        <v>-1.2710188457276673E-13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382.94446752777549</v>
      </c>
      <c r="T176" s="62">
        <f t="shared" si="142"/>
        <v>476.29465646955543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0.50049781688669925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9.2143448799667829E-21</v>
      </c>
      <c r="AC176" s="24">
        <f t="shared" si="163"/>
        <v>0.50049781688669925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850.00000000000045</v>
      </c>
      <c r="AJ176" s="14">
        <f>AI176*VLOOKUP('Données projet'!$B$10,Paramètres!$A$1:$I$89,3,0)*VLOOKUP('Données projet'!$B$10,Paramètres!$A$1:$I$89,5,0)</f>
        <v>419.90000000000026</v>
      </c>
      <c r="AK176" s="14">
        <f t="shared" si="164"/>
        <v>95.799614109391214</v>
      </c>
      <c r="AL176" s="22">
        <f t="shared" si="165"/>
        <v>898.17682790719027</v>
      </c>
      <c r="AM176" s="62">
        <f t="shared" si="113"/>
        <v>1191.5101612405235</v>
      </c>
      <c r="AN176" s="62">
        <f ca="1">AVERAGE(OFFSET($AM$3,0,0,'Données projet'!$E$10+1,1))-AVERAGE(OFFSET($H$3,0,0,'Données projet'!$E$10+1,1))</f>
        <v>473.90982075211258</v>
      </c>
      <c r="AO176" s="62">
        <f t="shared" si="144"/>
        <v>127.17661287657279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0.37147833456947632</v>
      </c>
      <c r="AV176" s="23">
        <f>EXP(-LN(2)/25)*AV175+(1-EXP(-LN(2)/25))/(LN(2)/25)*Calculateur!AQ176*Calculateur!AS176*VLOOKUP('Données projet'!$B$10,Paramètres!$A$1:$I$89,3,0)*0.475*44/12</f>
        <v>2.5541378280485375E-2</v>
      </c>
      <c r="AW176" s="23">
        <f>EXP(-LN(2)/2)*AW175+(1-EXP(-LN(2)/2))/(LN(2)/2)*AQ176*AT176*VLOOKUP('Données projet'!$B$10,Paramètres!$A$1:$I$89,3,0)*0.475*44/12</f>
        <v>6.2812931983087584E-22</v>
      </c>
      <c r="AX176" s="23">
        <f t="shared" si="166"/>
        <v>0.39701971284996168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2">
        <f t="shared" si="140"/>
        <v>23.037999798152033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70">
        <f t="shared" si="110"/>
        <v>479.224899648448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-2.2737367544323206E-13</v>
      </c>
      <c r="O177" s="14">
        <f>N177*VLOOKUP('Données projet'!$B$9,Paramètres!$A$1:$I$89,3,0)*VLOOKUP('Données projet'!$B$9,Paramètres!$A$1:$I$89,5,0)</f>
        <v>-1.2710188457276673E-13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382.94446752777549</v>
      </c>
      <c r="T177" s="62">
        <f t="shared" si="142"/>
        <v>476.29465646955543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0.49068335997107615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6.5155257488160565E-21</v>
      </c>
      <c r="AC177" s="24">
        <f t="shared" si="163"/>
        <v>0.49068335997107615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850.00000000000045</v>
      </c>
      <c r="AJ177" s="14">
        <f>AI177*VLOOKUP('Données projet'!$B$10,Paramètres!$A$1:$I$89,3,0)*VLOOKUP('Données projet'!$B$10,Paramètres!$A$1:$I$89,5,0)</f>
        <v>419.90000000000026</v>
      </c>
      <c r="AK177" s="14">
        <f t="shared" si="164"/>
        <v>95.799614109391214</v>
      </c>
      <c r="AL177" s="22">
        <f t="shared" si="165"/>
        <v>898.17682790719027</v>
      </c>
      <c r="AM177" s="62">
        <f t="shared" si="113"/>
        <v>1191.5101612405235</v>
      </c>
      <c r="AN177" s="62">
        <f ca="1">AVERAGE(OFFSET($AM$3,0,0,'Données projet'!$E$10+1,1))-AVERAGE(OFFSET($H$3,0,0,'Données projet'!$E$10+1,1))</f>
        <v>473.90982075211258</v>
      </c>
      <c r="AO177" s="62">
        <f t="shared" si="144"/>
        <v>127.17661287657279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0.36419387100798012</v>
      </c>
      <c r="AV177" s="23">
        <f>EXP(-LN(2)/25)*AV176+(1-EXP(-LN(2)/25))/(LN(2)/25)*Calculateur!AQ177*Calculateur!AS177*VLOOKUP('Données projet'!$B$10,Paramètres!$A$1:$I$89,3,0)*0.475*44/12</f>
        <v>2.4842947948242794E-2</v>
      </c>
      <c r="AW177" s="23">
        <f>EXP(-LN(2)/2)*AW176+(1-EXP(-LN(2)/2))/(LN(2)/2)*AQ177*AT177*VLOOKUP('Données projet'!$B$10,Paramètres!$A$1:$I$89,3,0)*0.475*44/12</f>
        <v>4.4415450151450604E-22</v>
      </c>
      <c r="AX177" s="23">
        <f t="shared" si="166"/>
        <v>0.38903681895622289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2">
        <f t="shared" si="140"/>
        <v>23.154951420465835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70">
        <f t="shared" si="110"/>
        <v>480.26633205731122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-2.2737367544323206E-13</v>
      </c>
      <c r="O178" s="14">
        <f>N178*VLOOKUP('Données projet'!$B$9,Paramètres!$A$1:$I$89,3,0)*VLOOKUP('Données projet'!$B$9,Paramètres!$A$1:$I$89,5,0)</f>
        <v>-1.2710188457276673E-13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382.94446752777549</v>
      </c>
      <c r="T178" s="62">
        <f t="shared" si="142"/>
        <v>476.29465646955543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0.48106135856934074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4.6071724399833914E-21</v>
      </c>
      <c r="AC178" s="24">
        <f t="shared" si="163"/>
        <v>0.48106135856934074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850.00000000000045</v>
      </c>
      <c r="AJ178" s="14">
        <f>AI178*VLOOKUP('Données projet'!$B$10,Paramètres!$A$1:$I$89,3,0)*VLOOKUP('Données projet'!$B$10,Paramètres!$A$1:$I$89,5,0)</f>
        <v>419.90000000000026</v>
      </c>
      <c r="AK178" s="14">
        <f t="shared" si="164"/>
        <v>95.799614109391214</v>
      </c>
      <c r="AL178" s="22">
        <f t="shared" si="165"/>
        <v>898.17682790719027</v>
      </c>
      <c r="AM178" s="62">
        <f t="shared" si="113"/>
        <v>1191.5101612405235</v>
      </c>
      <c r="AN178" s="62">
        <f ca="1">AVERAGE(OFFSET($AM$3,0,0,'Données projet'!$E$10+1,1))-AVERAGE(OFFSET($H$3,0,0,'Données projet'!$E$10+1,1))</f>
        <v>473.90982075211258</v>
      </c>
      <c r="AO178" s="62">
        <f t="shared" si="144"/>
        <v>127.17661287657279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0.35705225133384078</v>
      </c>
      <c r="AV178" s="23">
        <f>EXP(-LN(2)/25)*AV177+(1-EXP(-LN(2)/25))/(LN(2)/25)*Calculateur!AQ178*Calculateur!AS178*VLOOKUP('Données projet'!$B$10,Paramètres!$A$1:$I$89,3,0)*0.475*44/12</f>
        <v>2.4163616230164241E-2</v>
      </c>
      <c r="AW178" s="23">
        <f>EXP(-LN(2)/2)*AW177+(1-EXP(-LN(2)/2))/(LN(2)/2)*AQ178*AT178*VLOOKUP('Données projet'!$B$10,Paramètres!$A$1:$I$89,3,0)*0.475*44/12</f>
        <v>3.1406465991543792E-22</v>
      </c>
      <c r="AX178" s="23">
        <f t="shared" si="166"/>
        <v>0.381215867564005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2">
        <f t="shared" si="140"/>
        <v>23.271825278660558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70">
        <f t="shared" si="110"/>
        <v>481.3076290270003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-2.2737367544323206E-13</v>
      </c>
      <c r="O179" s="14">
        <f>N179*VLOOKUP('Données projet'!$B$9,Paramètres!$A$1:$I$89,3,0)*VLOOKUP('Données projet'!$B$9,Paramètres!$A$1:$I$89,5,0)</f>
        <v>-1.2710188457276673E-13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382.94446752777549</v>
      </c>
      <c r="T179" s="62">
        <f t="shared" si="142"/>
        <v>476.29465646955543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0.47162803874625203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3.2577628744080283E-21</v>
      </c>
      <c r="AC179" s="24">
        <f t="shared" si="163"/>
        <v>0.47162803874625203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850.00000000000045</v>
      </c>
      <c r="AJ179" s="14">
        <f>AI179*VLOOKUP('Données projet'!$B$10,Paramètres!$A$1:$I$89,3,0)*VLOOKUP('Données projet'!$B$10,Paramètres!$A$1:$I$89,5,0)</f>
        <v>419.90000000000026</v>
      </c>
      <c r="AK179" s="14">
        <f t="shared" si="164"/>
        <v>95.799614109391214</v>
      </c>
      <c r="AL179" s="22">
        <f t="shared" si="165"/>
        <v>898.17682790719027</v>
      </c>
      <c r="AM179" s="62">
        <f t="shared" si="113"/>
        <v>1191.5101612405235</v>
      </c>
      <c r="AN179" s="62">
        <f ca="1">AVERAGE(OFFSET($AM$3,0,0,'Données projet'!$E$10+1,1))-AVERAGE(OFFSET($H$3,0,0,'Données projet'!$E$10+1,1))</f>
        <v>473.90982075211258</v>
      </c>
      <c r="AO179" s="62">
        <f t="shared" si="144"/>
        <v>127.17661287657279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0.35005067446555344</v>
      </c>
      <c r="AV179" s="23">
        <f>EXP(-LN(2)/25)*AV178+(1-EXP(-LN(2)/25))/(LN(2)/25)*Calculateur!AQ179*Calculateur!AS179*VLOOKUP('Données projet'!$B$10,Paramètres!$A$1:$I$89,3,0)*0.475*44/12</f>
        <v>2.3502860873641049E-2</v>
      </c>
      <c r="AW179" s="23">
        <f>EXP(-LN(2)/2)*AW178+(1-EXP(-LN(2)/2))/(LN(2)/2)*AQ179*AT179*VLOOKUP('Données projet'!$B$10,Paramètres!$A$1:$I$89,3,0)*0.475*44/12</f>
        <v>2.2207725075725302E-22</v>
      </c>
      <c r="AX179" s="23">
        <f t="shared" si="166"/>
        <v>0.3735535353391945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2">
        <f t="shared" si="140"/>
        <v>23.388621865850421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70">
        <f t="shared" si="110"/>
        <v>482.34879141635599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-2.2737367544323206E-13</v>
      </c>
      <c r="O180" s="14">
        <f>N180*VLOOKUP('Données projet'!$B$9,Paramètres!$A$1:$I$89,3,0)*VLOOKUP('Données projet'!$B$9,Paramètres!$A$1:$I$89,5,0)</f>
        <v>-1.2710188457276673E-13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382.94446752777549</v>
      </c>
      <c r="T180" s="62">
        <f t="shared" si="142"/>
        <v>476.29465646955543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0.46237970057113714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2.3035862199916957E-21</v>
      </c>
      <c r="AC180" s="24">
        <f t="shared" si="163"/>
        <v>0.46237970057113714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850.00000000000045</v>
      </c>
      <c r="AJ180" s="14">
        <f>AI180*VLOOKUP('Données projet'!$B$10,Paramètres!$A$1:$I$89,3,0)*VLOOKUP('Données projet'!$B$10,Paramètres!$A$1:$I$89,5,0)</f>
        <v>419.90000000000026</v>
      </c>
      <c r="AK180" s="14">
        <f t="shared" si="164"/>
        <v>95.799614109391214</v>
      </c>
      <c r="AL180" s="22">
        <f t="shared" si="165"/>
        <v>898.17682790719027</v>
      </c>
      <c r="AM180" s="62">
        <f t="shared" si="113"/>
        <v>1191.5101612405235</v>
      </c>
      <c r="AN180" s="62">
        <f ca="1">AVERAGE(OFFSET($AM$3,0,0,'Données projet'!$E$10+1,1))-AVERAGE(OFFSET($H$3,0,0,'Données projet'!$E$10+1,1))</f>
        <v>473.90982075211258</v>
      </c>
      <c r="AO180" s="62">
        <f t="shared" si="144"/>
        <v>127.17661287657279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0.34318639424911301</v>
      </c>
      <c r="AV180" s="23">
        <f>EXP(-LN(2)/25)*AV179+(1-EXP(-LN(2)/25))/(LN(2)/25)*Calculateur!AQ180*Calculateur!AS180*VLOOKUP('Données projet'!$B$10,Paramètres!$A$1:$I$89,3,0)*0.475*44/12</f>
        <v>2.2860173907089599E-2</v>
      </c>
      <c r="AW180" s="23">
        <f>EXP(-LN(2)/2)*AW179+(1-EXP(-LN(2)/2))/(LN(2)/2)*AQ180*AT180*VLOOKUP('Données projet'!$B$10,Paramètres!$A$1:$I$89,3,0)*0.475*44/12</f>
        <v>1.5703232995771896E-22</v>
      </c>
      <c r="AX180" s="23">
        <f t="shared" si="166"/>
        <v>0.36604656815620262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2">
        <f t="shared" si="140"/>
        <v>23.505341669255241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70">
        <f t="shared" si="110"/>
        <v>483.38982007395271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-2.2737367544323206E-13</v>
      </c>
      <c r="O181" s="14">
        <f>N181*VLOOKUP('Données projet'!$B$9,Paramètres!$A$1:$I$89,3,0)*VLOOKUP('Données projet'!$B$9,Paramètres!$A$1:$I$89,5,0)</f>
        <v>-1.2710188457276673E-13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382.94446752777549</v>
      </c>
      <c r="T181" s="62">
        <f t="shared" si="142"/>
        <v>476.29465646955543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0.45331271666670697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1.6288814372040141E-21</v>
      </c>
      <c r="AC181" s="24">
        <f t="shared" si="163"/>
        <v>0.45331271666670697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850.00000000000045</v>
      </c>
      <c r="AJ181" s="14">
        <f>AI181*VLOOKUP('Données projet'!$B$10,Paramètres!$A$1:$I$89,3,0)*VLOOKUP('Données projet'!$B$10,Paramètres!$A$1:$I$89,5,0)</f>
        <v>419.90000000000026</v>
      </c>
      <c r="AK181" s="14">
        <f t="shared" si="164"/>
        <v>95.799614109391214</v>
      </c>
      <c r="AL181" s="22">
        <f t="shared" si="165"/>
        <v>898.17682790719027</v>
      </c>
      <c r="AM181" s="62">
        <f t="shared" si="113"/>
        <v>1191.5101612405235</v>
      </c>
      <c r="AN181" s="62">
        <f ca="1">AVERAGE(OFFSET($AM$3,0,0,'Données projet'!$E$10+1,1))-AVERAGE(OFFSET($H$3,0,0,'Données projet'!$E$10+1,1))</f>
        <v>473.90982075211258</v>
      </c>
      <c r="AO181" s="62">
        <f t="shared" si="144"/>
        <v>127.17661287657279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0.33645671838091945</v>
      </c>
      <c r="AV181" s="23">
        <f>EXP(-LN(2)/25)*AV180+(1-EXP(-LN(2)/25))/(LN(2)/25)*Calculateur!AQ181*Calculateur!AS181*VLOOKUP('Données projet'!$B$10,Paramètres!$A$1:$I$89,3,0)*0.475*44/12</f>
        <v>2.2235061249435934E-2</v>
      </c>
      <c r="AW181" s="23">
        <f>EXP(-LN(2)/2)*AW180+(1-EXP(-LN(2)/2))/(LN(2)/2)*AQ181*AT181*VLOOKUP('Données projet'!$B$10,Paramètres!$A$1:$I$89,3,0)*0.475*44/12</f>
        <v>1.1103862537862651E-22</v>
      </c>
      <c r="AX181" s="23">
        <f t="shared" si="166"/>
        <v>0.35869177963035537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2">
        <f t="shared" si="140"/>
        <v>23.621985170303667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70">
        <f t="shared" si="110"/>
        <v>484.43071583827873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-2.2737367544323206E-13</v>
      </c>
      <c r="O182" s="14">
        <f>N182*VLOOKUP('Données projet'!$B$9,Paramètres!$A$1:$I$89,3,0)*VLOOKUP('Données projet'!$B$9,Paramètres!$A$1:$I$89,5,0)</f>
        <v>-1.2710188457276673E-13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382.94446752777549</v>
      </c>
      <c r="T182" s="62">
        <f t="shared" si="142"/>
        <v>476.29465646955543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0.44442353078632857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1.1517931099958479E-21</v>
      </c>
      <c r="AC182" s="24">
        <f t="shared" si="163"/>
        <v>0.44442353078632857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850.00000000000045</v>
      </c>
      <c r="AJ182" s="14">
        <f>AI182*VLOOKUP('Données projet'!$B$10,Paramètres!$A$1:$I$89,3,0)*VLOOKUP('Données projet'!$B$10,Paramètres!$A$1:$I$89,5,0)</f>
        <v>419.90000000000026</v>
      </c>
      <c r="AK182" s="14">
        <f t="shared" si="164"/>
        <v>95.799614109391214</v>
      </c>
      <c r="AL182" s="22">
        <f t="shared" si="165"/>
        <v>898.17682790719027</v>
      </c>
      <c r="AM182" s="62">
        <f t="shared" si="113"/>
        <v>1191.5101612405235</v>
      </c>
      <c r="AN182" s="62">
        <f ca="1">AVERAGE(OFFSET($AM$3,0,0,'Données projet'!$E$10+1,1))-AVERAGE(OFFSET($H$3,0,0,'Données projet'!$E$10+1,1))</f>
        <v>473.90982075211258</v>
      </c>
      <c r="AO182" s="62">
        <f t="shared" si="144"/>
        <v>127.17661287657279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0.32985900735180418</v>
      </c>
      <c r="AV182" s="23">
        <f>EXP(-LN(2)/25)*AV181+(1-EXP(-LN(2)/25))/(LN(2)/25)*Calculateur!AQ182*Calculateur!AS182*VLOOKUP('Données projet'!$B$10,Paramètres!$A$1:$I$89,3,0)*0.475*44/12</f>
        <v>2.1627042330279057E-2</v>
      </c>
      <c r="AW182" s="23">
        <f>EXP(-LN(2)/2)*AW181+(1-EXP(-LN(2)/2))/(LN(2)/2)*AQ182*AT182*VLOOKUP('Données projet'!$B$10,Paramètres!$A$1:$I$89,3,0)*0.475*44/12</f>
        <v>7.851616497885948E-23</v>
      </c>
      <c r="AX182" s="23">
        <f t="shared" si="166"/>
        <v>0.35148604968208325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2">
        <f t="shared" si="140"/>
        <v>23.738552844733956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70">
        <f t="shared" si="110"/>
        <v>485.47147953791148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-2.2737367544323206E-13</v>
      </c>
      <c r="O183" s="14">
        <f>N183*VLOOKUP('Données projet'!$B$9,Paramètres!$A$1:$I$89,3,0)*VLOOKUP('Données projet'!$B$9,Paramètres!$A$1:$I$89,5,0)</f>
        <v>-1.2710188457276673E-13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382.94446752777549</v>
      </c>
      <c r="T183" s="62">
        <f t="shared" si="142"/>
        <v>476.29465646955543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0.43570865641919637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8.1444071860200706E-22</v>
      </c>
      <c r="AC183" s="24">
        <f t="shared" si="163"/>
        <v>0.43570865641919637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850.00000000000045</v>
      </c>
      <c r="AJ183" s="14">
        <f>AI183*VLOOKUP('Données projet'!$B$10,Paramètres!$A$1:$I$89,3,0)*VLOOKUP('Données projet'!$B$10,Paramètres!$A$1:$I$89,5,0)</f>
        <v>419.90000000000026</v>
      </c>
      <c r="AK183" s="14">
        <f t="shared" si="164"/>
        <v>95.799614109391214</v>
      </c>
      <c r="AL183" s="22">
        <f t="shared" si="165"/>
        <v>898.17682790719027</v>
      </c>
      <c r="AM183" s="62">
        <f t="shared" si="113"/>
        <v>1191.5101612405235</v>
      </c>
      <c r="AN183" s="62">
        <f ca="1">AVERAGE(OFFSET($AM$3,0,0,'Données projet'!$E$10+1,1))-AVERAGE(OFFSET($H$3,0,0,'Données projet'!$E$10+1,1))</f>
        <v>473.90982075211258</v>
      </c>
      <c r="AO183" s="62">
        <f t="shared" si="144"/>
        <v>127.17661287657279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0.32339067341176353</v>
      </c>
      <c r="AV183" s="23">
        <f>EXP(-LN(2)/25)*AV182+(1-EXP(-LN(2)/25))/(LN(2)/25)*Calculateur!AQ183*Calculateur!AS183*VLOOKUP('Données projet'!$B$10,Paramètres!$A$1:$I$89,3,0)*0.475*44/12</f>
        <v>2.1035649720440849E-2</v>
      </c>
      <c r="AW183" s="23">
        <f>EXP(-LN(2)/2)*AW182+(1-EXP(-LN(2)/2))/(LN(2)/2)*AQ183*AT183*VLOOKUP('Données projet'!$B$10,Paramètres!$A$1:$I$89,3,0)*0.475*44/12</f>
        <v>5.5519312689313255E-23</v>
      </c>
      <c r="AX183" s="23">
        <f t="shared" si="166"/>
        <v>0.34442632313220439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2">
        <f t="shared" si="140"/>
        <v>23.855045162692459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70">
        <f t="shared" si="110"/>
        <v>486.51211199168915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-2.2737367544323206E-13</v>
      </c>
      <c r="O184" s="14">
        <f>N184*VLOOKUP('Données projet'!$B$9,Paramètres!$A$1:$I$89,3,0)*VLOOKUP('Données projet'!$B$9,Paramètres!$A$1:$I$89,5,0)</f>
        <v>-1.2710188457276673E-13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382.94446752777549</v>
      </c>
      <c r="T184" s="62">
        <f t="shared" si="142"/>
        <v>476.29465646955543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0.42716467542285513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5.7589655499792393E-22</v>
      </c>
      <c r="AC184" s="24">
        <f t="shared" si="163"/>
        <v>0.42716467542285513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850.00000000000045</v>
      </c>
      <c r="AJ184" s="14">
        <f>AI184*VLOOKUP('Données projet'!$B$10,Paramètres!$A$1:$I$89,3,0)*VLOOKUP('Données projet'!$B$10,Paramètres!$A$1:$I$89,5,0)</f>
        <v>419.90000000000026</v>
      </c>
      <c r="AK184" s="14">
        <f t="shared" si="164"/>
        <v>95.799614109391214</v>
      </c>
      <c r="AL184" s="22">
        <f t="shared" si="165"/>
        <v>898.17682790719027</v>
      </c>
      <c r="AM184" s="62">
        <f t="shared" si="113"/>
        <v>1191.5101612405235</v>
      </c>
      <c r="AN184" s="62">
        <f ca="1">AVERAGE(OFFSET($AM$3,0,0,'Données projet'!$E$10+1,1))-AVERAGE(OFFSET($H$3,0,0,'Données projet'!$E$10+1,1))</f>
        <v>473.90982075211258</v>
      </c>
      <c r="AO184" s="62">
        <f t="shared" si="144"/>
        <v>127.17661287657279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0.3170491795549929</v>
      </c>
      <c r="AV184" s="23">
        <f>EXP(-LN(2)/25)*AV183+(1-EXP(-LN(2)/25))/(LN(2)/25)*Calculateur!AQ184*Calculateur!AS184*VLOOKUP('Données projet'!$B$10,Paramètres!$A$1:$I$89,3,0)*0.475*44/12</f>
        <v>2.0460428772618652E-2</v>
      </c>
      <c r="AW184" s="23">
        <f>EXP(-LN(2)/2)*AW183+(1-EXP(-LN(2)/2))/(LN(2)/2)*AQ184*AT184*VLOOKUP('Données projet'!$B$10,Paramètres!$A$1:$I$89,3,0)*0.475*44/12</f>
        <v>3.925808248942974E-23</v>
      </c>
      <c r="AX184" s="23">
        <f t="shared" si="166"/>
        <v>0.33750960832761157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2">
        <f t="shared" si="140"/>
        <v>23.971462588829898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70">
        <f t="shared" si="110"/>
        <v>487.55261400887855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-2.2737367544323206E-13</v>
      </c>
      <c r="O185" s="14">
        <f>N185*VLOOKUP('Données projet'!$B$9,Paramètres!$A$1:$I$89,3,0)*VLOOKUP('Données projet'!$B$9,Paramètres!$A$1:$I$89,5,0)</f>
        <v>-1.2710188457276673E-13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382.94446752777549</v>
      </c>
      <c r="T185" s="62">
        <f t="shared" si="142"/>
        <v>476.29465646955543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0.41878823668253828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4.0722035930100353E-22</v>
      </c>
      <c r="AC185" s="24">
        <f t="shared" si="163"/>
        <v>0.41878823668253828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850.00000000000045</v>
      </c>
      <c r="AJ185" s="14">
        <f>AI185*VLOOKUP('Données projet'!$B$10,Paramètres!$A$1:$I$89,3,0)*VLOOKUP('Données projet'!$B$10,Paramètres!$A$1:$I$89,5,0)</f>
        <v>419.90000000000026</v>
      </c>
      <c r="AK185" s="14">
        <f t="shared" si="164"/>
        <v>95.799614109391214</v>
      </c>
      <c r="AL185" s="22">
        <f t="shared" si="165"/>
        <v>898.17682790719027</v>
      </c>
      <c r="AM185" s="62">
        <f t="shared" si="113"/>
        <v>1191.5101612405235</v>
      </c>
      <c r="AN185" s="62">
        <f ca="1">AVERAGE(OFFSET($AM$3,0,0,'Données projet'!$E$10+1,1))-AVERAGE(OFFSET($H$3,0,0,'Données projet'!$E$10+1,1))</f>
        <v>473.90982075211258</v>
      </c>
      <c r="AO185" s="62">
        <f t="shared" si="144"/>
        <v>127.17661287657279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0.31083203852482422</v>
      </c>
      <c r="AV185" s="23">
        <f>EXP(-LN(2)/25)*AV184+(1-EXP(-LN(2)/25))/(LN(2)/25)*Calculateur!AQ185*Calculateur!AS185*VLOOKUP('Données projet'!$B$10,Paramètres!$A$1:$I$89,3,0)*0.475*44/12</f>
        <v>1.9900937271864209E-2</v>
      </c>
      <c r="AW185" s="23">
        <f>EXP(-LN(2)/2)*AW184+(1-EXP(-LN(2)/2))/(LN(2)/2)*AQ185*AT185*VLOOKUP('Données projet'!$B$10,Paramètres!$A$1:$I$89,3,0)*0.475*44/12</f>
        <v>2.7759656344656628E-23</v>
      </c>
      <c r="AX185" s="23">
        <f t="shared" si="166"/>
        <v>0.33073297579668842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2">
        <f t="shared" si="140"/>
        <v>24.087805582395383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70">
        <f t="shared" si="110"/>
        <v>488.59298638933842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-2.2737367544323206E-13</v>
      </c>
      <c r="O186" s="14">
        <f>N186*VLOOKUP('Données projet'!$B$9,Paramètres!$A$1:$I$89,3,0)*VLOOKUP('Données projet'!$B$9,Paramètres!$A$1:$I$89,5,0)</f>
        <v>-1.2710188457276673E-13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382.94446752777549</v>
      </c>
      <c r="T186" s="62">
        <f t="shared" si="142"/>
        <v>476.29465646955543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0.41057605479679593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2.8794827749896196E-22</v>
      </c>
      <c r="AC186" s="24">
        <f t="shared" si="163"/>
        <v>0.41057605479679593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850.00000000000045</v>
      </c>
      <c r="AJ186" s="14">
        <f>AI186*VLOOKUP('Données projet'!$B$10,Paramètres!$A$1:$I$89,3,0)*VLOOKUP('Données projet'!$B$10,Paramètres!$A$1:$I$89,5,0)</f>
        <v>419.90000000000026</v>
      </c>
      <c r="AK186" s="14">
        <f t="shared" si="164"/>
        <v>95.799614109391214</v>
      </c>
      <c r="AL186" s="22">
        <f t="shared" si="165"/>
        <v>898.17682790719027</v>
      </c>
      <c r="AM186" s="62">
        <f t="shared" si="113"/>
        <v>1191.5101612405235</v>
      </c>
      <c r="AN186" s="62">
        <f ca="1">AVERAGE(OFFSET($AM$3,0,0,'Données projet'!$E$10+1,1))-AVERAGE(OFFSET($H$3,0,0,'Données projet'!$E$10+1,1))</f>
        <v>473.90982075211258</v>
      </c>
      <c r="AO186" s="62">
        <f t="shared" si="144"/>
        <v>127.17661287657279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0.30473681183817558</v>
      </c>
      <c r="AV186" s="23">
        <f>EXP(-LN(2)/25)*AV185+(1-EXP(-LN(2)/25))/(LN(2)/25)*Calculateur!AQ186*Calculateur!AS186*VLOOKUP('Données projet'!$B$10,Paramètres!$A$1:$I$89,3,0)*0.475*44/12</f>
        <v>1.9356745095620274E-2</v>
      </c>
      <c r="AW186" s="23">
        <f>EXP(-LN(2)/2)*AW185+(1-EXP(-LN(2)/2))/(LN(2)/2)*AQ186*AT186*VLOOKUP('Données projet'!$B$10,Paramètres!$A$1:$I$89,3,0)*0.475*44/12</f>
        <v>1.962904124471487E-23</v>
      </c>
      <c r="AX186" s="23">
        <f t="shared" si="166"/>
        <v>0.32409355693379588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2">
        <f t="shared" si="140"/>
        <v>24.204074597328436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70">
        <f t="shared" si="110"/>
        <v>489.63322992368012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-2.2737367544323206E-13</v>
      </c>
      <c r="O187" s="14">
        <f>N187*VLOOKUP('Données projet'!$B$9,Paramètres!$A$1:$I$89,3,0)*VLOOKUP('Données projet'!$B$9,Paramètres!$A$1:$I$89,5,0)</f>
        <v>-1.2710188457276673E-13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382.94446752777549</v>
      </c>
      <c r="T187" s="62">
        <f t="shared" si="142"/>
        <v>476.29465646955543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0.40252490878889663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2.0361017965050177E-22</v>
      </c>
      <c r="AC187" s="24">
        <f t="shared" si="163"/>
        <v>0.40252490878889663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850.00000000000045</v>
      </c>
      <c r="AJ187" s="14">
        <f>AI187*VLOOKUP('Données projet'!$B$10,Paramètres!$A$1:$I$89,3,0)*VLOOKUP('Données projet'!$B$10,Paramètres!$A$1:$I$89,5,0)</f>
        <v>419.90000000000026</v>
      </c>
      <c r="AK187" s="14">
        <f t="shared" si="164"/>
        <v>95.799614109391214</v>
      </c>
      <c r="AL187" s="22">
        <f t="shared" si="165"/>
        <v>898.17682790719027</v>
      </c>
      <c r="AM187" s="62">
        <f t="shared" si="113"/>
        <v>1191.5101612405235</v>
      </c>
      <c r="AN187" s="62">
        <f ca="1">AVERAGE(OFFSET($AM$3,0,0,'Données projet'!$E$10+1,1))-AVERAGE(OFFSET($H$3,0,0,'Données projet'!$E$10+1,1))</f>
        <v>473.90982075211258</v>
      </c>
      <c r="AO187" s="62">
        <f t="shared" si="144"/>
        <v>127.17661287657279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0.29876110882913093</v>
      </c>
      <c r="AV187" s="23">
        <f>EXP(-LN(2)/25)*AV186+(1-EXP(-LN(2)/25))/(LN(2)/25)*Calculateur!AQ187*Calculateur!AS187*VLOOKUP('Données projet'!$B$10,Paramètres!$A$1:$I$89,3,0)*0.475*44/12</f>
        <v>1.8827433883053551E-2</v>
      </c>
      <c r="AW187" s="23">
        <f>EXP(-LN(2)/2)*AW186+(1-EXP(-LN(2)/2))/(LN(2)/2)*AQ187*AT187*VLOOKUP('Données projet'!$B$10,Paramètres!$A$1:$I$89,3,0)*0.475*44/12</f>
        <v>1.3879828172328314E-23</v>
      </c>
      <c r="AX187" s="23">
        <f t="shared" si="166"/>
        <v>0.31758854271218451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2">
        <f t="shared" si="140"/>
        <v>24.320270082348852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70">
        <f t="shared" si="110"/>
        <v>490.67334539342403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-2.2737367544323206E-13</v>
      </c>
      <c r="O188" s="14">
        <f>N188*VLOOKUP('Données projet'!$B$9,Paramètres!$A$1:$I$89,3,0)*VLOOKUP('Données projet'!$B$9,Paramètres!$A$1:$I$89,5,0)</f>
        <v>-1.2710188457276673E-13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382.94446752777549</v>
      </c>
      <c r="T188" s="62">
        <f t="shared" si="142"/>
        <v>476.29465646955543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0.39463164084349805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1.4397413874948098E-22</v>
      </c>
      <c r="AC188" s="24">
        <f t="shared" si="163"/>
        <v>0.39463164084349805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850.00000000000045</v>
      </c>
      <c r="AJ188" s="14">
        <f>AI188*VLOOKUP('Données projet'!$B$10,Paramètres!$A$1:$I$89,3,0)*VLOOKUP('Données projet'!$B$10,Paramètres!$A$1:$I$89,5,0)</f>
        <v>419.90000000000026</v>
      </c>
      <c r="AK188" s="14">
        <f t="shared" si="164"/>
        <v>95.799614109391214</v>
      </c>
      <c r="AL188" s="22">
        <f t="shared" si="165"/>
        <v>898.17682790719027</v>
      </c>
      <c r="AM188" s="62">
        <f t="shared" si="113"/>
        <v>1191.5101612405235</v>
      </c>
      <c r="AN188" s="62">
        <f ca="1">AVERAGE(OFFSET($AM$3,0,0,'Données projet'!$E$10+1,1))-AVERAGE(OFFSET($H$3,0,0,'Données projet'!$E$10+1,1))</f>
        <v>473.90982075211258</v>
      </c>
      <c r="AO188" s="62">
        <f t="shared" si="144"/>
        <v>127.17661287657279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0.2929025857112747</v>
      </c>
      <c r="AV188" s="23">
        <f>EXP(-LN(2)/25)*AV187+(1-EXP(-LN(2)/25))/(LN(2)/25)*Calculateur!AQ188*Calculateur!AS188*VLOOKUP('Données projet'!$B$10,Paramètres!$A$1:$I$89,3,0)*0.475*44/12</f>
        <v>1.8312596713429736E-2</v>
      </c>
      <c r="AW188" s="23">
        <f>EXP(-LN(2)/2)*AW187+(1-EXP(-LN(2)/2))/(LN(2)/2)*AQ188*AT188*VLOOKUP('Données projet'!$B$10,Paramètres!$A$1:$I$89,3,0)*0.475*44/12</f>
        <v>9.8145206223574349E-24</v>
      </c>
      <c r="AX188" s="23">
        <f t="shared" si="166"/>
        <v>0.31121518242470442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2">
        <f t="shared" si="140"/>
        <v>24.436392481044596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70">
        <f t="shared" si="110"/>
        <v>491.71333357115242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-2.2737367544323206E-13</v>
      </c>
      <c r="O189" s="14">
        <f>N189*VLOOKUP('Données projet'!$B$9,Paramètres!$A$1:$I$89,3,0)*VLOOKUP('Données projet'!$B$9,Paramètres!$A$1:$I$89,5,0)</f>
        <v>-1.2710188457276673E-13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382.94446752777549</v>
      </c>
      <c r="T189" s="62">
        <f t="shared" si="142"/>
        <v>476.29465646955543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0.38689315506809069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1.0180508982525088E-22</v>
      </c>
      <c r="AC189" s="24">
        <f t="shared" si="163"/>
        <v>0.38689315506809069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850.00000000000045</v>
      </c>
      <c r="AJ189" s="14">
        <f>AI189*VLOOKUP('Données projet'!$B$10,Paramètres!$A$1:$I$89,3,0)*VLOOKUP('Données projet'!$B$10,Paramètres!$A$1:$I$89,5,0)</f>
        <v>419.90000000000026</v>
      </c>
      <c r="AK189" s="14">
        <f t="shared" si="164"/>
        <v>95.799614109391214</v>
      </c>
      <c r="AL189" s="22">
        <f t="shared" si="165"/>
        <v>898.17682790719027</v>
      </c>
      <c r="AM189" s="62">
        <f t="shared" si="113"/>
        <v>1191.5101612405235</v>
      </c>
      <c r="AN189" s="62">
        <f ca="1">AVERAGE(OFFSET($AM$3,0,0,'Données projet'!$E$10+1,1))-AVERAGE(OFFSET($H$3,0,0,'Données projet'!$E$10+1,1))</f>
        <v>473.90982075211258</v>
      </c>
      <c r="AO189" s="62">
        <f t="shared" si="144"/>
        <v>127.17661287657279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0.28715894465841335</v>
      </c>
      <c r="AV189" s="23">
        <f>EXP(-LN(2)/25)*AV188+(1-EXP(-LN(2)/25))/(LN(2)/25)*Calculateur!AQ189*Calculateur!AS189*VLOOKUP('Données projet'!$B$10,Paramètres!$A$1:$I$89,3,0)*0.475*44/12</f>
        <v>1.7811837793283391E-2</v>
      </c>
      <c r="AW189" s="23">
        <f>EXP(-LN(2)/2)*AW188+(1-EXP(-LN(2)/2))/(LN(2)/2)*AQ189*AT189*VLOOKUP('Données projet'!$B$10,Paramètres!$A$1:$I$89,3,0)*0.475*44/12</f>
        <v>6.9399140861641569E-24</v>
      </c>
      <c r="AX189" s="23">
        <f t="shared" si="166"/>
        <v>0.30497078245169673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2">
        <f t="shared" si="140"/>
        <v>24.552442231957805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70">
        <f t="shared" si="110"/>
        <v>492.75319522065962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-2.2737367544323206E-13</v>
      </c>
      <c r="O190" s="14">
        <f>N190*VLOOKUP('Données projet'!$B$9,Paramètres!$A$1:$I$89,3,0)*VLOOKUP('Données projet'!$B$9,Paramètres!$A$1:$I$89,5,0)</f>
        <v>-1.2710188457276673E-13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382.94446752777549</v>
      </c>
      <c r="T190" s="62">
        <f t="shared" si="142"/>
        <v>476.29465646955543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0.3793064162787288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7.1987069374740491E-23</v>
      </c>
      <c r="AC190" s="24">
        <f t="shared" si="163"/>
        <v>0.3793064162787288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850.00000000000045</v>
      </c>
      <c r="AJ190" s="14">
        <f>AI190*VLOOKUP('Données projet'!$B$10,Paramètres!$A$1:$I$89,3,0)*VLOOKUP('Données projet'!$B$10,Paramètres!$A$1:$I$89,5,0)</f>
        <v>419.90000000000026</v>
      </c>
      <c r="AK190" s="14">
        <f t="shared" si="164"/>
        <v>95.799614109391214</v>
      </c>
      <c r="AL190" s="22">
        <f t="shared" si="165"/>
        <v>898.17682790719027</v>
      </c>
      <c r="AM190" s="62">
        <f t="shared" si="113"/>
        <v>1191.5101612405235</v>
      </c>
      <c r="AN190" s="62">
        <f ca="1">AVERAGE(OFFSET($AM$3,0,0,'Données projet'!$E$10+1,1))-AVERAGE(OFFSET($H$3,0,0,'Données projet'!$E$10+1,1))</f>
        <v>473.90982075211258</v>
      </c>
      <c r="AO190" s="62">
        <f t="shared" si="144"/>
        <v>127.17661287657279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0.28152793290332351</v>
      </c>
      <c r="AV190" s="23">
        <f>EXP(-LN(2)/25)*AV189+(1-EXP(-LN(2)/25))/(LN(2)/25)*Calculateur!AQ190*Calculateur!AS190*VLOOKUP('Données projet'!$B$10,Paramètres!$A$1:$I$89,3,0)*0.475*44/12</f>
        <v>1.7324772152142218E-2</v>
      </c>
      <c r="AW190" s="23">
        <f>EXP(-LN(2)/2)*AW189+(1-EXP(-LN(2)/2))/(LN(2)/2)*AQ190*AT190*VLOOKUP('Données projet'!$B$10,Paramètres!$A$1:$I$89,3,0)*0.475*44/12</f>
        <v>4.9072603111787175E-24</v>
      </c>
      <c r="AX190" s="23">
        <f t="shared" si="166"/>
        <v>0.29885270505546574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2">
        <f t="shared" si="140"/>
        <v>24.668419768668819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70">
        <f t="shared" si="110"/>
        <v>493.79293109709795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-2.2737367544323206E-13</v>
      </c>
      <c r="O191" s="14">
        <f>N191*VLOOKUP('Données projet'!$B$9,Paramètres!$A$1:$I$89,3,0)*VLOOKUP('Données projet'!$B$9,Paramètres!$A$1:$I$89,5,0)</f>
        <v>-1.2710188457276673E-13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382.94446752777549</v>
      </c>
      <c r="T191" s="62">
        <f t="shared" si="142"/>
        <v>476.29465646955543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0.37186844880957254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5.0902544912625441E-23</v>
      </c>
      <c r="AC191" s="24">
        <f t="shared" si="163"/>
        <v>0.37186844880957254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850.00000000000045</v>
      </c>
      <c r="AJ191" s="14">
        <f>AI191*VLOOKUP('Données projet'!$B$10,Paramètres!$A$1:$I$89,3,0)*VLOOKUP('Données projet'!$B$10,Paramètres!$A$1:$I$89,5,0)</f>
        <v>419.90000000000026</v>
      </c>
      <c r="AK191" s="14">
        <f t="shared" si="164"/>
        <v>95.799614109391214</v>
      </c>
      <c r="AL191" s="22">
        <f t="shared" si="165"/>
        <v>898.17682790719027</v>
      </c>
      <c r="AM191" s="62">
        <f t="shared" si="113"/>
        <v>1191.5101612405235</v>
      </c>
      <c r="AN191" s="62">
        <f ca="1">AVERAGE(OFFSET($AM$3,0,0,'Données projet'!$E$10+1,1))-AVERAGE(OFFSET($H$3,0,0,'Données projet'!$E$10+1,1))</f>
        <v>473.90982075211258</v>
      </c>
      <c r="AO191" s="62">
        <f t="shared" si="144"/>
        <v>127.17661287657279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0.27600734185417297</v>
      </c>
      <c r="AV191" s="23">
        <f>EXP(-LN(2)/25)*AV190+(1-EXP(-LN(2)/25))/(LN(2)/25)*Calculateur!AQ191*Calculateur!AS191*VLOOKUP('Données projet'!$B$10,Paramètres!$A$1:$I$89,3,0)*0.475*44/12</f>
        <v>1.6851025346571718E-2</v>
      </c>
      <c r="AW191" s="23">
        <f>EXP(-LN(2)/2)*AW190+(1-EXP(-LN(2)/2))/(LN(2)/2)*AQ191*AT191*VLOOKUP('Données projet'!$B$10,Paramètres!$A$1:$I$89,3,0)*0.475*44/12</f>
        <v>3.4699570430820785E-24</v>
      </c>
      <c r="AX191" s="23">
        <f t="shared" si="166"/>
        <v>0.29285836720074471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2">
        <f t="shared" si="140"/>
        <v>24.784325519878397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70">
        <f t="shared" si="110"/>
        <v>494.83254194712129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-2.2737367544323206E-13</v>
      </c>
      <c r="O192" s="14">
        <f>N192*VLOOKUP('Données projet'!$B$9,Paramètres!$A$1:$I$89,3,0)*VLOOKUP('Données projet'!$B$9,Paramètres!$A$1:$I$89,5,0)</f>
        <v>-1.2710188457276673E-13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382.94446752777549</v>
      </c>
      <c r="T192" s="62">
        <f t="shared" si="142"/>
        <v>476.29465646955543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0.36457633534577422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3.5993534687370246E-23</v>
      </c>
      <c r="AC192" s="24">
        <f t="shared" si="163"/>
        <v>0.36457633534577422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850.00000000000045</v>
      </c>
      <c r="AJ192" s="14">
        <f>AI192*VLOOKUP('Données projet'!$B$10,Paramètres!$A$1:$I$89,3,0)*VLOOKUP('Données projet'!$B$10,Paramètres!$A$1:$I$89,5,0)</f>
        <v>419.90000000000026</v>
      </c>
      <c r="AK192" s="14">
        <f t="shared" si="164"/>
        <v>95.799614109391214</v>
      </c>
      <c r="AL192" s="22">
        <f t="shared" si="165"/>
        <v>898.17682790719027</v>
      </c>
      <c r="AM192" s="62">
        <f t="shared" si="113"/>
        <v>1191.5101612405235</v>
      </c>
      <c r="AN192" s="62">
        <f ca="1">AVERAGE(OFFSET($AM$3,0,0,'Données projet'!$E$10+1,1))-AVERAGE(OFFSET($H$3,0,0,'Données projet'!$E$10+1,1))</f>
        <v>473.90982075211258</v>
      </c>
      <c r="AO192" s="62">
        <f t="shared" si="144"/>
        <v>127.17661287657279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0.27059500622826821</v>
      </c>
      <c r="AV192" s="23">
        <f>EXP(-LN(2)/25)*AV191+(1-EXP(-LN(2)/25))/(LN(2)/25)*Calculateur!AQ192*Calculateur!AS192*VLOOKUP('Données projet'!$B$10,Paramètres!$A$1:$I$89,3,0)*0.475*44/12</f>
        <v>1.6390233172312803E-2</v>
      </c>
      <c r="AW192" s="23">
        <f>EXP(-LN(2)/2)*AW191+(1-EXP(-LN(2)/2))/(LN(2)/2)*AQ192*AT192*VLOOKUP('Données projet'!$B$10,Paramètres!$A$1:$I$89,3,0)*0.475*44/12</f>
        <v>2.4536301555893587E-24</v>
      </c>
      <c r="AX192" s="23">
        <f t="shared" si="166"/>
        <v>0.28698523940058102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2">
        <f t="shared" si="140"/>
        <v>24.900159909488174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70">
        <f t="shared" si="110"/>
        <v>495.87202850902497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-2.2737367544323206E-13</v>
      </c>
      <c r="O193" s="14">
        <f>N193*VLOOKUP('Données projet'!$B$9,Paramètres!$A$1:$I$89,3,0)*VLOOKUP('Données projet'!$B$9,Paramètres!$A$1:$I$89,5,0)</f>
        <v>-1.2710188457276673E-13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382.94446752777549</v>
      </c>
      <c r="T193" s="62">
        <f t="shared" si="142"/>
        <v>476.29465646955543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0.35742721577925096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2.5451272456312721E-23</v>
      </c>
      <c r="AC193" s="24">
        <f t="shared" si="163"/>
        <v>0.35742721577925096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850.00000000000045</v>
      </c>
      <c r="AJ193" s="14">
        <f>AI193*VLOOKUP('Données projet'!$B$10,Paramètres!$A$1:$I$89,3,0)*VLOOKUP('Données projet'!$B$10,Paramètres!$A$1:$I$89,5,0)</f>
        <v>419.90000000000026</v>
      </c>
      <c r="AK193" s="14">
        <f t="shared" si="164"/>
        <v>95.799614109391214</v>
      </c>
      <c r="AL193" s="22">
        <f t="shared" si="165"/>
        <v>898.17682790719027</v>
      </c>
      <c r="AM193" s="62">
        <f t="shared" si="113"/>
        <v>1191.5101612405235</v>
      </c>
      <c r="AN193" s="62">
        <f ca="1">AVERAGE(OFFSET($AM$3,0,0,'Données projet'!$E$10+1,1))-AVERAGE(OFFSET($H$3,0,0,'Données projet'!$E$10+1,1))</f>
        <v>473.90982075211258</v>
      </c>
      <c r="AO193" s="62">
        <f t="shared" si="144"/>
        <v>127.17661287657279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0.26528880320278869</v>
      </c>
      <c r="AV193" s="23">
        <f>EXP(-LN(2)/25)*AV192+(1-EXP(-LN(2)/25))/(LN(2)/25)*Calculateur!AQ193*Calculateur!AS193*VLOOKUP('Données projet'!$B$10,Paramètres!$A$1:$I$89,3,0)*0.475*44/12</f>
        <v>1.5942041384291009E-2</v>
      </c>
      <c r="AW193" s="23">
        <f>EXP(-LN(2)/2)*AW192+(1-EXP(-LN(2)/2))/(LN(2)/2)*AQ193*AT193*VLOOKUP('Données projet'!$B$10,Paramètres!$A$1:$I$89,3,0)*0.475*44/12</f>
        <v>1.7349785215410392E-24</v>
      </c>
      <c r="AX193" s="23">
        <f t="shared" si="166"/>
        <v>0.2812308445870797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2">
        <f t="shared" si="140"/>
        <v>25.015923356679352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70">
        <f t="shared" si="110"/>
        <v>496.91139151288291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-2.2737367544323206E-13</v>
      </c>
      <c r="O194" s="14">
        <f>N194*VLOOKUP('Données projet'!$B$9,Paramètres!$A$1:$I$89,3,0)*VLOOKUP('Données projet'!$B$9,Paramètres!$A$1:$I$89,5,0)</f>
        <v>-1.2710188457276673E-13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382.94446752777549</v>
      </c>
      <c r="T194" s="62">
        <f t="shared" si="142"/>
        <v>476.29465646955543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0.35041828608689485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1.7996767343685123E-23</v>
      </c>
      <c r="AC194" s="24">
        <f t="shared" si="163"/>
        <v>0.35041828608689485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850.00000000000045</v>
      </c>
      <c r="AJ194" s="14">
        <f>AI194*VLOOKUP('Données projet'!$B$10,Paramètres!$A$1:$I$89,3,0)*VLOOKUP('Données projet'!$B$10,Paramètres!$A$1:$I$89,5,0)</f>
        <v>419.90000000000026</v>
      </c>
      <c r="AK194" s="14">
        <f t="shared" si="164"/>
        <v>95.799614109391214</v>
      </c>
      <c r="AL194" s="22">
        <f t="shared" si="165"/>
        <v>898.17682790719027</v>
      </c>
      <c r="AM194" s="62">
        <f t="shared" si="113"/>
        <v>1191.5101612405235</v>
      </c>
      <c r="AN194" s="62">
        <f ca="1">AVERAGE(OFFSET($AM$3,0,0,'Données projet'!$E$10+1,1))-AVERAGE(OFFSET($H$3,0,0,'Données projet'!$E$10+1,1))</f>
        <v>473.90982075211258</v>
      </c>
      <c r="AO194" s="62">
        <f t="shared" si="144"/>
        <v>127.17661287657279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0.26008665158217453</v>
      </c>
      <c r="AV194" s="23">
        <f>EXP(-LN(2)/25)*AV193+(1-EXP(-LN(2)/25))/(LN(2)/25)*Calculateur!AQ194*Calculateur!AS194*VLOOKUP('Données projet'!$B$10,Paramètres!$A$1:$I$89,3,0)*0.475*44/12</f>
        <v>1.5506105424282051E-2</v>
      </c>
      <c r="AW194" s="23">
        <f>EXP(-LN(2)/2)*AW193+(1-EXP(-LN(2)/2))/(LN(2)/2)*AQ194*AT194*VLOOKUP('Données projet'!$B$10,Paramètres!$A$1:$I$89,3,0)*0.475*44/12</f>
        <v>1.2268150777946794E-24</v>
      </c>
      <c r="AX194" s="23">
        <f t="shared" si="166"/>
        <v>0.27559275700645658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2">
        <f t="shared" si="140"/>
        <v>25.131616275989707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70">
        <f t="shared" si="110"/>
        <v>497.95063168068179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-2.2737367544323206E-13</v>
      </c>
      <c r="O195" s="14">
        <f>N195*VLOOKUP('Données projet'!$B$9,Paramètres!$A$1:$I$89,3,0)*VLOOKUP('Données projet'!$B$9,Paramètres!$A$1:$I$89,5,0)</f>
        <v>-1.2710188457276673E-13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382.94446752777549</v>
      </c>
      <c r="T195" s="62">
        <f t="shared" si="142"/>
        <v>476.29465646955543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0.34354679723078085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1.272563622815636E-23</v>
      </c>
      <c r="AC195" s="24">
        <f t="shared" si="163"/>
        <v>0.34354679723078085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850.00000000000045</v>
      </c>
      <c r="AJ195" s="14">
        <f>AI195*VLOOKUP('Données projet'!$B$10,Paramètres!$A$1:$I$89,3,0)*VLOOKUP('Données projet'!$B$10,Paramètres!$A$1:$I$89,5,0)</f>
        <v>419.90000000000026</v>
      </c>
      <c r="AK195" s="14">
        <f t="shared" si="164"/>
        <v>95.799614109391214</v>
      </c>
      <c r="AL195" s="22">
        <f t="shared" si="165"/>
        <v>898.17682790719027</v>
      </c>
      <c r="AM195" s="62">
        <f t="shared" si="113"/>
        <v>1191.5101612405235</v>
      </c>
      <c r="AN195" s="62">
        <f ca="1">AVERAGE(OFFSET($AM$3,0,0,'Données projet'!$E$10+1,1))-AVERAGE(OFFSET($H$3,0,0,'Données projet'!$E$10+1,1))</f>
        <v>473.90982075211258</v>
      </c>
      <c r="AO195" s="62">
        <f t="shared" si="144"/>
        <v>127.17661287657279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0.25498651098184144</v>
      </c>
      <c r="AV195" s="23">
        <f>EXP(-LN(2)/25)*AV194+(1-EXP(-LN(2)/25))/(LN(2)/25)*Calculateur!AQ195*Calculateur!AS195*VLOOKUP('Données projet'!$B$10,Paramètres!$A$1:$I$89,3,0)*0.475*44/12</f>
        <v>1.5082090156024413E-2</v>
      </c>
      <c r="AW195" s="23">
        <f>EXP(-LN(2)/2)*AW194+(1-EXP(-LN(2)/2))/(LN(2)/2)*AQ195*AT195*VLOOKUP('Données projet'!$B$10,Paramètres!$A$1:$I$89,3,0)*0.475*44/12</f>
        <v>8.6748926077051962E-25</v>
      </c>
      <c r="AX195" s="23">
        <f t="shared" si="166"/>
        <v>0.27006860113786585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2">
        <f t="shared" si="140"/>
        <v>25.247239077388915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70">
        <f t="shared" ref="H196:H203" si="192">(B196+E196+F196)*44/12+(C196+D196)*0.475*44/12</f>
        <v>498.98974972645203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-2.2737367544323206E-13</v>
      </c>
      <c r="O196" s="14">
        <f>N196*VLOOKUP('Données projet'!$B$9,Paramètres!$A$1:$I$89,3,0)*VLOOKUP('Données projet'!$B$9,Paramètres!$A$1:$I$89,5,0)</f>
        <v>-1.2710188457276673E-13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382.94446752777549</v>
      </c>
      <c r="T196" s="62">
        <f t="shared" si="142"/>
        <v>476.29465646955543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0.33681005407994091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8.9983836718425614E-24</v>
      </c>
      <c r="AC196" s="24">
        <f t="shared" si="163"/>
        <v>0.33681005407994091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850.00000000000045</v>
      </c>
      <c r="AJ196" s="14">
        <f>AI196*VLOOKUP('Données projet'!$B$10,Paramètres!$A$1:$I$89,3,0)*VLOOKUP('Données projet'!$B$10,Paramètres!$A$1:$I$89,5,0)</f>
        <v>419.90000000000026</v>
      </c>
      <c r="AK196" s="14">
        <f t="shared" si="164"/>
        <v>95.799614109391214</v>
      </c>
      <c r="AL196" s="22">
        <f t="shared" si="165"/>
        <v>898.17682790719027</v>
      </c>
      <c r="AM196" s="62">
        <f t="shared" ref="AM196:AM203" si="193">AL196+(AD196+AE196)*44/12</f>
        <v>1191.5101612405235</v>
      </c>
      <c r="AN196" s="62">
        <f ca="1">AVERAGE(OFFSET($AM$3,0,0,'Données projet'!$E$10+1,1))-AVERAGE(OFFSET($H$3,0,0,'Données projet'!$E$10+1,1))</f>
        <v>473.90982075211258</v>
      </c>
      <c r="AO196" s="62">
        <f t="shared" si="144"/>
        <v>127.17661287657279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0.24998638102790227</v>
      </c>
      <c r="AV196" s="23">
        <f>EXP(-LN(2)/25)*AV195+(1-EXP(-LN(2)/25))/(LN(2)/25)*Calculateur!AQ196*Calculateur!AS196*VLOOKUP('Données projet'!$B$10,Paramètres!$A$1:$I$89,3,0)*0.475*44/12</f>
        <v>1.4669669607575275E-2</v>
      </c>
      <c r="AW196" s="23">
        <f>EXP(-LN(2)/2)*AW195+(1-EXP(-LN(2)/2))/(LN(2)/2)*AQ196*AT196*VLOOKUP('Données projet'!$B$10,Paramètres!$A$1:$I$89,3,0)*0.475*44/12</f>
        <v>6.1340753889733968E-25</v>
      </c>
      <c r="AX196" s="23">
        <f t="shared" si="166"/>
        <v>0.26465605063547754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2">
        <f t="shared" ref="D197:D203" si="202">IFERROR(EXP(-1.0587+0.8836*LN(C197)+0.284),0)</f>
        <v>25.362792166352278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70">
        <f t="shared" si="192"/>
        <v>500.0287463563966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-2.2737367544323206E-13</v>
      </c>
      <c r="O197" s="14">
        <f>N197*VLOOKUP('Données projet'!$B$9,Paramètres!$A$1:$I$89,3,0)*VLOOKUP('Données projet'!$B$9,Paramètres!$A$1:$I$89,5,0)</f>
        <v>-1.2710188457276673E-13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382.94446752777549</v>
      </c>
      <c r="T197" s="62">
        <f t="shared" ref="T197:T203" si="204">$T$3</f>
        <v>476.29465646955543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0.33020541435328138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6.3628181140781802E-24</v>
      </c>
      <c r="AC197" s="24">
        <f t="shared" si="163"/>
        <v>0.33020541435328138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850.00000000000045</v>
      </c>
      <c r="AJ197" s="14">
        <f>AI197*VLOOKUP('Données projet'!$B$10,Paramètres!$A$1:$I$89,3,0)*VLOOKUP('Données projet'!$B$10,Paramètres!$A$1:$I$89,5,0)</f>
        <v>419.90000000000026</v>
      </c>
      <c r="AK197" s="14">
        <f t="shared" si="164"/>
        <v>95.799614109391214</v>
      </c>
      <c r="AL197" s="22">
        <f t="shared" si="165"/>
        <v>898.17682790719027</v>
      </c>
      <c r="AM197" s="62">
        <f t="shared" si="193"/>
        <v>1191.5101612405235</v>
      </c>
      <c r="AN197" s="62">
        <f ca="1">AVERAGE(OFFSET($AM$3,0,0,'Données projet'!$E$10+1,1))-AVERAGE(OFFSET($H$3,0,0,'Données projet'!$E$10+1,1))</f>
        <v>473.90982075211258</v>
      </c>
      <c r="AO197" s="62">
        <f t="shared" ref="AO197:AO203" si="205">$AO$3</f>
        <v>127.17661287657279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0.24508430057258171</v>
      </c>
      <c r="AV197" s="23">
        <f>EXP(-LN(2)/25)*AV196+(1-EXP(-LN(2)/25))/(LN(2)/25)*Calculateur!AQ197*Calculateur!AS197*VLOOKUP('Données projet'!$B$10,Paramètres!$A$1:$I$89,3,0)*0.475*44/12</f>
        <v>1.4268526720711732E-2</v>
      </c>
      <c r="AW197" s="23">
        <f>EXP(-LN(2)/2)*AW196+(1-EXP(-LN(2)/2))/(LN(2)/2)*AQ197*AT197*VLOOKUP('Données projet'!$B$10,Paramètres!$A$1:$I$89,3,0)*0.475*44/12</f>
        <v>4.3374463038525981E-25</v>
      </c>
      <c r="AX197" s="23">
        <f t="shared" si="166"/>
        <v>0.25935282729329345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2">
        <f t="shared" si="202"/>
        <v>25.478275943932946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70">
        <f t="shared" si="192"/>
        <v>501.06762226901623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-2.2737367544323206E-13</v>
      </c>
      <c r="O198" s="14">
        <f>N198*VLOOKUP('Données projet'!$B$9,Paramètres!$A$1:$I$89,3,0)*VLOOKUP('Données projet'!$B$9,Paramètres!$A$1:$I$89,5,0)</f>
        <v>-1.2710188457276673E-13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382.94446752777549</v>
      </c>
      <c r="T198" s="62">
        <f t="shared" si="204"/>
        <v>476.29465646955543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0.32373028758322914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4.4991918359212807E-24</v>
      </c>
      <c r="AC198" s="24">
        <f t="shared" si="163"/>
        <v>0.32373028758322914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850.00000000000045</v>
      </c>
      <c r="AJ198" s="14">
        <f>AI198*VLOOKUP('Données projet'!$B$10,Paramètres!$A$1:$I$89,3,0)*VLOOKUP('Données projet'!$B$10,Paramètres!$A$1:$I$89,5,0)</f>
        <v>419.90000000000026</v>
      </c>
      <c r="AK198" s="14">
        <f t="shared" si="164"/>
        <v>95.799614109391214</v>
      </c>
      <c r="AL198" s="22">
        <f t="shared" si="165"/>
        <v>898.17682790719027</v>
      </c>
      <c r="AM198" s="62">
        <f t="shared" si="193"/>
        <v>1191.5101612405235</v>
      </c>
      <c r="AN198" s="62">
        <f ca="1">AVERAGE(OFFSET($AM$3,0,0,'Données projet'!$E$10+1,1))-AVERAGE(OFFSET($H$3,0,0,'Données projet'!$E$10+1,1))</f>
        <v>473.90982075211258</v>
      </c>
      <c r="AO198" s="62">
        <f t="shared" si="205"/>
        <v>127.17661287657279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0.24027834692501615</v>
      </c>
      <c r="AV198" s="23">
        <f>EXP(-LN(2)/25)*AV197+(1-EXP(-LN(2)/25))/(LN(2)/25)*Calculateur!AQ198*Calculateur!AS198*VLOOKUP('Données projet'!$B$10,Paramètres!$A$1:$I$89,3,0)*0.475*44/12</f>
        <v>1.387835310718466E-2</v>
      </c>
      <c r="AW198" s="23">
        <f>EXP(-LN(2)/2)*AW197+(1-EXP(-LN(2)/2))/(LN(2)/2)*AQ198*AT198*VLOOKUP('Données projet'!$B$10,Paramètres!$A$1:$I$89,3,0)*0.475*44/12</f>
        <v>3.0670376944866984E-25</v>
      </c>
      <c r="AX198" s="23">
        <f t="shared" si="166"/>
        <v>0.25415670003220081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2">
        <f t="shared" si="202"/>
        <v>25.593690806832573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70">
        <f t="shared" si="192"/>
        <v>502.10637815523307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-2.2737367544323206E-13</v>
      </c>
      <c r="O199" s="14">
        <f>N199*VLOOKUP('Données projet'!$B$9,Paramètres!$A$1:$I$89,3,0)*VLOOKUP('Données projet'!$B$9,Paramètres!$A$1:$I$89,5,0)</f>
        <v>-1.2710188457276673E-13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382.94446752777549</v>
      </c>
      <c r="T199" s="62">
        <f t="shared" si="204"/>
        <v>476.29465646955543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0.31738213409970029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3.1814090570390901E-24</v>
      </c>
      <c r="AC199" s="24">
        <f t="shared" si="163"/>
        <v>0.31738213409970029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850.00000000000045</v>
      </c>
      <c r="AJ199" s="14">
        <f>AI199*VLOOKUP('Données projet'!$B$10,Paramètres!$A$1:$I$89,3,0)*VLOOKUP('Données projet'!$B$10,Paramètres!$A$1:$I$89,5,0)</f>
        <v>419.90000000000026</v>
      </c>
      <c r="AK199" s="14">
        <f t="shared" si="164"/>
        <v>95.799614109391214</v>
      </c>
      <c r="AL199" s="22">
        <f t="shared" si="165"/>
        <v>898.17682790719027</v>
      </c>
      <c r="AM199" s="62">
        <f t="shared" si="193"/>
        <v>1191.5101612405235</v>
      </c>
      <c r="AN199" s="62">
        <f ca="1">AVERAGE(OFFSET($AM$3,0,0,'Données projet'!$E$10+1,1))-AVERAGE(OFFSET($H$3,0,0,'Données projet'!$E$10+1,1))</f>
        <v>473.90982075211258</v>
      </c>
      <c r="AO199" s="62">
        <f t="shared" si="205"/>
        <v>127.17661287657279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0.23556663509713707</v>
      </c>
      <c r="AV199" s="23">
        <f>EXP(-LN(2)/25)*AV198+(1-EXP(-LN(2)/25))/(LN(2)/25)*Calculateur!AQ199*Calculateur!AS199*VLOOKUP('Données projet'!$B$10,Paramètres!$A$1:$I$89,3,0)*0.475*44/12</f>
        <v>1.3498848811637825E-2</v>
      </c>
      <c r="AW199" s="23">
        <f>EXP(-LN(2)/2)*AW198+(1-EXP(-LN(2)/2))/(LN(2)/2)*AQ199*AT199*VLOOKUP('Données projet'!$B$10,Paramètres!$A$1:$I$89,3,0)*0.475*44/12</f>
        <v>2.168723151926299E-25</v>
      </c>
      <c r="AX199" s="23">
        <f t="shared" si="166"/>
        <v>0.24906548390877489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2">
        <f t="shared" si="202"/>
        <v>25.709037147470404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70">
        <f t="shared" si="192"/>
        <v>503.14501469851064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-2.2737367544323206E-13</v>
      </c>
      <c r="O200" s="14">
        <f>N200*VLOOKUP('Données projet'!$B$9,Paramètres!$A$1:$I$89,3,0)*VLOOKUP('Données projet'!$B$9,Paramètres!$A$1:$I$89,5,0)</f>
        <v>-1.2710188457276673E-13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382.94446752777549</v>
      </c>
      <c r="T200" s="62">
        <f t="shared" si="204"/>
        <v>476.29465646955543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0.31115846403399211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2.2495959179606403E-24</v>
      </c>
      <c r="AC200" s="24">
        <f t="shared" si="163"/>
        <v>0.31115846403399211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850.00000000000045</v>
      </c>
      <c r="AJ200" s="14">
        <f>AI200*VLOOKUP('Données projet'!$B$10,Paramètres!$A$1:$I$89,3,0)*VLOOKUP('Données projet'!$B$10,Paramètres!$A$1:$I$89,5,0)</f>
        <v>419.90000000000026</v>
      </c>
      <c r="AK200" s="14">
        <f t="shared" si="164"/>
        <v>95.799614109391214</v>
      </c>
      <c r="AL200" s="22">
        <f t="shared" si="165"/>
        <v>898.17682790719027</v>
      </c>
      <c r="AM200" s="62">
        <f t="shared" si="193"/>
        <v>1191.5101612405235</v>
      </c>
      <c r="AN200" s="62">
        <f ca="1">AVERAGE(OFFSET($AM$3,0,0,'Données projet'!$E$10+1,1))-AVERAGE(OFFSET($H$3,0,0,'Données projet'!$E$10+1,1))</f>
        <v>473.90982075211258</v>
      </c>
      <c r="AO200" s="62">
        <f t="shared" si="205"/>
        <v>127.17661287657279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0.23094731706434227</v>
      </c>
      <c r="AV200" s="23">
        <f>EXP(-LN(2)/25)*AV199+(1-EXP(-LN(2)/25))/(LN(2)/25)*Calculateur!AQ200*Calculateur!AS200*VLOOKUP('Données projet'!$B$10,Paramètres!$A$1:$I$89,3,0)*0.475*44/12</f>
        <v>1.3129722081009982E-2</v>
      </c>
      <c r="AW200" s="23">
        <f>EXP(-LN(2)/2)*AW199+(1-EXP(-LN(2)/2))/(LN(2)/2)*AQ200*AT200*VLOOKUP('Données projet'!$B$10,Paramètres!$A$1:$I$89,3,0)*0.475*44/12</f>
        <v>1.5335188472433492E-25</v>
      </c>
      <c r="AX200" s="23">
        <f t="shared" si="166"/>
        <v>0.24407703914535225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2">
        <f t="shared" si="202"/>
        <v>25.824315354051095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70">
        <f t="shared" si="192"/>
        <v>504.18353257497199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-2.2737367544323206E-13</v>
      </c>
      <c r="O201" s="14">
        <f>N201*VLOOKUP('Données projet'!$B$9,Paramètres!$A$1:$I$89,3,0)*VLOOKUP('Données projet'!$B$9,Paramètres!$A$1:$I$89,5,0)</f>
        <v>-1.2710188457276673E-13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382.94446752777549</v>
      </c>
      <c r="T201" s="62">
        <f t="shared" si="204"/>
        <v>476.29465646955543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0.30505683634220859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1.590704528519545E-24</v>
      </c>
      <c r="AC201" s="24">
        <f t="shared" si="163"/>
        <v>0.30505683634220859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850.00000000000045</v>
      </c>
      <c r="AJ201" s="14">
        <f>AI201*VLOOKUP('Données projet'!$B$10,Paramètres!$A$1:$I$89,3,0)*VLOOKUP('Données projet'!$B$10,Paramètres!$A$1:$I$89,5,0)</f>
        <v>419.90000000000026</v>
      </c>
      <c r="AK201" s="14">
        <f t="shared" si="164"/>
        <v>95.799614109391214</v>
      </c>
      <c r="AL201" s="22">
        <f t="shared" si="165"/>
        <v>898.17682790719027</v>
      </c>
      <c r="AM201" s="62">
        <f t="shared" si="193"/>
        <v>1191.5101612405235</v>
      </c>
      <c r="AN201" s="62">
        <f ca="1">AVERAGE(OFFSET($AM$3,0,0,'Données projet'!$E$10+1,1))-AVERAGE(OFFSET($H$3,0,0,'Données projet'!$E$10+1,1))</f>
        <v>473.90982075211258</v>
      </c>
      <c r="AO201" s="62">
        <f t="shared" si="205"/>
        <v>127.17661287657279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0.22641858104066476</v>
      </c>
      <c r="AV201" s="23">
        <f>EXP(-LN(2)/25)*AV200+(1-EXP(-LN(2)/25))/(LN(2)/25)*Calculateur!AQ201*Calculateur!AS201*VLOOKUP('Données projet'!$B$10,Paramètres!$A$1:$I$89,3,0)*0.475*44/12</f>
        <v>1.2770689140242687E-2</v>
      </c>
      <c r="AW201" s="23">
        <f>EXP(-LN(2)/2)*AW200+(1-EXP(-LN(2)/2))/(LN(2)/2)*AQ201*AT201*VLOOKUP('Données projet'!$B$10,Paramètres!$A$1:$I$89,3,0)*0.475*44/12</f>
        <v>1.0843615759631495E-25</v>
      </c>
      <c r="AX201" s="23">
        <f t="shared" si="166"/>
        <v>0.23918927018090744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2">
        <f t="shared" si="202"/>
        <v>25.939525810630993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70">
        <f t="shared" si="192"/>
        <v>505.22193245351531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-2.2737367544323206E-13</v>
      </c>
      <c r="O202" s="14">
        <f>N202*VLOOKUP('Données projet'!$B$9,Paramètres!$A$1:$I$89,3,0)*VLOOKUP('Données projet'!$B$9,Paramètres!$A$1:$I$89,5,0)</f>
        <v>-1.2710188457276673E-13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382.94446752777549</v>
      </c>
      <c r="T202" s="62">
        <f t="shared" si="204"/>
        <v>476.29465646955543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0.29907485784783555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1.1247979589803202E-24</v>
      </c>
      <c r="AC202" s="24">
        <f t="shared" si="163"/>
        <v>0.29907485784783555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850.00000000000045</v>
      </c>
      <c r="AJ202" s="14">
        <f>AI202*VLOOKUP('Données projet'!$B$10,Paramètres!$A$1:$I$89,3,0)*VLOOKUP('Données projet'!$B$10,Paramètres!$A$1:$I$89,5,0)</f>
        <v>419.90000000000026</v>
      </c>
      <c r="AK202" s="14">
        <f t="shared" si="164"/>
        <v>95.799614109391214</v>
      </c>
      <c r="AL202" s="22">
        <f t="shared" si="165"/>
        <v>898.17682790719027</v>
      </c>
      <c r="AM202" s="62">
        <f t="shared" si="193"/>
        <v>1191.5101612405235</v>
      </c>
      <c r="AN202" s="62">
        <f ca="1">AVERAGE(OFFSET($AM$3,0,0,'Données projet'!$E$10+1,1))-AVERAGE(OFFSET($H$3,0,0,'Données projet'!$E$10+1,1))</f>
        <v>473.90982075211258</v>
      </c>
      <c r="AO202" s="62">
        <f t="shared" si="205"/>
        <v>127.17661287657279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0.22197865076815534</v>
      </c>
      <c r="AV202" s="23">
        <f>EXP(-LN(2)/25)*AV201+(1-EXP(-LN(2)/25))/(LN(2)/25)*Calculateur!AQ202*Calculateur!AS202*VLOOKUP('Données projet'!$B$10,Paramètres!$A$1:$I$89,3,0)*0.475*44/12</f>
        <v>1.2421473974121397E-2</v>
      </c>
      <c r="AW202" s="23">
        <f>EXP(-LN(2)/2)*AW201+(1-EXP(-LN(2)/2))/(LN(2)/2)*AQ202*AT202*VLOOKUP('Données projet'!$B$10,Paramètres!$A$1:$I$89,3,0)*0.475*44/12</f>
        <v>7.667594236216746E-26</v>
      </c>
      <c r="AX202" s="23">
        <f t="shared" si="166"/>
        <v>0.23440012474227673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2">
        <f t="shared" si="202"/>
        <v>26.054668897183067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70">
        <f t="shared" si="192"/>
        <v>506.26021499592679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-2.2737367544323206E-13</v>
      </c>
      <c r="O203" s="14">
        <f>N203*VLOOKUP('Données projet'!$B$9,Paramètres!$A$1:$I$89,3,0)*VLOOKUP('Données projet'!$B$9,Paramètres!$A$1:$I$89,5,0)</f>
        <v>-1.2710188457276673E-13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382.94446752777549</v>
      </c>
      <c r="T203" s="62">
        <f t="shared" si="204"/>
        <v>476.29465646955543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0.29321018230309054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7.9535226425977252E-25</v>
      </c>
      <c r="AC203" s="24">
        <f t="shared" si="163"/>
        <v>0.29321018230309054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850.00000000000045</v>
      </c>
      <c r="AJ203" s="14">
        <f>AI203*VLOOKUP('Données projet'!$B$10,Paramètres!$A$1:$I$89,3,0)*VLOOKUP('Données projet'!$B$10,Paramètres!$A$1:$I$89,5,0)</f>
        <v>419.90000000000026</v>
      </c>
      <c r="AK203" s="14">
        <f t="shared" si="164"/>
        <v>95.799614109391214</v>
      </c>
      <c r="AL203" s="22">
        <f t="shared" si="165"/>
        <v>898.17682790719027</v>
      </c>
      <c r="AM203" s="62">
        <f t="shared" si="193"/>
        <v>1191.5101612405235</v>
      </c>
      <c r="AN203" s="62">
        <f ca="1">AVERAGE(OFFSET($AM$3,0,0,'Données projet'!$E$10+1,1))-AVERAGE(OFFSET($H$3,0,0,'Données projet'!$E$10+1,1))</f>
        <v>473.90982075211258</v>
      </c>
      <c r="AO203" s="62">
        <f t="shared" si="205"/>
        <v>127.17661287657279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0.21762578482019979</v>
      </c>
      <c r="AV203" s="23">
        <f>EXP(-LN(2)/25)*AV202+(1-EXP(-LN(2)/25))/(LN(2)/25)*Calculateur!AQ203*Calculateur!AS203*VLOOKUP('Données projet'!$B$10,Paramètres!$A$1:$I$89,3,0)*0.475*44/12</f>
        <v>1.208180811508212E-2</v>
      </c>
      <c r="AW203" s="23">
        <f>EXP(-LN(2)/2)*AW202+(1-EXP(-LN(2)/2))/(LN(2)/2)*AQ203*AT203*VLOOKUP('Données projet'!$B$10,Paramètres!$A$1:$I$89,3,0)*0.475*44/12</f>
        <v>5.4218078798157476E-26</v>
      </c>
      <c r="AX203" s="23">
        <f t="shared" si="166"/>
        <v>0.2297075929352819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1.3070441688874561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1.1807150396076078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4" workbookViewId="0">
      <selection activeCell="M8" sqref="M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Douglas</v>
      </c>
      <c r="B6" s="155">
        <f>'Données projet'!D9</f>
        <v>3.1280000000000001</v>
      </c>
      <c r="C6" s="156">
        <f ca="1">IF(OR('Données projet'!B9="",'Données projet'!C9="",'Données projet'!C9=0%),0,Calculateur!S3)</f>
        <v>382.94446752777549</v>
      </c>
      <c r="D6" s="156">
        <f>IF(OR('Données projet'!B9="",'Données projet'!C9="",'Données projet'!C9=0%),0,Calculateur!T3)</f>
        <v>476.29465646955543</v>
      </c>
      <c r="E6" s="156">
        <f ca="1">MIN(C6,D6)</f>
        <v>382.94446752777549</v>
      </c>
      <c r="F6" s="156">
        <f ca="1">E6*B6</f>
        <v>1197.8502944268819</v>
      </c>
      <c r="G6" s="156">
        <f ca="1">F6*(100%-'Données projet'!$C$24)*(100%-'Données projet'!$C$25)*(100%-'Données projet'!$C$26)*(100%-'Données projet'!$C$27)</f>
        <v>824.71992771290809</v>
      </c>
      <c r="H6" s="157">
        <f>IF(OR('Données projet'!B9="",'Données projet'!C9="",'Données projet'!C9=0%),0,AVERAGE(Calculateur!$AC$3:$AC$33)*B6)</f>
        <v>13.803755666195181</v>
      </c>
      <c r="I6" s="158">
        <f>H6*(100%-'Données projet'!$C$24)*(100%-'Données projet'!$C$25)*(100%-'Données projet'!$C$26)*(100%-'Données projet'!$C$27)</f>
        <v>9.5038857761753821</v>
      </c>
      <c r="J6" s="159">
        <f>IF(OR('Données projet'!B9="",'Données projet'!C9="",'Données projet'!C9=0%),0,SUM(Calculateur!$V$3:$V$33)*VLOOKUP('Données projet'!$B$9,Paramètres!$A$1:$I$89,9,0)*B6)</f>
        <v>145.26432</v>
      </c>
      <c r="K6" s="160">
        <f>J6*(100%-'Données projet'!$C$24)*(100%-'Données projet'!$C$25)*(100%-'Données projet'!$C$26)*(100%-'Données projet'!$C$27)</f>
        <v>100.01448432000001</v>
      </c>
      <c r="L6" s="161">
        <f ca="1">G6+I6+K6</f>
        <v>934.23829780908341</v>
      </c>
      <c r="M6" s="25">
        <f ca="1">L6/B6</f>
        <v>298.66953254766094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Sapin pectiné</v>
      </c>
      <c r="B7" s="163">
        <f>'Données projet'!D10</f>
        <v>10.472</v>
      </c>
      <c r="C7" s="156">
        <f ca="1">IF(OR('Données projet'!B10="",'Données projet'!C10="",'Données projet'!C10=0%),0,Calculateur!AN3)</f>
        <v>473.90982075211258</v>
      </c>
      <c r="D7" s="156">
        <f>IF(OR('Données projet'!B10="",'Données projet'!C10="",'Données projet'!C10=0%),0,Calculateur!AO3)</f>
        <v>127.17661287657279</v>
      </c>
      <c r="E7" s="156">
        <f t="shared" ref="E7:E15" ca="1" si="0">MIN(C7,D7)</f>
        <v>127.17661287657279</v>
      </c>
      <c r="F7" s="156">
        <f t="shared" ref="F7:F15" ca="1" si="1">E7*B7</f>
        <v>1331.7934900434702</v>
      </c>
      <c r="G7" s="156">
        <f ca="1">F7*(100%-'Données projet'!$C$24)*(100%-'Données projet'!$C$25)*(100%-'Données projet'!$C$26)*(100%-'Données projet'!$C$27)</f>
        <v>916.93981789492932</v>
      </c>
      <c r="H7" s="164">
        <f>IF(OR('Données projet'!B10="",'Données projet'!C10="",'Données projet'!C10=0%),0,AVERAGE(Calculateur!$AX$3:$AX$33)*B7)</f>
        <v>3.2940264654013629</v>
      </c>
      <c r="I7" s="158">
        <f>H7*(100%-'Données projet'!$C$24)*(100%-'Données projet'!$C$25)*(100%-'Données projet'!$C$26)*(100%-'Données projet'!$C$27)</f>
        <v>2.2679372214288387</v>
      </c>
      <c r="J7" s="159">
        <f>IF(OR('Données projet'!B10="",'Données projet'!C10="",'Données projet'!C10=0%),0,SUM(Calculateur!$AQ$3:$AQ$33)*VLOOKUP('Données projet'!$B$10,Paramètres!$A$1:$I$89,9,0)*B7)</f>
        <v>112.574</v>
      </c>
      <c r="K7" s="160">
        <f>J7*(100%-'Données projet'!$C$24)*(100%-'Données projet'!$C$25)*(100%-'Données projet'!$C$26)*(100%-'Données projet'!$C$27)</f>
        <v>77.507199</v>
      </c>
      <c r="L7" s="161">
        <f t="shared" ref="L7:L15" ca="1" si="2">G7+I7+K7</f>
        <v>996.71495411635817</v>
      </c>
      <c r="M7" s="25">
        <f ca="1">L7/B7</f>
        <v>95.179044510729398</v>
      </c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2529.6437844703523</v>
      </c>
      <c r="G16" s="175">
        <f t="shared" ca="1" si="3"/>
        <v>1741.6597456078375</v>
      </c>
      <c r="H16" s="176">
        <f t="shared" si="3"/>
        <v>17.097782131596546</v>
      </c>
      <c r="I16" s="176">
        <f t="shared" si="3"/>
        <v>11.771822997604222</v>
      </c>
      <c r="J16" s="177">
        <f t="shared" si="3"/>
        <v>257.83832000000001</v>
      </c>
      <c r="K16" s="177">
        <f t="shared" si="3"/>
        <v>177.52168332000002</v>
      </c>
      <c r="L16" s="178">
        <f t="shared" ca="1" si="3"/>
        <v>1930.9532519254417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Douglas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Sapin pectiné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7" zoomScale="90" zoomScaleNormal="90" workbookViewId="0">
      <selection activeCell="P22" sqref="P22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Douglas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6536.3783013086959</v>
      </c>
      <c r="U10" s="190">
        <f>'Données projet'!D9</f>
        <v>3.1280000000000001</v>
      </c>
      <c r="V10" s="189">
        <f>U10*T10</f>
        <v>20445.791326493603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Sapin pectiné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3033.2528255350753</v>
      </c>
      <c r="U11" s="190">
        <f>'Données projet'!D10</f>
        <v>10.472</v>
      </c>
      <c r="V11" s="189">
        <f t="shared" ref="V11" si="0">U11*T11</f>
        <v>31764.223589003308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Douglas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>
        <v>70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70.000000000000114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>
        <v>40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2800.0000000000045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1317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1317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1317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19</v>
      </c>
      <c r="B23" s="193">
        <f>'Données projet'!D36</f>
        <v>0</v>
      </c>
      <c r="C23" s="206">
        <v>12</v>
      </c>
      <c r="D23" s="194">
        <f>B23*C23</f>
        <v>0</v>
      </c>
      <c r="E23" s="206"/>
      <c r="F23" s="261"/>
      <c r="H23" s="203">
        <v>3</v>
      </c>
      <c r="I23" s="204">
        <v>1317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-29958.075365241239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25</v>
      </c>
      <c r="B24" s="193">
        <f>'Données projet'!D37</f>
        <v>54</v>
      </c>
      <c r="C24" s="206">
        <v>18</v>
      </c>
      <c r="D24" s="194">
        <f t="shared" ref="D24:D42" si="2">B24*C24</f>
        <v>972</v>
      </c>
      <c r="E24" s="206"/>
      <c r="F24" s="264"/>
      <c r="H24" s="203">
        <v>4</v>
      </c>
      <c r="I24" s="204">
        <v>1317</v>
      </c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1748.0610998131383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30</v>
      </c>
      <c r="B25" s="193">
        <f>'Données projet'!D38</f>
        <v>54</v>
      </c>
      <c r="C25" s="206">
        <v>24</v>
      </c>
      <c r="D25" s="194">
        <f t="shared" si="2"/>
        <v>1296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-31706.136465054376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35</v>
      </c>
      <c r="B26" s="193">
        <f>'Données projet'!D39</f>
        <v>69</v>
      </c>
      <c r="C26" s="206">
        <v>35</v>
      </c>
      <c r="D26" s="194">
        <f t="shared" si="2"/>
        <v>2415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40</v>
      </c>
      <c r="B27" s="193">
        <f>'Données projet'!D40</f>
        <v>72</v>
      </c>
      <c r="C27" s="206">
        <v>46</v>
      </c>
      <c r="D27" s="194">
        <f t="shared" si="2"/>
        <v>3312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45</v>
      </c>
      <c r="B28" s="193">
        <f>'Données projet'!D41</f>
        <v>66</v>
      </c>
      <c r="C28" s="206">
        <v>54</v>
      </c>
      <c r="D28" s="194">
        <f t="shared" si="2"/>
        <v>3564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50</v>
      </c>
      <c r="B29" s="193">
        <f>'Données projet'!D42</f>
        <v>48</v>
      </c>
      <c r="C29" s="206">
        <v>62</v>
      </c>
      <c r="D29" s="194">
        <f t="shared" si="2"/>
        <v>2976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55</v>
      </c>
      <c r="B30" s="193">
        <f>'Données projet'!D43</f>
        <v>35</v>
      </c>
      <c r="C30" s="206">
        <v>70</v>
      </c>
      <c r="D30" s="194">
        <f t="shared" si="2"/>
        <v>2450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60</v>
      </c>
      <c r="B31" s="193">
        <f>'Données projet'!D44</f>
        <v>656</v>
      </c>
      <c r="C31" s="206">
        <v>80</v>
      </c>
      <c r="D31" s="194">
        <f t="shared" si="2"/>
        <v>52480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Sapin pectiné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30</v>
      </c>
      <c r="B54" s="193">
        <f>'Données projet'!D62</f>
        <v>25</v>
      </c>
      <c r="C54" s="204">
        <v>12</v>
      </c>
      <c r="D54" s="191">
        <f>B54*C54</f>
        <v>300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35</v>
      </c>
      <c r="B55" s="193">
        <f>'Données projet'!D63</f>
        <v>50</v>
      </c>
      <c r="C55" s="204">
        <v>18</v>
      </c>
      <c r="D55" s="191">
        <f t="shared" ref="D55:D73" si="4">B55*C55</f>
        <v>900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40</v>
      </c>
      <c r="B56" s="193">
        <f>'Données projet'!D64</f>
        <v>75</v>
      </c>
      <c r="C56" s="204">
        <v>24</v>
      </c>
      <c r="D56" s="191">
        <f t="shared" si="4"/>
        <v>1800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45</v>
      </c>
      <c r="B57" s="193">
        <f>'Données projet'!D65</f>
        <v>100</v>
      </c>
      <c r="C57" s="204">
        <v>35</v>
      </c>
      <c r="D57" s="191">
        <f t="shared" si="4"/>
        <v>3500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52</v>
      </c>
      <c r="B58" s="193">
        <f>'Données projet'!D66</f>
        <v>100</v>
      </c>
      <c r="C58" s="204">
        <v>46</v>
      </c>
      <c r="D58" s="191">
        <f t="shared" si="4"/>
        <v>4600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59</v>
      </c>
      <c r="B59" s="193">
        <f>'Données projet'!D67</f>
        <v>100</v>
      </c>
      <c r="C59" s="204">
        <v>54</v>
      </c>
      <c r="D59" s="191">
        <f t="shared" si="4"/>
        <v>5400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66</v>
      </c>
      <c r="B60" s="193">
        <f>'Données projet'!D68</f>
        <v>100</v>
      </c>
      <c r="C60" s="204">
        <v>62</v>
      </c>
      <c r="D60" s="191">
        <f t="shared" si="4"/>
        <v>6200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73</v>
      </c>
      <c r="B61" s="193">
        <f>'Données projet'!D69</f>
        <v>100</v>
      </c>
      <c r="C61" s="204">
        <v>70</v>
      </c>
      <c r="D61" s="191">
        <f t="shared" si="4"/>
        <v>7000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80</v>
      </c>
      <c r="B62" s="193">
        <f>'Données projet'!D70</f>
        <v>100</v>
      </c>
      <c r="C62" s="204">
        <v>80</v>
      </c>
      <c r="D62" s="191">
        <f t="shared" si="4"/>
        <v>8000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87</v>
      </c>
      <c r="B63" s="193">
        <f>'Données projet'!D71</f>
        <v>100</v>
      </c>
      <c r="C63" s="204">
        <v>80</v>
      </c>
      <c r="D63" s="191">
        <f t="shared" si="4"/>
        <v>8000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94</v>
      </c>
      <c r="B64" s="193">
        <f>'Données projet'!D72</f>
        <v>100</v>
      </c>
      <c r="C64" s="204">
        <v>90</v>
      </c>
      <c r="D64" s="191">
        <f t="shared" si="4"/>
        <v>9000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101</v>
      </c>
      <c r="B65" s="193">
        <f>'Données projet'!D73</f>
        <v>100</v>
      </c>
      <c r="C65" s="204">
        <v>100</v>
      </c>
      <c r="D65" s="191">
        <f t="shared" si="4"/>
        <v>10000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str">
        <f>IF(O93+1&lt;=MIN('Données projet'!$E$9:$E$18),O93+1,"STOP")</f>
        <v>STOP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2025-05-05T09:18:13Z</dcterms:modified>
</cp:coreProperties>
</file>