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oy.Rombaut\Desktop\Cadre de travail\Les projets\Mission accomplie\CNPF C+for n° 187 Castelsarrasin (Teréga n° 11)\"/>
    </mc:Choice>
  </mc:AlternateContent>
  <bookViews>
    <workbookView xWindow="0" yWindow="0" windowWidth="11748" windowHeight="5316" tabRatio="866" activeTab="6"/>
  </bookViews>
  <sheets>
    <sheet name="Accueil" sheetId="5" r:id="rId1"/>
    <sheet name="Données projet" sheetId="1" r:id="rId2"/>
    <sheet name="Calculateur" sheetId="2" state="hidden" r:id="rId3"/>
    <sheet name="Scénario référence" sheetId="7" r:id="rId4"/>
    <sheet name="Paramètres" sheetId="3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" i="1" l="1"/>
  <c r="D72" i="1" l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A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B201" i="2" l="1"/>
  <c r="EA201" i="2"/>
  <c r="DI200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47" i="2" a="1"/>
  <c r="BC47" i="2" s="1"/>
  <c r="BC126" i="2" a="1"/>
  <c r="BC126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DN103" i="2" a="1"/>
  <c r="DN103" i="2" s="1"/>
  <c r="DN114" i="2" a="1"/>
  <c r="DN114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CS56" i="2" l="1" a="1"/>
  <c r="CS56" i="2" s="1"/>
  <c r="CS38" i="2" a="1"/>
  <c r="CS38" i="2" s="1"/>
  <c r="CS116" i="2" a="1"/>
  <c r="CS116" i="2" s="1"/>
  <c r="CS66" i="2" a="1"/>
  <c r="CS66" i="2" s="1"/>
  <c r="CS185" i="2" a="1"/>
  <c r="CS185" i="2" s="1"/>
  <c r="CS161" i="2" a="1"/>
  <c r="CS161" i="2" s="1"/>
  <c r="CS134" i="2" a="1"/>
  <c r="CS134" i="2" s="1"/>
  <c r="CS77" i="2" a="1"/>
  <c r="CS77" i="2" s="1"/>
  <c r="CS72" i="2" a="1"/>
  <c r="CS72" i="2" s="1"/>
  <c r="CS24" i="2" a="1"/>
  <c r="CS24" i="2" s="1"/>
  <c r="CS105" i="2" a="1"/>
  <c r="CS105" i="2" s="1"/>
  <c r="CS120" i="2" a="1"/>
  <c r="CS120" i="2" s="1"/>
  <c r="CS137" i="2" a="1"/>
  <c r="CS137" i="2" s="1"/>
  <c r="CS129" i="2" a="1"/>
  <c r="CS129" i="2" s="1"/>
  <c r="BC65" i="2" a="1"/>
  <c r="BC65" i="2" s="1"/>
  <c r="BC114" i="2" a="1"/>
  <c r="BC114" i="2" s="1"/>
  <c r="BC82" i="2" a="1"/>
  <c r="BC82" i="2" s="1"/>
  <c r="BC68" i="2" a="1"/>
  <c r="BC68" i="2" s="1"/>
  <c r="BC58" i="2" a="1"/>
  <c r="BC58" i="2" s="1"/>
  <c r="AH151" i="2" a="1"/>
  <c r="AH151" i="2" s="1"/>
  <c r="AH62" i="2" a="1"/>
  <c r="AH62" i="2" s="1"/>
  <c r="AH199" i="2" a="1"/>
  <c r="AH199" i="2" s="1"/>
  <c r="AH166" i="2" a="1"/>
  <c r="AH166" i="2" s="1"/>
  <c r="BX107" i="2" a="1"/>
  <c r="BX107" i="2" s="1"/>
  <c r="AH19" i="2" a="1"/>
  <c r="AH19" i="2" s="1"/>
  <c r="AH90" i="2" a="1"/>
  <c r="AH90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<sst xmlns="http://schemas.openxmlformats.org/spreadsheetml/2006/main" count="1173" uniqueCount="326">
  <si>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</si>
  <si>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</si>
  <si>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</si>
  <si>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</si>
  <si>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</si>
  <si>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</si>
  <si>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</si>
  <si>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</si>
  <si>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</si>
  <si>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</si>
  <si>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</si>
  <si>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</si>
  <si>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</si>
  <si>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</si>
  <si>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</si>
  <si>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</si>
  <si>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</si>
  <si>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</si>
  <si>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</si>
  <si>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</si>
  <si>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</si>
  <si>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</si>
  <si>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</si>
  <si>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</si>
  <si>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</si>
  <si>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</si>
  <si>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</si>
  <si>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</si>
  <si>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</si>
  <si>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</si>
  <si>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</si>
  <si>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</si>
  <si>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</si>
  <si>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</si>
  <si>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</si>
  <si>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</si>
  <si>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</si>
  <si>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</si>
  <si>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</si>
  <si>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</si>
  <si>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</si>
  <si>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</si>
  <si>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</si>
  <si>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</si>
  <si>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</si>
  <si>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</si>
  <si>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</si>
  <si>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</si>
  <si>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</si>
  <si>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</si>
  <si>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</si>
  <si>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</si>
  <si>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</si>
  <si>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</si>
  <si>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</si>
  <si>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</si>
  <si>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</si>
  <si>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</si>
  <si>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</si>
  <si>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</si>
  <si>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</si>
  <si>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</si>
  <si>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</si>
  <si>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</si>
  <si>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</si>
  <si>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</si>
  <si>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</si>
  <si>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</si>
  <si>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</si>
  <si>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</si>
  <si>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</si>
  <si>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</si>
  <si>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</si>
  <si>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</si>
  <si>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</si>
  <si>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</si>
  <si>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</si>
  <si>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</si>
  <si>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</si>
  <si>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</si>
  <si>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</si>
  <si>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</si>
  <si>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</si>
  <si>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</si>
  <si>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</si>
  <si>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</si>
  <si>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</si>
  <si>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</si>
  <si>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</si>
  <si>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</si>
  <si>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</si>
  <si>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</si>
  <si>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</si>
  <si>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</si>
  <si>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</si>
  <si>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</si>
  <si>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</si>
  <si>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</si>
  <si>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</si>
  <si>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</si>
  <si>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</si>
  <si>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</si>
  <si>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</si>
  <si>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</si>
  <si>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</si>
  <si>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</si>
  <si>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</si>
  <si>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</si>
  <si>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</si>
  <si>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</si>
  <si>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</si>
  <si>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</si>
  <si>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</si>
  <si>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</si>
  <si>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</si>
  <si>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</si>
  <si>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</si>
  <si>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</si>
  <si>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</si>
  <si>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</si>
  <si>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</si>
  <si>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</si>
  <si>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</si>
  <si>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</si>
  <si>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</si>
  <si>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</si>
  <si>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</si>
  <si>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</si>
  <si>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</si>
  <si>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</si>
  <si>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</si>
  <si>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</si>
  <si>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</si>
  <si>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</si>
  <si>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</si>
  <si>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</si>
  <si>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</si>
  <si>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</si>
  <si>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</si>
  <si>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</si>
  <si>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</si>
  <si>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</si>
  <si>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</si>
  <si>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</si>
  <si>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</si>
  <si>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</si>
  <si>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</si>
  <si>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</si>
  <si>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</si>
  <si>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</si>
  <si>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</si>
  <si>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</si>
  <si>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</si>
  <si>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</si>
  <si>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</si>
  <si>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</si>
  <si>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</si>
  <si>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</si>
  <si>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</si>
  <si>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</si>
  <si>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</si>
  <si>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</si>
  <si>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</si>
  <si>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</si>
  <si>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</si>
  <si>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</si>
  <si>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</si>
  <si>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</si>
  <si>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</si>
  <si>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</si>
  <si>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</si>
  <si>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</si>
  <si>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</si>
  <si>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</si>
  <si>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</si>
  <si>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</si>
  <si>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</si>
  <si>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</si>
  <si>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</si>
  <si>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</si>
  <si>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</si>
  <si>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</si>
  <si>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</si>
  <si>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</si>
  <si>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</si>
  <si>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</si>
  <si>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</si>
  <si>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</si>
  <si>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</si>
  <si>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</si>
  <si>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</si>
  <si>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</si>
  <si>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</si>
  <si>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</si>
  <si>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</si>
  <si>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</si>
  <si>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</si>
  <si>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</si>
  <si>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</si>
  <si>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</si>
  <si>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</si>
  <si>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</si>
  <si>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</si>
  <si>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</si>
  <si>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</si>
  <si>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</si>
  <si>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</si>
  <si>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</si>
  <si>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</si>
  <si>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</si>
  <si>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</si>
  <si>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</si>
  <si>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</si>
  <si>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</si>
  <si>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</si>
  <si>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</si>
  <si>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</si>
  <si>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</si>
  <si>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</si>
  <si>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</si>
  <si>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</si>
  <si>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</si>
  <si>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</si>
  <si>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</si>
  <si>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</si>
  <si>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</si>
  <si>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</si>
  <si>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</si>
  <si>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</si>
  <si>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</si>
  <si>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</si>
  <si>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</si>
  <si>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</si>
  <si>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</si>
  <si>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</si>
  <si>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</si>
  <si>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</si>
  <si>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</si>
  <si>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</si>
  <si>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</si>
  <si>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</si>
  <si>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</si>
  <si>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</si>
  <si>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</si>
  <si>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</si>
  <si>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</si>
  <si>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</si>
  <si>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</si>
  <si>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</si>
  <si>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</si>
  <si>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</si>
  <si>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</si>
  <si>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</si>
  <si>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</si>
  <si>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</si>
  <si>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</si>
  <si>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</si>
  <si>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</si>
  <si>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</si>
  <si>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</si>
  <si>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</si>
  <si>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</si>
  <si>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</si>
  <si>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</si>
  <si>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</si>
  <si>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</si>
  <si>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</si>
  <si>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</si>
  <si>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</si>
  <si>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</si>
  <si>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</si>
  <si>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</si>
  <si>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</si>
  <si>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</si>
  <si>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</si>
  <si>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</si>
  <si>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</si>
  <si>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</si>
  <si>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</si>
  <si>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</si>
  <si>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</si>
  <si>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</si>
  <si>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</si>
  <si>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</si>
  <si>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</si>
  <si>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</si>
  <si>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</si>
  <si>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</si>
  <si>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</si>
  <si>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</si>
  <si>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</si>
  <si>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</si>
  <si>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</si>
  <si>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</si>
  <si>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</si>
  <si>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</si>
  <si>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</si>
  <si>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</si>
  <si>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</si>
  <si>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</si>
  <si>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</si>
  <si>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</si>
  <si>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</si>
  <si>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</si>
  <si>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</si>
  <si>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</si>
  <si>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</si>
  <si>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</si>
  <si>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</si>
  <si>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</si>
  <si>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</si>
  <si>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</si>
  <si>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</si>
  <si>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</si>
  <si>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</si>
  <si>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</si>
  <si>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</si>
  <si>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</si>
  <si>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</si>
  <si>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</si>
  <si>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</si>
  <si>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</si>
  <si>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</si>
  <si>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</si>
  <si>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Tucano</t>
  </si>
  <si>
    <t>Aleramo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</si>
</sst>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quotePrefix="1" applyProtection="1"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1.8419025019437354</c:v>
                </c:pt>
                <c:pt idx="2">
                  <c:v>2.5796674405999629</c:v>
                </c:pt>
                <c:pt idx="3">
                  <c:v>3.6142338629884159</c:v>
                </c:pt>
                <c:pt idx="4">
                  <c:v>5.0654944688951877</c:v>
                </c:pt>
                <c:pt idx="5">
                  <c:v>7.1019573420012989</c:v>
                </c:pt>
                <c:pt idx="6">
                  <c:v>9.9605284744151117</c:v>
                </c:pt>
                <c:pt idx="7">
                  <c:v>31.205351795273444</c:v>
                </c:pt>
                <c:pt idx="8">
                  <c:v>54.307795859828666</c:v>
                </c:pt>
                <c:pt idx="9">
                  <c:v>77.144572376171581</c:v>
                </c:pt>
                <c:pt idx="10">
                  <c:v>102.06620764648291</c:v>
                </c:pt>
                <c:pt idx="11">
                  <c:v>126.83621329002879</c:v>
                </c:pt>
                <c:pt idx="12">
                  <c:v>149.25167064658226</c:v>
                </c:pt>
                <c:pt idx="13">
                  <c:v>171.58670233737817</c:v>
                </c:pt>
                <c:pt idx="14">
                  <c:v>191.62941485327534</c:v>
                </c:pt>
                <c:pt idx="15">
                  <c:v>209.40401105723743</c:v>
                </c:pt>
                <c:pt idx="16">
                  <c:v>224.92811366910553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45368336"/>
        <c:axId val="-1745366160"/>
      </c:scatterChart>
      <c:valAx>
        <c:axId val="-174536833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45366160"/>
        <c:crosses val="autoZero"/>
        <c:crossBetween val="midCat"/>
      </c:valAx>
      <c:valAx>
        <c:axId val="-1745366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45368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45362896"/>
        <c:axId val="-1745361808"/>
      </c:scatterChart>
      <c:valAx>
        <c:axId val="-17453628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45361808"/>
        <c:crosses val="autoZero"/>
        <c:crossBetween val="midCat"/>
      </c:valAx>
      <c:valAx>
        <c:axId val="-1745361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453628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1.8419025019437354</c:v>
                </c:pt>
                <c:pt idx="2">
                  <c:v>2.5796674405999629</c:v>
                </c:pt>
                <c:pt idx="3">
                  <c:v>3.6142338629884159</c:v>
                </c:pt>
                <c:pt idx="4">
                  <c:v>5.0654944688951877</c:v>
                </c:pt>
                <c:pt idx="5">
                  <c:v>7.1019573420012989</c:v>
                </c:pt>
                <c:pt idx="6">
                  <c:v>9.9605284744151117</c:v>
                </c:pt>
                <c:pt idx="7">
                  <c:v>31.205351795273444</c:v>
                </c:pt>
                <c:pt idx="8">
                  <c:v>54.307795859828666</c:v>
                </c:pt>
                <c:pt idx="9">
                  <c:v>77.144572376171581</c:v>
                </c:pt>
                <c:pt idx="10">
                  <c:v>102.06620764648291</c:v>
                </c:pt>
                <c:pt idx="11">
                  <c:v>126.83621329002879</c:v>
                </c:pt>
                <c:pt idx="12">
                  <c:v>149.25167064658226</c:v>
                </c:pt>
                <c:pt idx="13">
                  <c:v>171.58670233737817</c:v>
                </c:pt>
                <c:pt idx="14">
                  <c:v>191.62941485327534</c:v>
                </c:pt>
                <c:pt idx="15">
                  <c:v>209.40401105723743</c:v>
                </c:pt>
                <c:pt idx="16">
                  <c:v>224.92811366910553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45365616"/>
        <c:axId val="-1745379216"/>
      </c:scatterChart>
      <c:valAx>
        <c:axId val="-17453656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45379216"/>
        <c:crosses val="autoZero"/>
        <c:crossBetween val="midCat"/>
      </c:valAx>
      <c:valAx>
        <c:axId val="-1745379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45365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45374864"/>
        <c:axId val="-1745363984"/>
      </c:scatterChart>
      <c:valAx>
        <c:axId val="-17453748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45363984"/>
        <c:crosses val="autoZero"/>
        <c:crossBetween val="midCat"/>
      </c:valAx>
      <c:valAx>
        <c:axId val="-174536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453748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45369424"/>
        <c:axId val="-1745368880"/>
      </c:scatterChart>
      <c:valAx>
        <c:axId val="-17453694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45368880"/>
        <c:crosses val="autoZero"/>
        <c:crossBetween val="midCat"/>
      </c:valAx>
      <c:valAx>
        <c:axId val="-1745368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453694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45371600"/>
        <c:axId val="-1745362352"/>
      </c:scatterChart>
      <c:valAx>
        <c:axId val="-17453716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45362352"/>
        <c:crosses val="autoZero"/>
        <c:crossBetween val="midCat"/>
      </c:valAx>
      <c:valAx>
        <c:axId val="-1745362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453716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45367792"/>
        <c:axId val="-1745364528"/>
      </c:scatterChart>
      <c:valAx>
        <c:axId val="-17453677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45364528"/>
        <c:crosses val="autoZero"/>
        <c:crossBetween val="midCat"/>
      </c:valAx>
      <c:valAx>
        <c:axId val="-1745364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453677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45378672"/>
        <c:axId val="-1745377040"/>
      </c:scatterChart>
      <c:valAx>
        <c:axId val="-17453786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45377040"/>
        <c:crosses val="autoZero"/>
        <c:crossBetween val="midCat"/>
      </c:valAx>
      <c:valAx>
        <c:axId val="-1745377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45378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45375408"/>
        <c:axId val="-1745366704"/>
      </c:scatterChart>
      <c:valAx>
        <c:axId val="-17453754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45366704"/>
        <c:crosses val="autoZero"/>
        <c:crossBetween val="midCat"/>
      </c:valAx>
      <c:valAx>
        <c:axId val="-1745366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45375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745363440"/>
        <c:axId val="-1745365072"/>
      </c:scatterChart>
      <c:valAx>
        <c:axId val="-17453634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45365072"/>
        <c:crosses val="autoZero"/>
        <c:crossBetween val="midCat"/>
      </c:valAx>
      <c:valAx>
        <c:axId val="-174536507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7453634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1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3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3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3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3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3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3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3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3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3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3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3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3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3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3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3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3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3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3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31" zoomScale="70" zoomScaleNormal="70" workbookViewId="0">
      <selection activeCell="C10" sqref="C10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5" t="s">
        <v>231</v>
      </c>
      <c r="B5" s="305"/>
      <c r="C5" s="26">
        <v>3.68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128</v>
      </c>
      <c r="C9" s="35">
        <v>0.53300000000000003</v>
      </c>
      <c r="D9" s="36">
        <f t="shared" ref="D9:D18" si="0">C9*$C$5</f>
        <v>1.9614400000000003</v>
      </c>
      <c r="E9" s="37">
        <v>16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128</v>
      </c>
      <c r="C10" s="35">
        <v>0.46700000000000003</v>
      </c>
      <c r="D10" s="36">
        <f t="shared" si="0"/>
        <v>1.7185600000000001</v>
      </c>
      <c r="E10" s="37">
        <v>16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3.6800000000000006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Peuplier Raspalje</v>
      </c>
      <c r="C32" s="292" t="s">
        <v>324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6</v>
      </c>
      <c r="B36" s="63">
        <v>8.16</v>
      </c>
      <c r="C36" s="63"/>
      <c r="D36" s="63"/>
      <c r="E36" s="54"/>
      <c r="F36" s="54"/>
      <c r="G36" s="54"/>
      <c r="H36" s="54"/>
      <c r="I36" s="52">
        <f>IFERROR(B36/A36,"")</f>
        <v>1.36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7</v>
      </c>
      <c r="B37" s="63">
        <v>26.52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18.36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8</v>
      </c>
      <c r="B38" s="63">
        <v>46.92</v>
      </c>
      <c r="C38" s="63"/>
      <c r="D38" s="63"/>
      <c r="E38" s="54"/>
      <c r="F38" s="54"/>
      <c r="G38" s="54"/>
      <c r="H38" s="54"/>
      <c r="I38" s="56">
        <f t="shared" si="1"/>
        <v>20.400000000000002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9</v>
      </c>
      <c r="B39" s="63">
        <v>67.319999999999993</v>
      </c>
      <c r="C39" s="63"/>
      <c r="D39" s="63"/>
      <c r="E39" s="54"/>
      <c r="F39" s="54"/>
      <c r="G39" s="54"/>
      <c r="H39" s="54"/>
      <c r="I39" s="52">
        <f t="shared" si="1"/>
        <v>20.399999999999991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10</v>
      </c>
      <c r="B40" s="63">
        <v>89.76</v>
      </c>
      <c r="C40" s="63"/>
      <c r="D40" s="63"/>
      <c r="E40" s="54"/>
      <c r="F40" s="54"/>
      <c r="G40" s="54"/>
      <c r="H40" s="54"/>
      <c r="I40" s="52">
        <f t="shared" si="1"/>
        <v>22.440000000000012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11</v>
      </c>
      <c r="B41" s="63">
        <v>112.2</v>
      </c>
      <c r="C41" s="63"/>
      <c r="D41" s="63"/>
      <c r="E41" s="54"/>
      <c r="F41" s="54"/>
      <c r="G41" s="54"/>
      <c r="H41" s="54"/>
      <c r="I41" s="56">
        <f t="shared" si="1"/>
        <v>22.439999999999998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12</v>
      </c>
      <c r="B42" s="63">
        <v>132.6</v>
      </c>
      <c r="C42" s="63"/>
      <c r="D42" s="63"/>
      <c r="E42" s="54"/>
      <c r="F42" s="54"/>
      <c r="G42" s="54"/>
      <c r="H42" s="54"/>
      <c r="I42" s="56">
        <f t="shared" si="1"/>
        <v>20.399999999999991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13</v>
      </c>
      <c r="B43" s="63">
        <v>153</v>
      </c>
      <c r="C43" s="63"/>
      <c r="D43" s="63"/>
      <c r="E43" s="54"/>
      <c r="F43" s="54"/>
      <c r="G43" s="54"/>
      <c r="H43" s="54"/>
      <c r="I43" s="52">
        <f t="shared" si="1"/>
        <v>20.400000000000006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14</v>
      </c>
      <c r="B44" s="63">
        <v>171.36</v>
      </c>
      <c r="C44" s="63"/>
      <c r="D44" s="63"/>
      <c r="E44" s="54"/>
      <c r="F44" s="54"/>
      <c r="G44" s="54"/>
      <c r="H44" s="54"/>
      <c r="I44" s="52">
        <f t="shared" si="1"/>
        <v>18.360000000000014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15</v>
      </c>
      <c r="B45" s="63">
        <v>187.68</v>
      </c>
      <c r="C45" s="63"/>
      <c r="D45" s="63"/>
      <c r="E45" s="54"/>
      <c r="F45" s="54"/>
      <c r="G45" s="54"/>
      <c r="H45" s="54"/>
      <c r="I45" s="52">
        <f t="shared" si="1"/>
        <v>16.319999999999993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16</v>
      </c>
      <c r="B46" s="63">
        <v>201.96</v>
      </c>
      <c r="C46" s="63">
        <v>1</v>
      </c>
      <c r="D46" s="63">
        <f>B46</f>
        <v>201.96</v>
      </c>
      <c r="E46" s="54">
        <v>0.78</v>
      </c>
      <c r="F46" s="54"/>
      <c r="G46" s="54">
        <v>0.1</v>
      </c>
      <c r="H46" s="54">
        <v>0.12</v>
      </c>
      <c r="I46" s="52">
        <f t="shared" si="1"/>
        <v>14.280000000000001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63"/>
      <c r="C50" s="63"/>
      <c r="D50" s="6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63"/>
      <c r="C51" s="63"/>
      <c r="D51" s="6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63"/>
      <c r="C52" s="63"/>
      <c r="D52" s="6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63"/>
      <c r="C53" s="63"/>
      <c r="D53" s="6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63"/>
      <c r="C54" s="63"/>
      <c r="D54" s="6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Peuplier Raspalje</v>
      </c>
      <c r="C58" s="25" t="s">
        <v>325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6</v>
      </c>
      <c r="B62" s="63">
        <v>8.16</v>
      </c>
      <c r="C62" s="63"/>
      <c r="D62" s="63"/>
      <c r="E62" s="54"/>
      <c r="F62" s="54"/>
      <c r="G62" s="54"/>
      <c r="H62" s="54"/>
      <c r="I62" s="56">
        <f>IFERROR(B62/A62,"")</f>
        <v>1.36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7</v>
      </c>
      <c r="B63" s="63">
        <v>26.52</v>
      </c>
      <c r="C63" s="63"/>
      <c r="D63" s="63"/>
      <c r="E63" s="54"/>
      <c r="F63" s="54"/>
      <c r="G63" s="54"/>
      <c r="H63" s="54"/>
      <c r="I63" s="52">
        <f>IF(A63&lt;&gt;0,(B63-(B62-D62))/(A63-A62),"")</f>
        <v>18.36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8</v>
      </c>
      <c r="B64" s="63">
        <v>46.92</v>
      </c>
      <c r="C64" s="63"/>
      <c r="D64" s="63"/>
      <c r="E64" s="54"/>
      <c r="F64" s="54"/>
      <c r="G64" s="54"/>
      <c r="H64" s="54"/>
      <c r="I64" s="52">
        <f>IF(A64&lt;&gt;0,(B64-(B63-D63))/(A64-A63),"")</f>
        <v>20.400000000000002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9</v>
      </c>
      <c r="B65" s="63">
        <v>67.319999999999993</v>
      </c>
      <c r="C65" s="63"/>
      <c r="D65" s="63"/>
      <c r="E65" s="54"/>
      <c r="F65" s="54"/>
      <c r="G65" s="54"/>
      <c r="H65" s="54"/>
      <c r="I65" s="52">
        <f>IF(A65&lt;&gt;0,(B65-(B64-D64))/(A65-A64),"")</f>
        <v>20.399999999999991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10</v>
      </c>
      <c r="B66" s="63">
        <v>89.76</v>
      </c>
      <c r="C66" s="63"/>
      <c r="D66" s="63"/>
      <c r="E66" s="54"/>
      <c r="F66" s="54"/>
      <c r="G66" s="54"/>
      <c r="H66" s="54"/>
      <c r="I66" s="52">
        <f t="shared" ref="I66:I81" si="2">IF(A66&lt;&gt;0,(B66-(B65-D65))/(A66-A65),"")</f>
        <v>22.440000000000012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11</v>
      </c>
      <c r="B67" s="63">
        <v>112.2</v>
      </c>
      <c r="C67" s="63"/>
      <c r="D67" s="63"/>
      <c r="E67" s="54"/>
      <c r="F67" s="54"/>
      <c r="G67" s="54"/>
      <c r="H67" s="54"/>
      <c r="I67" s="52">
        <f t="shared" si="2"/>
        <v>22.439999999999998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12</v>
      </c>
      <c r="B68" s="63">
        <v>132.6</v>
      </c>
      <c r="C68" s="63"/>
      <c r="D68" s="63"/>
      <c r="E68" s="54"/>
      <c r="F68" s="54"/>
      <c r="G68" s="54"/>
      <c r="H68" s="54"/>
      <c r="I68" s="52">
        <f t="shared" si="2"/>
        <v>20.399999999999991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13</v>
      </c>
      <c r="B69" s="63">
        <v>153</v>
      </c>
      <c r="C69" s="63"/>
      <c r="D69" s="63"/>
      <c r="E69" s="54"/>
      <c r="F69" s="54"/>
      <c r="G69" s="54"/>
      <c r="H69" s="54"/>
      <c r="I69" s="52">
        <f t="shared" si="2"/>
        <v>20.400000000000006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14</v>
      </c>
      <c r="B70" s="63">
        <v>171.36</v>
      </c>
      <c r="C70" s="63"/>
      <c r="D70" s="63"/>
      <c r="E70" s="54"/>
      <c r="F70" s="54"/>
      <c r="G70" s="54"/>
      <c r="H70" s="54"/>
      <c r="I70" s="52">
        <f t="shared" si="2"/>
        <v>18.360000000000014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15</v>
      </c>
      <c r="B71" s="63">
        <v>187.68</v>
      </c>
      <c r="C71" s="63"/>
      <c r="D71" s="63"/>
      <c r="E71" s="54"/>
      <c r="F71" s="54"/>
      <c r="G71" s="54"/>
      <c r="H71" s="54"/>
      <c r="I71" s="52">
        <f t="shared" si="2"/>
        <v>16.319999999999993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16</v>
      </c>
      <c r="B72" s="63">
        <v>201.96</v>
      </c>
      <c r="C72" s="63">
        <v>1</v>
      </c>
      <c r="D72" s="63">
        <f>B72</f>
        <v>201.96</v>
      </c>
      <c r="E72" s="54">
        <v>0.78</v>
      </c>
      <c r="F72" s="54"/>
      <c r="G72" s="54"/>
      <c r="H72" s="54">
        <v>0.22</v>
      </c>
      <c r="I72" s="52">
        <f t="shared" si="2"/>
        <v>14.280000000000001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63"/>
      <c r="C73" s="63"/>
      <c r="D73" s="6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63"/>
      <c r="D75" s="6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93"/>
      <c r="F100" s="93"/>
      <c r="G100" s="93"/>
      <c r="H100" s="93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4"/>
      <c r="F153" s="54"/>
      <c r="G153" s="54"/>
      <c r="H153" s="54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1" t="s">
        <v>176</v>
      </c>
      <c r="C1" s="312"/>
      <c r="D1" s="312"/>
      <c r="E1" s="312"/>
      <c r="F1" s="312"/>
      <c r="G1" s="312"/>
      <c r="H1" s="313"/>
      <c r="I1" s="308" t="str">
        <f>IF('Données projet'!$B$9="","",'Données projet'!$B$9)</f>
        <v>Peuplier Raspalje</v>
      </c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10"/>
      <c r="AD1" s="309" t="str">
        <f>IF('Données projet'!$B$10="","",'Données projet'!$B$10)</f>
        <v>Peuplier Raspalje</v>
      </c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V1" s="309"/>
      <c r="AW1" s="309"/>
      <c r="AX1" s="310"/>
      <c r="AY1" s="308" t="str">
        <f>IF('Données projet'!$B$11="","",'Données projet'!$B$11)</f>
        <v/>
      </c>
      <c r="AZ1" s="309"/>
      <c r="BA1" s="309"/>
      <c r="BB1" s="309"/>
      <c r="BC1" s="309"/>
      <c r="BD1" s="309"/>
      <c r="BE1" s="309"/>
      <c r="BF1" s="309"/>
      <c r="BG1" s="309"/>
      <c r="BH1" s="309"/>
      <c r="BI1" s="309"/>
      <c r="BJ1" s="309"/>
      <c r="BK1" s="309"/>
      <c r="BL1" s="309"/>
      <c r="BM1" s="309"/>
      <c r="BN1" s="309"/>
      <c r="BO1" s="309"/>
      <c r="BP1" s="309"/>
      <c r="BQ1" s="309"/>
      <c r="BR1" s="309"/>
      <c r="BS1" s="310"/>
      <c r="BT1" s="308" t="str">
        <f>IF('Données projet'!$B$12="","",'Données projet'!$B$12)</f>
        <v/>
      </c>
      <c r="BU1" s="309"/>
      <c r="BV1" s="309"/>
      <c r="BW1" s="309"/>
      <c r="BX1" s="309"/>
      <c r="BY1" s="309"/>
      <c r="BZ1" s="309"/>
      <c r="CA1" s="309"/>
      <c r="CB1" s="309"/>
      <c r="CC1" s="309"/>
      <c r="CD1" s="309"/>
      <c r="CE1" s="309"/>
      <c r="CF1" s="309"/>
      <c r="CG1" s="309"/>
      <c r="CH1" s="309"/>
      <c r="CI1" s="309"/>
      <c r="CJ1" s="309"/>
      <c r="CK1" s="309"/>
      <c r="CL1" s="309"/>
      <c r="CM1" s="309"/>
      <c r="CN1" s="310"/>
      <c r="CO1" s="308" t="str">
        <f>IF('Données projet'!$B$13="","",'Données projet'!$B$13)</f>
        <v/>
      </c>
      <c r="CP1" s="309"/>
      <c r="CQ1" s="309"/>
      <c r="CR1" s="309"/>
      <c r="CS1" s="309"/>
      <c r="CT1" s="309"/>
      <c r="CU1" s="309"/>
      <c r="CV1" s="309"/>
      <c r="CW1" s="309"/>
      <c r="CX1" s="309"/>
      <c r="CY1" s="309"/>
      <c r="CZ1" s="309"/>
      <c r="DA1" s="309"/>
      <c r="DB1" s="309"/>
      <c r="DC1" s="309"/>
      <c r="DD1" s="309"/>
      <c r="DE1" s="309"/>
      <c r="DF1" s="309"/>
      <c r="DG1" s="309"/>
      <c r="DH1" s="309"/>
      <c r="DI1" s="310"/>
      <c r="DJ1" s="308" t="str">
        <f>IF('Données projet'!$B$14="","",'Données projet'!$B$14)</f>
        <v/>
      </c>
      <c r="DK1" s="309"/>
      <c r="DL1" s="309"/>
      <c r="DM1" s="309"/>
      <c r="DN1" s="309"/>
      <c r="DO1" s="309"/>
      <c r="DP1" s="309"/>
      <c r="DQ1" s="309"/>
      <c r="DR1" s="309"/>
      <c r="DS1" s="309"/>
      <c r="DT1" s="309"/>
      <c r="DU1" s="309"/>
      <c r="DV1" s="309"/>
      <c r="DW1" s="309"/>
      <c r="DX1" s="309"/>
      <c r="DY1" s="309"/>
      <c r="DZ1" s="309"/>
      <c r="EA1" s="309"/>
      <c r="EB1" s="309"/>
      <c r="EC1" s="309"/>
      <c r="ED1" s="310"/>
      <c r="EE1" s="308" t="str">
        <f>IF('Données projet'!$B$15="","",'Données projet'!$B$15)</f>
        <v/>
      </c>
      <c r="EF1" s="309"/>
      <c r="EG1" s="309"/>
      <c r="EH1" s="309"/>
      <c r="EI1" s="309"/>
      <c r="EJ1" s="309"/>
      <c r="EK1" s="309"/>
      <c r="EL1" s="309"/>
      <c r="EM1" s="309"/>
      <c r="EN1" s="309"/>
      <c r="EO1" s="309"/>
      <c r="EP1" s="309"/>
      <c r="EQ1" s="309"/>
      <c r="ER1" s="309"/>
      <c r="ES1" s="309"/>
      <c r="ET1" s="309"/>
      <c r="EU1" s="309"/>
      <c r="EV1" s="309"/>
      <c r="EW1" s="309"/>
      <c r="EX1" s="309"/>
      <c r="EY1" s="310"/>
      <c r="EZ1" s="308" t="str">
        <f>IF('Données projet'!$B$16="","",'Données projet'!$B$16)</f>
        <v/>
      </c>
      <c r="FA1" s="309"/>
      <c r="FB1" s="309"/>
      <c r="FC1" s="309"/>
      <c r="FD1" s="309"/>
      <c r="FE1" s="309"/>
      <c r="FF1" s="309"/>
      <c r="FG1" s="309"/>
      <c r="FH1" s="309"/>
      <c r="FI1" s="309"/>
      <c r="FJ1" s="309"/>
      <c r="FK1" s="309"/>
      <c r="FL1" s="309"/>
      <c r="FM1" s="309"/>
      <c r="FN1" s="309"/>
      <c r="FO1" s="309"/>
      <c r="FP1" s="309"/>
      <c r="FQ1" s="309"/>
      <c r="FR1" s="309"/>
      <c r="FS1" s="309"/>
      <c r="FT1" s="310"/>
      <c r="FU1" s="308" t="str">
        <f>IF('Données projet'!$B$17="","",'Données projet'!$B$17)</f>
        <v/>
      </c>
      <c r="FV1" s="309"/>
      <c r="FW1" s="309"/>
      <c r="FX1" s="309"/>
      <c r="FY1" s="309"/>
      <c r="FZ1" s="309"/>
      <c r="GA1" s="309"/>
      <c r="GB1" s="309"/>
      <c r="GC1" s="309"/>
      <c r="GD1" s="309"/>
      <c r="GE1" s="309"/>
      <c r="GF1" s="309"/>
      <c r="GG1" s="309"/>
      <c r="GH1" s="309"/>
      <c r="GI1" s="309"/>
      <c r="GJ1" s="309"/>
      <c r="GK1" s="309"/>
      <c r="GL1" s="309"/>
      <c r="GM1" s="309"/>
      <c r="GN1" s="309"/>
      <c r="GO1" s="310"/>
      <c r="GP1" s="308" t="str">
        <f>IF('Données projet'!$B$18="","",'Données projet'!$B$18)</f>
        <v/>
      </c>
      <c r="GQ1" s="309"/>
      <c r="GR1" s="309"/>
      <c r="GS1" s="309"/>
      <c r="GT1" s="309"/>
      <c r="GU1" s="309"/>
      <c r="GV1" s="309"/>
      <c r="GW1" s="309"/>
      <c r="GX1" s="309"/>
      <c r="GY1" s="309"/>
      <c r="GZ1" s="309"/>
      <c r="HA1" s="309"/>
      <c r="HB1" s="309"/>
      <c r="HC1" s="309"/>
      <c r="HD1" s="309"/>
      <c r="HE1" s="309"/>
      <c r="HF1" s="309"/>
      <c r="HG1" s="309"/>
      <c r="HH1" s="309"/>
      <c r="HI1" s="309"/>
      <c r="HJ1" s="310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83.628155134295611</v>
      </c>
      <c r="T3" s="62">
        <f>IF('Données projet'!E9&gt;30,$R$33-$H$33,LOOKUP('Données projet'!$E$9,$A$3:$A$203,R3:R203)-LOOKUP('Données projet'!$E$9,$A$3:$A$203,$H$3:$H$203))</f>
        <v>248.53682625788625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83.628155134295611</v>
      </c>
      <c r="AO3" s="62">
        <f>IF('Données projet'!E10&gt;30,$AM$33-$H$33,LOOKUP('Données projet'!$E$10,$A$3:$A$203,AM3:AM203)-LOOKUP('Données projet'!$E$10,$A$3:$A$203,$H$3:$H$203))</f>
        <v>248.53682625788625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1.36</v>
      </c>
      <c r="N4" s="14">
        <f>IF('Données projet'!$A$36&gt;35,N3+M4-V3,IF(A4&lt;'Données projet'!$A$36,$K$205^A4,IF(A4='Données projet'!$A$36,'Données projet'!$B$36,N3+M4-V3)))</f>
        <v>1.418888797305915</v>
      </c>
      <c r="O4" s="14">
        <f>N4*VLOOKUP('Données projet'!$B$9,Paramètres!$A$1:$I$89,3,0)*VLOOKUP('Données projet'!$B$9,Paramètres!$A$1:$I$89,5,0)</f>
        <v>0.71494968718650453</v>
      </c>
      <c r="P4" s="14">
        <f>EXP(-1.0587+0.8836*LN(O4)+0.284)</f>
        <v>0.34260198857066421</v>
      </c>
      <c r="Q4" s="22">
        <f t="shared" ref="Q4:Q34" si="2">(O4+P4)*0.475*44/12</f>
        <v>1.8419025019437354</v>
      </c>
      <c r="R4" s="62">
        <f t="shared" si="0"/>
        <v>169.65433645486758</v>
      </c>
      <c r="S4" s="62">
        <f ca="1">AVERAGE(OFFSET($R$3,0,0,'Données projet'!$E$9+1,1))-AVERAGE(OFFSET($H$3,0,0,'Données projet'!$E$9+1,1))</f>
        <v>83.628155134295611</v>
      </c>
      <c r="T4" s="62">
        <f>$T$3</f>
        <v>248.53682625788625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1.36</v>
      </c>
      <c r="AI4" s="14">
        <f>IF('Données projet'!$A$62&gt;35,AI3+AH4-AQ3,IF(A4&lt;'Données projet'!$A$62,$AF$205^A4,IF(A4='Données projet'!$A$62,'Données projet'!$B$62,AI3+AH4-AQ3)))</f>
        <v>1.418888797305915</v>
      </c>
      <c r="AJ4" s="14">
        <f>AI4*VLOOKUP('Données projet'!$B$10,Paramètres!$A$1:$I$89,3,0)*VLOOKUP('Données projet'!$B$10,Paramètres!$A$1:$I$89,5,0)</f>
        <v>0.71494968718650453</v>
      </c>
      <c r="AK4" s="14">
        <f>EXP(-1.0587+0.8836*LN(AJ4)+0.284)</f>
        <v>0.34260198857066421</v>
      </c>
      <c r="AL4" s="22">
        <f t="shared" ref="AL4:AL67" si="4">(AJ4+AK4)*0.475*44/12</f>
        <v>1.8419025019437354</v>
      </c>
      <c r="AM4" s="62">
        <f t="shared" ref="AM4:AM67" si="5">AL4+(AD4+AE4)*44/12</f>
        <v>169.65433645486758</v>
      </c>
      <c r="AN4" s="62">
        <f ca="1">AVERAGE(OFFSET($AM$3,0,0,'Données projet'!$E$10+1,1))-AVERAGE(OFFSET($H$3,0,0,'Données projet'!$E$10+1,1))</f>
        <v>83.628155134295611</v>
      </c>
      <c r="AO4" s="62">
        <f>$AO$3</f>
        <v>248.53682625788625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1.36</v>
      </c>
      <c r="N5" s="14">
        <f>IF('Données projet'!$A$36&gt;35,N4+M5-V4,IF(A5&lt;'Données projet'!$A$36,$K$205^A5,IF(A5='Données projet'!$A$36,'Données projet'!$B$36,N4+M5-V4)))</f>
        <v>2.013245419120226</v>
      </c>
      <c r="O5" s="14">
        <f>N5*VLOOKUP('Données projet'!$B$9,Paramètres!$A$1:$I$89,3,0)*VLOOKUP('Données projet'!$B$9,Paramètres!$A$1:$I$89,5,0)</f>
        <v>1.0144341017862997</v>
      </c>
      <c r="P5" s="14">
        <f t="shared" ref="P5:P68" si="33">EXP(-1.0587+0.8836*LN(O5)+0.284)</f>
        <v>0.46671466793616728</v>
      </c>
      <c r="Q5" s="22">
        <f t="shared" si="2"/>
        <v>2.5796674405999629</v>
      </c>
      <c r="R5" s="62">
        <f t="shared" si="0"/>
        <v>173.1769487281008</v>
      </c>
      <c r="S5" s="62">
        <f ca="1">AVERAGE(OFFSET($R$3,0,0,'Données projet'!$E$9+1,1))-AVERAGE(OFFSET($H$3,0,0,'Données projet'!$E$9+1,1))</f>
        <v>83.628155134295611</v>
      </c>
      <c r="T5" s="62">
        <f t="shared" ref="T5:T68" si="34">$T$3</f>
        <v>248.53682625788625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1.36</v>
      </c>
      <c r="AI5" s="14">
        <f>IF('Données projet'!$A$62&gt;35,AI4+AH5-AQ4,IF(A5&lt;'Données projet'!$A$62,$AF$205^A5,IF(A5='Données projet'!$A$62,'Données projet'!$B$62,AI4+AH5-AQ4)))</f>
        <v>2.013245419120226</v>
      </c>
      <c r="AJ5" s="14">
        <f>AI5*VLOOKUP('Données projet'!$B$10,Paramètres!$A$1:$I$89,3,0)*VLOOKUP('Données projet'!$B$10,Paramètres!$A$1:$I$89,5,0)</f>
        <v>1.0144341017862997</v>
      </c>
      <c r="AK5" s="14">
        <f t="shared" ref="AK5:AK68" si="35">EXP(-1.0587+0.8836*LN(AJ5)+0.284)</f>
        <v>0.46671466793616728</v>
      </c>
      <c r="AL5" s="22">
        <f t="shared" si="4"/>
        <v>2.5796674405999629</v>
      </c>
      <c r="AM5" s="62">
        <f t="shared" si="5"/>
        <v>173.1769487281008</v>
      </c>
      <c r="AN5" s="62">
        <f ca="1">AVERAGE(OFFSET($AM$3,0,0,'Données projet'!$E$10+1,1))-AVERAGE(OFFSET($H$3,0,0,'Données projet'!$E$10+1,1))</f>
        <v>83.628155134295611</v>
      </c>
      <c r="AO5" s="62">
        <f t="shared" ref="AO5:AO68" si="36">$AO$3</f>
        <v>248.53682625788625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1.36</v>
      </c>
      <c r="N6" s="14">
        <f>IF('Données projet'!$A$36&gt;35,N5+M6-V5,IF(A6&lt;'Données projet'!$A$36,$K$205^A6,IF(A6='Données projet'!$A$36,'Données projet'!$B$36,N5+M6-V5)))</f>
        <v>2.8565713714171403</v>
      </c>
      <c r="O6" s="14">
        <f>N6*VLOOKUP('Données projet'!$B$9,Paramètres!$A$1:$I$89,3,0)*VLOOKUP('Données projet'!$B$9,Paramètres!$A$1:$I$89,5,0)</f>
        <v>1.4393691826296686</v>
      </c>
      <c r="P6" s="14">
        <f t="shared" si="33"/>
        <v>0.63578901621535489</v>
      </c>
      <c r="Q6" s="22">
        <f t="shared" si="2"/>
        <v>3.6142338629884159</v>
      </c>
      <c r="R6" s="62">
        <f t="shared" si="0"/>
        <v>176.9692544328733</v>
      </c>
      <c r="S6" s="62">
        <f ca="1">AVERAGE(OFFSET($R$3,0,0,'Données projet'!$E$9+1,1))-AVERAGE(OFFSET($H$3,0,0,'Données projet'!$E$9+1,1))</f>
        <v>83.628155134295611</v>
      </c>
      <c r="T6" s="62">
        <f t="shared" si="34"/>
        <v>248.53682625788625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1.36</v>
      </c>
      <c r="AI6" s="14">
        <f>IF('Données projet'!$A$62&gt;35,AI5+AH6-AQ5,IF(A6&lt;'Données projet'!$A$62,$AF$205^A6,IF(A6='Données projet'!$A$62,'Données projet'!$B$62,AI5+AH6-AQ5)))</f>
        <v>2.8565713714171403</v>
      </c>
      <c r="AJ6" s="14">
        <f>AI6*VLOOKUP('Données projet'!$B$10,Paramètres!$A$1:$I$89,3,0)*VLOOKUP('Données projet'!$B$10,Paramètres!$A$1:$I$89,5,0)</f>
        <v>1.4393691826296686</v>
      </c>
      <c r="AK6" s="14">
        <f t="shared" si="35"/>
        <v>0.63578901621535489</v>
      </c>
      <c r="AL6" s="22">
        <f t="shared" si="4"/>
        <v>3.6142338629884159</v>
      </c>
      <c r="AM6" s="62">
        <f t="shared" si="5"/>
        <v>176.9692544328733</v>
      </c>
      <c r="AN6" s="62">
        <f ca="1">AVERAGE(OFFSET($AM$3,0,0,'Données projet'!$E$10+1,1))-AVERAGE(OFFSET($H$3,0,0,'Données projet'!$E$10+1,1))</f>
        <v>83.628155134295611</v>
      </c>
      <c r="AO6" s="62">
        <f t="shared" si="36"/>
        <v>248.53682625788625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1.36</v>
      </c>
      <c r="N7" s="14">
        <f>IF('Données projet'!$A$36&gt;35,N6+M7-V6,IF(A7&lt;'Données projet'!$A$36,$K$205^A7,IF(A7='Données projet'!$A$36,'Données projet'!$B$36,N6+M7-V6)))</f>
        <v>4.053157117608575</v>
      </c>
      <c r="O7" s="14">
        <f>N7*VLOOKUP('Données projet'!$B$9,Paramètres!$A$1:$I$89,3,0)*VLOOKUP('Données projet'!$B$9,Paramètres!$A$1:$I$89,5,0)</f>
        <v>2.0423048084206088</v>
      </c>
      <c r="P7" s="14">
        <f t="shared" si="33"/>
        <v>0.86611306845701108</v>
      </c>
      <c r="Q7" s="22">
        <f t="shared" si="2"/>
        <v>5.0654944688951877</v>
      </c>
      <c r="R7" s="62">
        <f t="shared" si="0"/>
        <v>181.15161653307214</v>
      </c>
      <c r="S7" s="62">
        <f ca="1">AVERAGE(OFFSET($R$3,0,0,'Données projet'!$E$9+1,1))-AVERAGE(OFFSET($H$3,0,0,'Données projet'!$E$9+1,1))</f>
        <v>83.628155134295611</v>
      </c>
      <c r="T7" s="62">
        <f t="shared" si="34"/>
        <v>248.53682625788625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1.36</v>
      </c>
      <c r="AI7" s="14">
        <f>IF('Données projet'!$A$62&gt;35,AI6+AH7-AQ6,IF(A7&lt;'Données projet'!$A$62,$AF$205^A7,IF(A7='Données projet'!$A$62,'Données projet'!$B$62,AI6+AH7-AQ6)))</f>
        <v>4.053157117608575</v>
      </c>
      <c r="AJ7" s="14">
        <f>AI7*VLOOKUP('Données projet'!$B$10,Paramètres!$A$1:$I$89,3,0)*VLOOKUP('Données projet'!$B$10,Paramètres!$A$1:$I$89,5,0)</f>
        <v>2.0423048084206088</v>
      </c>
      <c r="AK7" s="14">
        <f t="shared" si="35"/>
        <v>0.86611306845701108</v>
      </c>
      <c r="AL7" s="22">
        <f t="shared" si="4"/>
        <v>5.0654944688951877</v>
      </c>
      <c r="AM7" s="62">
        <f t="shared" si="5"/>
        <v>181.15161653307214</v>
      </c>
      <c r="AN7" s="62">
        <f ca="1">AVERAGE(OFFSET($AM$3,0,0,'Données projet'!$E$10+1,1))-AVERAGE(OFFSET($H$3,0,0,'Données projet'!$E$10+1,1))</f>
        <v>83.628155134295611</v>
      </c>
      <c r="AO7" s="62">
        <f t="shared" si="36"/>
        <v>248.53682625788625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1.36</v>
      </c>
      <c r="N8" s="14">
        <f>IF('Données projet'!$A$36&gt;35,N7+M8-V7,IF(A8&lt;'Données projet'!$A$36,$K$205^A8,IF(A8='Données projet'!$A$36,'Données projet'!$B$36,N7+M8-V7)))</f>
        <v>5.7509792278955398</v>
      </c>
      <c r="O8" s="14">
        <f>N8*VLOOKUP('Données projet'!$B$9,Paramètres!$A$1:$I$89,3,0)*VLOOKUP('Données projet'!$B$9,Paramètres!$A$1:$I$89,5,0)</f>
        <v>2.8978034133520048</v>
      </c>
      <c r="P8" s="14">
        <f t="shared" si="33"/>
        <v>1.1798754432994596</v>
      </c>
      <c r="Q8" s="22">
        <f t="shared" si="2"/>
        <v>7.1019573420012989</v>
      </c>
      <c r="R8" s="62">
        <f t="shared" si="0"/>
        <v>185.89300521844865</v>
      </c>
      <c r="S8" s="62">
        <f ca="1">AVERAGE(OFFSET($R$3,0,0,'Données projet'!$E$9+1,1))-AVERAGE(OFFSET($H$3,0,0,'Données projet'!$E$9+1,1))</f>
        <v>83.628155134295611</v>
      </c>
      <c r="T8" s="62">
        <f t="shared" si="34"/>
        <v>248.53682625788625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1.36</v>
      </c>
      <c r="AI8" s="14">
        <f>IF('Données projet'!$A$62&gt;35,AI7+AH8-AQ7,IF(A8&lt;'Données projet'!$A$62,$AF$205^A8,IF(A8='Données projet'!$A$62,'Données projet'!$B$62,AI7+AH8-AQ7)))</f>
        <v>5.7509792278955398</v>
      </c>
      <c r="AJ8" s="14">
        <f>AI8*VLOOKUP('Données projet'!$B$10,Paramètres!$A$1:$I$89,3,0)*VLOOKUP('Données projet'!$B$10,Paramètres!$A$1:$I$89,5,0)</f>
        <v>2.8978034133520048</v>
      </c>
      <c r="AK8" s="14">
        <f t="shared" si="35"/>
        <v>1.1798754432994596</v>
      </c>
      <c r="AL8" s="22">
        <f t="shared" si="4"/>
        <v>7.1019573420012989</v>
      </c>
      <c r="AM8" s="62">
        <f t="shared" si="5"/>
        <v>185.89300521844865</v>
      </c>
      <c r="AN8" s="62">
        <f ca="1">AVERAGE(OFFSET($AM$3,0,0,'Données projet'!$E$10+1,1))-AVERAGE(OFFSET($H$3,0,0,'Données projet'!$E$10+1,1))</f>
        <v>83.628155134295611</v>
      </c>
      <c r="AO8" s="62">
        <f t="shared" si="36"/>
        <v>248.53682625788625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>
        <f>VLOOKUP(A9,'Données projet'!$A$35:$I$55,2,0)</f>
        <v>8.16</v>
      </c>
      <c r="L9" s="13">
        <f>VLOOKUP(A9,'Données projet'!$A$35:$I$55,9,0)</f>
        <v>1.36</v>
      </c>
      <c r="M9" s="13">
        <f t="array" ref="M9">INDEX(L:L,MIN(IF(ISNUMBER(L9:L205),ROW(L9:L205),"")))</f>
        <v>1.36</v>
      </c>
      <c r="N9" s="14">
        <f>IF('Données projet'!$A$36&gt;35,N8+M9-V8,IF(A9&lt;'Données projet'!$A$36,$K$205^A9,IF(A9='Données projet'!$A$36,'Données projet'!$B$36,N8+M9-V8)))</f>
        <v>8.16</v>
      </c>
      <c r="O9" s="14">
        <f>N9*VLOOKUP('Données projet'!$B$9,Paramètres!$A$1:$I$89,3,0)*VLOOKUP('Données projet'!$B$9,Paramètres!$A$1:$I$89,5,0)</f>
        <v>4.1116608000000001</v>
      </c>
      <c r="P9" s="14">
        <f t="shared" si="33"/>
        <v>1.6073029173675286</v>
      </c>
      <c r="Q9" s="22">
        <f t="shared" si="2"/>
        <v>9.9605284744151117</v>
      </c>
      <c r="R9" s="62">
        <f t="shared" si="0"/>
        <v>191.43078057067407</v>
      </c>
      <c r="S9" s="62">
        <f ca="1">AVERAGE(OFFSET($R$3,0,0,'Données projet'!$E$9+1,1))-AVERAGE(OFFSET($H$3,0,0,'Données projet'!$E$9+1,1))</f>
        <v>83.628155134295611</v>
      </c>
      <c r="T9" s="62">
        <f t="shared" si="34"/>
        <v>248.53682625788625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>
        <f>VLOOKUP(A9,'Données projet'!$A$61:$I$81,2,0)</f>
        <v>8.16</v>
      </c>
      <c r="AG9" s="13">
        <f>VLOOKUP(A9,'Données projet'!$A$61:$I$81,9,0)</f>
        <v>1.36</v>
      </c>
      <c r="AH9" s="13">
        <f t="array" ref="AH9">INDEX(AG:AG,MIN(IF(ISNUMBER(AG9:AG205),ROW(AG9:AG205),"")))</f>
        <v>1.36</v>
      </c>
      <c r="AI9" s="14">
        <f>IF('Données projet'!$A$62&gt;35,AI8+AH9-AQ8,IF(A9&lt;'Données projet'!$A$62,$AF$205^A9,IF(A9='Données projet'!$A$62,'Données projet'!$B$62,AI8+AH9-AQ8)))</f>
        <v>8.16</v>
      </c>
      <c r="AJ9" s="14">
        <f>AI9*VLOOKUP('Données projet'!$B$10,Paramètres!$A$1:$I$89,3,0)*VLOOKUP('Données projet'!$B$10,Paramètres!$A$1:$I$89,5,0)</f>
        <v>4.1116608000000001</v>
      </c>
      <c r="AK9" s="14">
        <f t="shared" si="35"/>
        <v>1.6073029173675286</v>
      </c>
      <c r="AL9" s="22">
        <f t="shared" si="4"/>
        <v>9.9605284744151117</v>
      </c>
      <c r="AM9" s="62">
        <f t="shared" si="5"/>
        <v>191.43078057067407</v>
      </c>
      <c r="AN9" s="62">
        <f ca="1">AVERAGE(OFFSET($AM$3,0,0,'Données projet'!$E$10+1,1))-AVERAGE(OFFSET($H$3,0,0,'Données projet'!$E$10+1,1))</f>
        <v>83.628155134295611</v>
      </c>
      <c r="AO9" s="62">
        <f t="shared" si="36"/>
        <v>248.53682625788625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>
        <f>VLOOKUP(A10,'Données projet'!$A$35:$I$55,2,0)</f>
        <v>26.52</v>
      </c>
      <c r="L10" s="13">
        <f>VLOOKUP(A10,'Données projet'!$A$35:$I$55,9,0)</f>
        <v>18.36</v>
      </c>
      <c r="M10" s="13">
        <f t="array" ref="M10">INDEX(L:L,MIN(IF(ISNUMBER(L10:L206),ROW(L10:L206),"")))</f>
        <v>18.36</v>
      </c>
      <c r="N10" s="14">
        <f>IF('Données projet'!$A$36&gt;35,N9+M10-V9,IF(A10&lt;'Données projet'!$A$36,$K$205^A10,IF(A10='Données projet'!$A$36,'Données projet'!$B$36,N9+M10-V9)))</f>
        <v>26.52</v>
      </c>
      <c r="O10" s="14">
        <f>N10*VLOOKUP('Données projet'!$B$9,Paramètres!$A$1:$I$89,3,0)*VLOOKUP('Données projet'!$B$9,Paramètres!$A$1:$I$89,5,0)</f>
        <v>13.362897600000002</v>
      </c>
      <c r="P10" s="14">
        <f t="shared" si="33"/>
        <v>4.554050799200061</v>
      </c>
      <c r="Q10" s="22">
        <f t="shared" si="2"/>
        <v>31.205351795273444</v>
      </c>
      <c r="R10" s="62">
        <f t="shared" si="0"/>
        <v>215.32953273100969</v>
      </c>
      <c r="S10" s="62">
        <f ca="1">AVERAGE(OFFSET($R$3,0,0,'Données projet'!$E$9+1,1))-AVERAGE(OFFSET($H$3,0,0,'Données projet'!$E$9+1,1))</f>
        <v>83.628155134295611</v>
      </c>
      <c r="T10" s="62">
        <f t="shared" si="34"/>
        <v>248.53682625788625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>
        <f>VLOOKUP(A10,'Données projet'!$A$61:$I$81,2,0)</f>
        <v>26.52</v>
      </c>
      <c r="AG10" s="13">
        <f>VLOOKUP(A10,'Données projet'!$A$61:$I$81,9,0)</f>
        <v>18.36</v>
      </c>
      <c r="AH10" s="13">
        <f t="array" ref="AH10">INDEX(AG:AG,MIN(IF(ISNUMBER(AG10:AG206),ROW(AG10:AG206),"")))</f>
        <v>18.36</v>
      </c>
      <c r="AI10" s="14">
        <f>IF('Données projet'!$A$62&gt;35,AI9+AH10-AQ9,IF(A10&lt;'Données projet'!$A$62,$AF$205^A10,IF(A10='Données projet'!$A$62,'Données projet'!$B$62,AI9+AH10-AQ9)))</f>
        <v>26.52</v>
      </c>
      <c r="AJ10" s="14">
        <f>AI10*VLOOKUP('Données projet'!$B$10,Paramètres!$A$1:$I$89,3,0)*VLOOKUP('Données projet'!$B$10,Paramètres!$A$1:$I$89,5,0)</f>
        <v>13.362897600000002</v>
      </c>
      <c r="AK10" s="14">
        <f t="shared" si="35"/>
        <v>4.554050799200061</v>
      </c>
      <c r="AL10" s="22">
        <f t="shared" si="4"/>
        <v>31.205351795273444</v>
      </c>
      <c r="AM10" s="62">
        <f t="shared" si="5"/>
        <v>215.32953273100969</v>
      </c>
      <c r="AN10" s="62">
        <f ca="1">AVERAGE(OFFSET($AM$3,0,0,'Données projet'!$E$10+1,1))-AVERAGE(OFFSET($H$3,0,0,'Données projet'!$E$10+1,1))</f>
        <v>83.628155134295611</v>
      </c>
      <c r="AO10" s="62">
        <f t="shared" si="36"/>
        <v>248.53682625788625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>
        <f>VLOOKUP(A11,'Données projet'!$A$35:$I$55,2,0)</f>
        <v>46.92</v>
      </c>
      <c r="L11" s="13">
        <f>VLOOKUP(A11,'Données projet'!$A$35:$I$55,9,0)</f>
        <v>20.400000000000002</v>
      </c>
      <c r="M11" s="13">
        <f t="array" ref="M11">INDEX(L:L,MIN(IF(ISNUMBER(L11:L207),ROW(L11:L207),"")))</f>
        <v>20.400000000000002</v>
      </c>
      <c r="N11" s="14">
        <f>IF('Données projet'!$A$36&gt;35,N10+M11-V10,IF(A11&lt;'Données projet'!$A$36,$K$205^A11,IF(A11='Données projet'!$A$36,'Données projet'!$B$36,N10+M11-V10)))</f>
        <v>46.92</v>
      </c>
      <c r="O11" s="14">
        <f>N11*VLOOKUP('Données projet'!$B$9,Paramètres!$A$1:$I$89,3,0)*VLOOKUP('Données projet'!$B$9,Paramètres!$A$1:$I$89,5,0)</f>
        <v>23.6420496</v>
      </c>
      <c r="P11" s="14">
        <f t="shared" si="33"/>
        <v>7.5394599845906214</v>
      </c>
      <c r="Q11" s="22">
        <f t="shared" si="2"/>
        <v>54.307795859828666</v>
      </c>
      <c r="R11" s="62">
        <f t="shared" si="0"/>
        <v>241.06106872604923</v>
      </c>
      <c r="S11" s="62">
        <f ca="1">AVERAGE(OFFSET($R$3,0,0,'Données projet'!$E$9+1,1))-AVERAGE(OFFSET($H$3,0,0,'Données projet'!$E$9+1,1))</f>
        <v>83.628155134295611</v>
      </c>
      <c r="T11" s="62">
        <f t="shared" si="34"/>
        <v>248.53682625788625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>
        <f>VLOOKUP(A11,'Données projet'!$A$61:$I$81,2,0)</f>
        <v>46.92</v>
      </c>
      <c r="AG11" s="13">
        <f>VLOOKUP(A11,'Données projet'!$A$61:$I$81,9,0)</f>
        <v>20.400000000000002</v>
      </c>
      <c r="AH11" s="13">
        <f t="array" ref="AH11">INDEX(AG:AG,MIN(IF(ISNUMBER(AG11:AG207),ROW(AG11:AG207),"")))</f>
        <v>20.400000000000002</v>
      </c>
      <c r="AI11" s="14">
        <f>IF('Données projet'!$A$62&gt;35,AI10+AH11-AQ10,IF(A11&lt;'Données projet'!$A$62,$AF$205^A11,IF(A11='Données projet'!$A$62,'Données projet'!$B$62,AI10+AH11-AQ10)))</f>
        <v>46.92</v>
      </c>
      <c r="AJ11" s="14">
        <f>AI11*VLOOKUP('Données projet'!$B$10,Paramètres!$A$1:$I$89,3,0)*VLOOKUP('Données projet'!$B$10,Paramètres!$A$1:$I$89,5,0)</f>
        <v>23.6420496</v>
      </c>
      <c r="AK11" s="14">
        <f t="shared" si="35"/>
        <v>7.5394599845906214</v>
      </c>
      <c r="AL11" s="22">
        <f t="shared" si="4"/>
        <v>54.307795859828666</v>
      </c>
      <c r="AM11" s="62">
        <f t="shared" si="5"/>
        <v>241.06106872604923</v>
      </c>
      <c r="AN11" s="62">
        <f ca="1">AVERAGE(OFFSET($AM$3,0,0,'Données projet'!$E$10+1,1))-AVERAGE(OFFSET($H$3,0,0,'Données projet'!$E$10+1,1))</f>
        <v>83.628155134295611</v>
      </c>
      <c r="AO11" s="62">
        <f t="shared" si="36"/>
        <v>248.53682625788625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>
        <f>VLOOKUP(A12,'Données projet'!$A$35:$I$55,2,0)</f>
        <v>67.319999999999993</v>
      </c>
      <c r="L12" s="13">
        <f>VLOOKUP(A12,'Données projet'!$A$35:$I$55,9,0)</f>
        <v>20.399999999999991</v>
      </c>
      <c r="M12" s="13">
        <f t="array" ref="M12">INDEX(L:L,MIN(IF(ISNUMBER(L12:L208),ROW(L12:L208),"")))</f>
        <v>20.399999999999991</v>
      </c>
      <c r="N12" s="14">
        <f>IF('Données projet'!$A$36&gt;35,N11+M12-V11,IF(A12&lt;'Données projet'!$A$36,$K$205^A12,IF(A12='Données projet'!$A$36,'Données projet'!$B$36,N11+M12-V11)))</f>
        <v>67.319999999999993</v>
      </c>
      <c r="O12" s="14">
        <f>N12*VLOOKUP('Données projet'!$B$9,Paramètres!$A$1:$I$89,3,0)*VLOOKUP('Données projet'!$B$9,Paramètres!$A$1:$I$89,5,0)</f>
        <v>33.921201599999996</v>
      </c>
      <c r="P12" s="14">
        <f t="shared" si="33"/>
        <v>10.372332778663118</v>
      </c>
      <c r="Q12" s="22">
        <f t="shared" si="2"/>
        <v>77.144572376171581</v>
      </c>
      <c r="R12" s="62">
        <f t="shared" si="0"/>
        <v>266.50253112872764</v>
      </c>
      <c r="S12" s="62">
        <f ca="1">AVERAGE(OFFSET($R$3,0,0,'Données projet'!$E$9+1,1))-AVERAGE(OFFSET($H$3,0,0,'Données projet'!$E$9+1,1))</f>
        <v>83.628155134295611</v>
      </c>
      <c r="T12" s="62">
        <f t="shared" si="34"/>
        <v>248.53682625788625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>
        <f>VLOOKUP(A12,'Données projet'!$A$61:$I$81,2,0)</f>
        <v>67.319999999999993</v>
      </c>
      <c r="AG12" s="13">
        <f>VLOOKUP(A12,'Données projet'!$A$61:$I$81,9,0)</f>
        <v>20.399999999999991</v>
      </c>
      <c r="AH12" s="13">
        <f t="array" ref="AH12">INDEX(AG:AG,MIN(IF(ISNUMBER(AG12:AG208),ROW(AG12:AG208),"")))</f>
        <v>20.399999999999991</v>
      </c>
      <c r="AI12" s="14">
        <f>IF('Données projet'!$A$62&gt;35,AI11+AH12-AQ11,IF(A12&lt;'Données projet'!$A$62,$AF$205^A12,IF(A12='Données projet'!$A$62,'Données projet'!$B$62,AI11+AH12-AQ11)))</f>
        <v>67.319999999999993</v>
      </c>
      <c r="AJ12" s="14">
        <f>AI12*VLOOKUP('Données projet'!$B$10,Paramètres!$A$1:$I$89,3,0)*VLOOKUP('Données projet'!$B$10,Paramètres!$A$1:$I$89,5,0)</f>
        <v>33.921201599999996</v>
      </c>
      <c r="AK12" s="14">
        <f t="shared" si="35"/>
        <v>10.372332778663118</v>
      </c>
      <c r="AL12" s="22">
        <f t="shared" si="4"/>
        <v>77.144572376171581</v>
      </c>
      <c r="AM12" s="62">
        <f t="shared" si="5"/>
        <v>266.50253112872764</v>
      </c>
      <c r="AN12" s="62">
        <f ca="1">AVERAGE(OFFSET($AM$3,0,0,'Données projet'!$E$10+1,1))-AVERAGE(OFFSET($H$3,0,0,'Données projet'!$E$10+1,1))</f>
        <v>83.628155134295611</v>
      </c>
      <c r="AO12" s="62">
        <f t="shared" si="36"/>
        <v>248.53682625788625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89.76</v>
      </c>
      <c r="L13" s="13">
        <f>VLOOKUP(A13,'Données projet'!$A$35:$I$55,9,0)</f>
        <v>22.440000000000012</v>
      </c>
      <c r="M13" s="13">
        <f t="array" ref="M13">INDEX(L:L,MIN(IF(ISNUMBER(L13:L209),ROW(L13:L209),"")))</f>
        <v>22.440000000000012</v>
      </c>
      <c r="N13" s="14">
        <f>IF('Données projet'!$A$36&gt;35,N12+M13-V12,IF(A13&lt;'Données projet'!$A$36,$K$205^A13,IF(A13='Données projet'!$A$36,'Données projet'!$B$36,N12+M13-V12)))</f>
        <v>89.76</v>
      </c>
      <c r="O13" s="14">
        <f>N13*VLOOKUP('Données projet'!$B$9,Paramètres!$A$1:$I$89,3,0)*VLOOKUP('Données projet'!$B$9,Paramètres!$A$1:$I$89,5,0)</f>
        <v>45.228268800000009</v>
      </c>
      <c r="P13" s="14">
        <f t="shared" si="33"/>
        <v>13.374338461138503</v>
      </c>
      <c r="Q13" s="22">
        <f t="shared" si="2"/>
        <v>102.06620764648291</v>
      </c>
      <c r="R13" s="62">
        <f t="shared" si="0"/>
        <v>294.00486963152781</v>
      </c>
      <c r="S13" s="62">
        <f ca="1">AVERAGE(OFFSET($R$3,0,0,'Données projet'!$E$9+1,1))-AVERAGE(OFFSET($H$3,0,0,'Données projet'!$E$9+1,1))</f>
        <v>83.628155134295611</v>
      </c>
      <c r="T13" s="62">
        <f t="shared" si="34"/>
        <v>248.53682625788625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89.76</v>
      </c>
      <c r="AG13" s="13">
        <f>VLOOKUP(A13,'Données projet'!$A$61:$I$81,9,0)</f>
        <v>22.440000000000012</v>
      </c>
      <c r="AH13" s="13">
        <f t="array" ref="AH13">INDEX(AG:AG,MIN(IF(ISNUMBER(AG13:AG209),ROW(AG13:AG209),"")))</f>
        <v>22.440000000000012</v>
      </c>
      <c r="AI13" s="14">
        <f>IF('Données projet'!$A$62&gt;35,AI12+AH13-AQ12,IF(A13&lt;'Données projet'!$A$62,$AF$205^A13,IF(A13='Données projet'!$A$62,'Données projet'!$B$62,AI12+AH13-AQ12)))</f>
        <v>89.76</v>
      </c>
      <c r="AJ13" s="14">
        <f>AI13*VLOOKUP('Données projet'!$B$10,Paramètres!$A$1:$I$89,3,0)*VLOOKUP('Données projet'!$B$10,Paramètres!$A$1:$I$89,5,0)</f>
        <v>45.228268800000009</v>
      </c>
      <c r="AK13" s="14">
        <f t="shared" si="35"/>
        <v>13.374338461138503</v>
      </c>
      <c r="AL13" s="22">
        <f t="shared" si="4"/>
        <v>102.06620764648291</v>
      </c>
      <c r="AM13" s="62">
        <f t="shared" si="5"/>
        <v>294.00486963152781</v>
      </c>
      <c r="AN13" s="62">
        <f ca="1">AVERAGE(OFFSET($AM$3,0,0,'Données projet'!$E$10+1,1))-AVERAGE(OFFSET($H$3,0,0,'Données projet'!$E$10+1,1))</f>
        <v>83.628155134295611</v>
      </c>
      <c r="AO13" s="62">
        <f t="shared" si="36"/>
        <v>248.53682625788625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>
        <f>VLOOKUP(A14,'Données projet'!$A$35:$I$55,2,0)</f>
        <v>112.2</v>
      </c>
      <c r="L14" s="13">
        <f>VLOOKUP(A14,'Données projet'!$A$35:$I$55,9,0)</f>
        <v>22.439999999999998</v>
      </c>
      <c r="M14" s="13">
        <f t="array" ref="M14">INDEX(L:L,MIN(IF(ISNUMBER(L14:L210),ROW(L14:L210),"")))</f>
        <v>22.439999999999998</v>
      </c>
      <c r="N14" s="14">
        <f>IF('Données projet'!$A$36&gt;35,N13+M14-V13,IF(A14&lt;'Données projet'!$A$36,$K$205^A14,IF(A14='Données projet'!$A$36,'Données projet'!$B$36,N13+M14-V13)))</f>
        <v>112.2</v>
      </c>
      <c r="O14" s="14">
        <f>N14*VLOOKUP('Données projet'!$B$9,Paramètres!$A$1:$I$89,3,0)*VLOOKUP('Données projet'!$B$9,Paramètres!$A$1:$I$89,5,0)</f>
        <v>56.535336000000001</v>
      </c>
      <c r="P14" s="14">
        <f t="shared" si="33"/>
        <v>16.289284070829936</v>
      </c>
      <c r="Q14" s="22">
        <f t="shared" si="2"/>
        <v>126.83621329002879</v>
      </c>
      <c r="R14" s="62">
        <f t="shared" si="0"/>
        <v>321.33201189914291</v>
      </c>
      <c r="S14" s="62">
        <f ca="1">AVERAGE(OFFSET($R$3,0,0,'Données projet'!$E$9+1,1))-AVERAGE(OFFSET($H$3,0,0,'Données projet'!$E$9+1,1))</f>
        <v>83.628155134295611</v>
      </c>
      <c r="T14" s="62">
        <f t="shared" si="34"/>
        <v>248.53682625788625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>
        <f>VLOOKUP(A14,'Données projet'!$A$61:$I$81,2,0)</f>
        <v>112.2</v>
      </c>
      <c r="AG14" s="13">
        <f>VLOOKUP(A14,'Données projet'!$A$61:$I$81,9,0)</f>
        <v>22.439999999999998</v>
      </c>
      <c r="AH14" s="13">
        <f t="array" ref="AH14">INDEX(AG:AG,MIN(IF(ISNUMBER(AG14:AG210),ROW(AG14:AG210),"")))</f>
        <v>22.439999999999998</v>
      </c>
      <c r="AI14" s="14">
        <f>IF('Données projet'!$A$62&gt;35,AI13+AH14-AQ13,IF(A14&lt;'Données projet'!$A$62,$AF$205^A14,IF(A14='Données projet'!$A$62,'Données projet'!$B$62,AI13+AH14-AQ13)))</f>
        <v>112.2</v>
      </c>
      <c r="AJ14" s="14">
        <f>AI14*VLOOKUP('Données projet'!$B$10,Paramètres!$A$1:$I$89,3,0)*VLOOKUP('Données projet'!$B$10,Paramètres!$A$1:$I$89,5,0)</f>
        <v>56.535336000000001</v>
      </c>
      <c r="AK14" s="14">
        <f t="shared" si="35"/>
        <v>16.289284070829936</v>
      </c>
      <c r="AL14" s="22">
        <f t="shared" si="4"/>
        <v>126.83621329002879</v>
      </c>
      <c r="AM14" s="62">
        <f t="shared" si="5"/>
        <v>321.33201189914291</v>
      </c>
      <c r="AN14" s="62">
        <f ca="1">AVERAGE(OFFSET($AM$3,0,0,'Données projet'!$E$10+1,1))-AVERAGE(OFFSET($H$3,0,0,'Données projet'!$E$10+1,1))</f>
        <v>83.628155134295611</v>
      </c>
      <c r="AO14" s="62">
        <f t="shared" si="36"/>
        <v>248.53682625788625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132.6</v>
      </c>
      <c r="L15" s="13">
        <f>VLOOKUP(A15,'Données projet'!$A$35:$I$55,9,0)</f>
        <v>20.399999999999991</v>
      </c>
      <c r="M15" s="13">
        <f t="array" ref="M15">INDEX(L:L,MIN(IF(ISNUMBER(L15:L211),ROW(L15:L211),"")))</f>
        <v>20.399999999999991</v>
      </c>
      <c r="N15" s="14">
        <f>IF('Données projet'!$A$36&gt;35,N14+M15-V14,IF(A15&lt;'Données projet'!$A$36,$K$205^A15,IF(A15='Données projet'!$A$36,'Données projet'!$B$36,N14+M15-V14)))</f>
        <v>132.6</v>
      </c>
      <c r="O15" s="14">
        <f>N15*VLOOKUP('Données projet'!$B$9,Paramètres!$A$1:$I$89,3,0)*VLOOKUP('Données projet'!$B$9,Paramètres!$A$1:$I$89,5,0)</f>
        <v>66.814487999999997</v>
      </c>
      <c r="P15" s="14">
        <f t="shared" si="33"/>
        <v>18.880251127224273</v>
      </c>
      <c r="Q15" s="22">
        <f t="shared" si="2"/>
        <v>149.25167064658226</v>
      </c>
      <c r="R15" s="62">
        <f t="shared" si="0"/>
        <v>346.28144809931513</v>
      </c>
      <c r="S15" s="62">
        <f ca="1">AVERAGE(OFFSET($R$3,0,0,'Données projet'!$E$9+1,1))-AVERAGE(OFFSET($H$3,0,0,'Données projet'!$E$9+1,1))</f>
        <v>83.628155134295611</v>
      </c>
      <c r="T15" s="62">
        <f t="shared" si="34"/>
        <v>248.53682625788625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>
        <f>VLOOKUP(A15,'Données projet'!$A$61:$I$81,2,0)</f>
        <v>132.6</v>
      </c>
      <c r="AG15" s="13">
        <f>VLOOKUP(A15,'Données projet'!$A$61:$I$81,9,0)</f>
        <v>20.399999999999991</v>
      </c>
      <c r="AH15" s="13">
        <f t="array" ref="AH15">INDEX(AG:AG,MIN(IF(ISNUMBER(AG15:AG211),ROW(AG15:AG211),"")))</f>
        <v>20.399999999999991</v>
      </c>
      <c r="AI15" s="14">
        <f>IF('Données projet'!$A$62&gt;35,AI14+AH15-AQ14,IF(A15&lt;'Données projet'!$A$62,$AF$205^A15,IF(A15='Données projet'!$A$62,'Données projet'!$B$62,AI14+AH15-AQ14)))</f>
        <v>132.6</v>
      </c>
      <c r="AJ15" s="14">
        <f>AI15*VLOOKUP('Données projet'!$B$10,Paramètres!$A$1:$I$89,3,0)*VLOOKUP('Données projet'!$B$10,Paramètres!$A$1:$I$89,5,0)</f>
        <v>66.814487999999997</v>
      </c>
      <c r="AK15" s="14">
        <f t="shared" si="35"/>
        <v>18.880251127224273</v>
      </c>
      <c r="AL15" s="22">
        <f t="shared" si="4"/>
        <v>149.25167064658226</v>
      </c>
      <c r="AM15" s="62">
        <f t="shared" si="5"/>
        <v>346.28144809931513</v>
      </c>
      <c r="AN15" s="62">
        <f ca="1">AVERAGE(OFFSET($AM$3,0,0,'Données projet'!$E$10+1,1))-AVERAGE(OFFSET($H$3,0,0,'Données projet'!$E$10+1,1))</f>
        <v>83.628155134295611</v>
      </c>
      <c r="AO15" s="62">
        <f t="shared" si="36"/>
        <v>248.53682625788625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153</v>
      </c>
      <c r="L16" s="13">
        <f>VLOOKUP(A16,'Données projet'!$A$35:$I$55,9,0)</f>
        <v>20.400000000000006</v>
      </c>
      <c r="M16" s="13">
        <f t="array" ref="M16">INDEX(L:L,MIN(IF(ISNUMBER(L16:L212),ROW(L16:L212),"")))</f>
        <v>20.400000000000006</v>
      </c>
      <c r="N16" s="14">
        <f>IF('Données projet'!$A$36&gt;35,N15+M16-V15,IF(A16&lt;'Données projet'!$A$36,$K$205^A16,IF(A16='Données projet'!$A$36,'Données projet'!$B$36,N15+M16-V15)))</f>
        <v>153</v>
      </c>
      <c r="O16" s="14">
        <f>N16*VLOOKUP('Données projet'!$B$9,Paramètres!$A$1:$I$89,3,0)*VLOOKUP('Données projet'!$B$9,Paramètres!$A$1:$I$89,5,0)</f>
        <v>77.093640000000008</v>
      </c>
      <c r="P16" s="14">
        <f t="shared" si="33"/>
        <v>21.425040767872645</v>
      </c>
      <c r="Q16" s="22">
        <f t="shared" si="2"/>
        <v>171.58670233737817</v>
      </c>
      <c r="R16" s="62">
        <f t="shared" si="0"/>
        <v>371.12770258899695</v>
      </c>
      <c r="S16" s="62">
        <f ca="1">AVERAGE(OFFSET($R$3,0,0,'Données projet'!$E$9+1,1))-AVERAGE(OFFSET($H$3,0,0,'Données projet'!$E$9+1,1))</f>
        <v>83.628155134295611</v>
      </c>
      <c r="T16" s="62">
        <f t="shared" si="34"/>
        <v>248.53682625788625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>
        <f>VLOOKUP(A16,'Données projet'!$A$61:$I$81,2,0)</f>
        <v>153</v>
      </c>
      <c r="AG16" s="13">
        <f>VLOOKUP(A16,'Données projet'!$A$61:$I$81,9,0)</f>
        <v>20.400000000000006</v>
      </c>
      <c r="AH16" s="13">
        <f t="array" ref="AH16">INDEX(AG:AG,MIN(IF(ISNUMBER(AG16:AG212),ROW(AG16:AG212),"")))</f>
        <v>20.400000000000006</v>
      </c>
      <c r="AI16" s="14">
        <f>IF('Données projet'!$A$62&gt;35,AI15+AH16-AQ15,IF(A16&lt;'Données projet'!$A$62,$AF$205^A16,IF(A16='Données projet'!$A$62,'Données projet'!$B$62,AI15+AH16-AQ15)))</f>
        <v>153</v>
      </c>
      <c r="AJ16" s="14">
        <f>AI16*VLOOKUP('Données projet'!$B$10,Paramètres!$A$1:$I$89,3,0)*VLOOKUP('Données projet'!$B$10,Paramètres!$A$1:$I$89,5,0)</f>
        <v>77.093640000000008</v>
      </c>
      <c r="AK16" s="14">
        <f t="shared" si="35"/>
        <v>21.425040767872645</v>
      </c>
      <c r="AL16" s="22">
        <f t="shared" si="4"/>
        <v>171.58670233737817</v>
      </c>
      <c r="AM16" s="62">
        <f t="shared" si="5"/>
        <v>371.12770258899695</v>
      </c>
      <c r="AN16" s="62">
        <f ca="1">AVERAGE(OFFSET($AM$3,0,0,'Données projet'!$E$10+1,1))-AVERAGE(OFFSET($H$3,0,0,'Données projet'!$E$10+1,1))</f>
        <v>83.628155134295611</v>
      </c>
      <c r="AO16" s="62">
        <f t="shared" si="36"/>
        <v>248.53682625788625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>
        <f>VLOOKUP(A17,'Données projet'!$A$35:$I$55,2,0)</f>
        <v>171.36</v>
      </c>
      <c r="L17" s="13">
        <f>VLOOKUP(A17,'Données projet'!$A$35:$I$55,9,0)</f>
        <v>18.360000000000014</v>
      </c>
      <c r="M17" s="13">
        <f t="array" ref="M17">INDEX(L:L,MIN(IF(ISNUMBER(L17:L213),ROW(L17:L213),"")))</f>
        <v>18.360000000000014</v>
      </c>
      <c r="N17" s="14">
        <f>IF('Données projet'!$A$36&gt;35,N16+M17-V16,IF(A17&lt;'Données projet'!$A$36,$K$205^A17,IF(A17='Données projet'!$A$36,'Données projet'!$B$36,N16+M17-V16)))</f>
        <v>171.36</v>
      </c>
      <c r="O17" s="14">
        <f>N17*VLOOKUP('Données projet'!$B$9,Paramètres!$A$1:$I$89,3,0)*VLOOKUP('Données projet'!$B$9,Paramètres!$A$1:$I$89,5,0)</f>
        <v>86.344876800000009</v>
      </c>
      <c r="P17" s="14">
        <f t="shared" si="33"/>
        <v>23.681581488961907</v>
      </c>
      <c r="Q17" s="22">
        <f t="shared" si="2"/>
        <v>191.62941485327534</v>
      </c>
      <c r="R17" s="62">
        <f t="shared" si="0"/>
        <v>393.6592766255485</v>
      </c>
      <c r="S17" s="62">
        <f ca="1">AVERAGE(OFFSET($R$3,0,0,'Données projet'!$E$9+1,1))-AVERAGE(OFFSET($H$3,0,0,'Données projet'!$E$9+1,1))</f>
        <v>83.628155134295611</v>
      </c>
      <c r="T17" s="62">
        <f t="shared" si="34"/>
        <v>248.53682625788625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>
        <f>VLOOKUP(A17,'Données projet'!$A$61:$I$81,2,0)</f>
        <v>171.36</v>
      </c>
      <c r="AG17" s="13">
        <f>VLOOKUP(A17,'Données projet'!$A$61:$I$81,9,0)</f>
        <v>18.360000000000014</v>
      </c>
      <c r="AH17" s="13">
        <f t="array" ref="AH17">INDEX(AG:AG,MIN(IF(ISNUMBER(AG17:AG213),ROW(AG17:AG213),"")))</f>
        <v>18.360000000000014</v>
      </c>
      <c r="AI17" s="14">
        <f>IF('Données projet'!$A$62&gt;35,AI16+AH17-AQ16,IF(A17&lt;'Données projet'!$A$62,$AF$205^A17,IF(A17='Données projet'!$A$62,'Données projet'!$B$62,AI16+AH17-AQ16)))</f>
        <v>171.36</v>
      </c>
      <c r="AJ17" s="14">
        <f>AI17*VLOOKUP('Données projet'!$B$10,Paramètres!$A$1:$I$89,3,0)*VLOOKUP('Données projet'!$B$10,Paramètres!$A$1:$I$89,5,0)</f>
        <v>86.344876800000009</v>
      </c>
      <c r="AK17" s="14">
        <f t="shared" si="35"/>
        <v>23.681581488961907</v>
      </c>
      <c r="AL17" s="22">
        <f t="shared" si="4"/>
        <v>191.62941485327534</v>
      </c>
      <c r="AM17" s="62">
        <f t="shared" si="5"/>
        <v>393.6592766255485</v>
      </c>
      <c r="AN17" s="62">
        <f ca="1">AVERAGE(OFFSET($AM$3,0,0,'Données projet'!$E$10+1,1))-AVERAGE(OFFSET($H$3,0,0,'Données projet'!$E$10+1,1))</f>
        <v>83.628155134295611</v>
      </c>
      <c r="AO17" s="62">
        <f t="shared" si="36"/>
        <v>248.53682625788625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187.68</v>
      </c>
      <c r="L18" s="13">
        <f>VLOOKUP(A18,'Données projet'!$A$35:$I$55,9,0)</f>
        <v>16.319999999999993</v>
      </c>
      <c r="M18" s="13">
        <f t="array" ref="M18">INDEX(L:L,MIN(IF(ISNUMBER(L18:L214),ROW(L18:L214),"")))</f>
        <v>16.319999999999993</v>
      </c>
      <c r="N18" s="14">
        <f>IF('Données projet'!$A$36&gt;35,N17+M18-V17,IF(A18&lt;'Données projet'!$A$36,$K$205^A18,IF(A18='Données projet'!$A$36,'Données projet'!$B$36,N17+M18-V17)))</f>
        <v>187.68</v>
      </c>
      <c r="O18" s="14">
        <f>N18*VLOOKUP('Données projet'!$B$9,Paramètres!$A$1:$I$89,3,0)*VLOOKUP('Données projet'!$B$9,Paramètres!$A$1:$I$89,5,0)</f>
        <v>94.5681984</v>
      </c>
      <c r="P18" s="14">
        <f t="shared" si="33"/>
        <v>25.663769671141115</v>
      </c>
      <c r="Q18" s="22">
        <f t="shared" si="2"/>
        <v>209.40401105723743</v>
      </c>
      <c r="R18" s="62">
        <f t="shared" si="0"/>
        <v>413.90076099011844</v>
      </c>
      <c r="S18" s="62">
        <f ca="1">AVERAGE(OFFSET($R$3,0,0,'Données projet'!$E$9+1,1))-AVERAGE(OFFSET($H$3,0,0,'Données projet'!$E$9+1,1))</f>
        <v>83.628155134295611</v>
      </c>
      <c r="T18" s="62">
        <f t="shared" si="34"/>
        <v>248.53682625788625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187.68</v>
      </c>
      <c r="AG18" s="13">
        <f>VLOOKUP(A18,'Données projet'!$A$61:$I$81,9,0)</f>
        <v>16.319999999999993</v>
      </c>
      <c r="AH18" s="13">
        <f t="array" ref="AH18">INDEX(AG:AG,MIN(IF(ISNUMBER(AG18:AG214),ROW(AG18:AG214),"")))</f>
        <v>16.319999999999993</v>
      </c>
      <c r="AI18" s="14">
        <f>IF('Données projet'!$A$62&gt;35,AI17+AH18-AQ17,IF(A18&lt;'Données projet'!$A$62,$AF$205^A18,IF(A18='Données projet'!$A$62,'Données projet'!$B$62,AI17+AH18-AQ17)))</f>
        <v>187.68</v>
      </c>
      <c r="AJ18" s="14">
        <f>AI18*VLOOKUP('Données projet'!$B$10,Paramètres!$A$1:$I$89,3,0)*VLOOKUP('Données projet'!$B$10,Paramètres!$A$1:$I$89,5,0)</f>
        <v>94.5681984</v>
      </c>
      <c r="AK18" s="14">
        <f t="shared" si="35"/>
        <v>25.663769671141115</v>
      </c>
      <c r="AL18" s="22">
        <f t="shared" si="4"/>
        <v>209.40401105723743</v>
      </c>
      <c r="AM18" s="62">
        <f t="shared" si="5"/>
        <v>413.90076099011844</v>
      </c>
      <c r="AN18" s="62">
        <f ca="1">AVERAGE(OFFSET($AM$3,0,0,'Données projet'!$E$10+1,1))-AVERAGE(OFFSET($H$3,0,0,'Données projet'!$E$10+1,1))</f>
        <v>83.628155134295611</v>
      </c>
      <c r="AO18" s="62">
        <f t="shared" si="36"/>
        <v>248.53682625788625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>
        <f>VLOOKUP(A19,'Données projet'!$A$35:$I$55,2,0)</f>
        <v>201.96</v>
      </c>
      <c r="L19" s="13">
        <f>VLOOKUP(A19,'Données projet'!$A$35:$I$55,9,0)</f>
        <v>14.280000000000001</v>
      </c>
      <c r="M19" s="13">
        <f t="array" ref="M19">INDEX(L:L,MIN(IF(ISNUMBER(L19:L215),ROW(L19:L215),"")))</f>
        <v>14.280000000000001</v>
      </c>
      <c r="N19" s="14">
        <f>IF('Données projet'!$A$36&gt;35,N18+M19-V18,IF(A19&lt;'Données projet'!$A$36,$K$205^A19,IF(A19='Données projet'!$A$36,'Données projet'!$B$36,N18+M19-V18)))</f>
        <v>201.96</v>
      </c>
      <c r="O19" s="14">
        <f>N19*VLOOKUP('Données projet'!$B$9,Paramètres!$A$1:$I$89,3,0)*VLOOKUP('Données projet'!$B$9,Paramètres!$A$1:$I$89,5,0)</f>
        <v>101.76360480000001</v>
      </c>
      <c r="P19" s="14">
        <f t="shared" si="33"/>
        <v>27.381723622452917</v>
      </c>
      <c r="Q19" s="22">
        <f t="shared" si="2"/>
        <v>224.92811366910553</v>
      </c>
      <c r="R19" s="62">
        <f t="shared" si="0"/>
        <v>431.87015959121959</v>
      </c>
      <c r="S19" s="62">
        <f ca="1">AVERAGE(OFFSET($R$3,0,0,'Données projet'!$E$9+1,1))-AVERAGE(OFFSET($H$3,0,0,'Données projet'!$E$9+1,1))</f>
        <v>83.628155134295611</v>
      </c>
      <c r="T19" s="62">
        <f t="shared" si="34"/>
        <v>248.53682625788625</v>
      </c>
      <c r="U19" s="16">
        <f>IF(ISNA(VLOOKUP(A19,'Données projet'!$A$35:$I$55,3,0)),0,VLOOKUP(A19,'Données projet'!$A$35:$I$55,3,0))</f>
        <v>1</v>
      </c>
      <c r="V19" s="16">
        <f>IF(ISNA(VLOOKUP(A19,'Données projet'!$A$35:$I$55,4,0)),0,VLOOKUP(A19,'Données projet'!$A$35:$I$55,4,0))</f>
        <v>201.96</v>
      </c>
      <c r="W19" s="17">
        <f>IF(ISNA(VLOOKUP(A19,'Données projet'!$A$35:$I$55,5,0)),0%,VLOOKUP(A19,'Données projet'!$A$35:$I$55,5,0)*VLOOKUP('Données projet'!$B$9,Paramètres!$A$1:$I$89,7,0))</f>
        <v>0.46799999999999997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0.1</v>
      </c>
      <c r="Z19" s="23">
        <f>EXP(-LN(2)/35)*Z18+(1-EXP(-LN(2)/35))/(LN(2)/35)*V19*W19*VLOOKUP('Données projet'!$B$9,Paramètres!$A$1:$I$89,3,0)*0.475*44/12</f>
        <v>52.648432584179865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9.6016700056066089</v>
      </c>
      <c r="AC19" s="24">
        <f t="shared" si="3"/>
        <v>62.250102589786472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>
        <f>VLOOKUP(A19,'Données projet'!$A$61:$I$81,2,0)</f>
        <v>201.96</v>
      </c>
      <c r="AG19" s="13">
        <f>VLOOKUP(A19,'Données projet'!$A$61:$I$81,9,0)</f>
        <v>14.280000000000001</v>
      </c>
      <c r="AH19" s="13">
        <f t="array" ref="AH19">INDEX(AG:AG,MIN(IF(ISNUMBER(AG19:AG215),ROW(AG19:AG215),"")))</f>
        <v>14.280000000000001</v>
      </c>
      <c r="AI19" s="14">
        <f>IF('Données projet'!$A$62&gt;35,AI18+AH19-AQ18,IF(A19&lt;'Données projet'!$A$62,$AF$205^A19,IF(A19='Données projet'!$A$62,'Données projet'!$B$62,AI18+AH19-AQ18)))</f>
        <v>201.96</v>
      </c>
      <c r="AJ19" s="14">
        <f>AI19*VLOOKUP('Données projet'!$B$10,Paramètres!$A$1:$I$89,3,0)*VLOOKUP('Données projet'!$B$10,Paramètres!$A$1:$I$89,5,0)</f>
        <v>101.76360480000001</v>
      </c>
      <c r="AK19" s="14">
        <f t="shared" si="35"/>
        <v>27.381723622452917</v>
      </c>
      <c r="AL19" s="22">
        <f t="shared" si="4"/>
        <v>224.92811366910553</v>
      </c>
      <c r="AM19" s="62">
        <f t="shared" si="5"/>
        <v>431.87015959121959</v>
      </c>
      <c r="AN19" s="62">
        <f ca="1">AVERAGE(OFFSET($AM$3,0,0,'Données projet'!$E$10+1,1))-AVERAGE(OFFSET($H$3,0,0,'Données projet'!$E$10+1,1))</f>
        <v>83.628155134295611</v>
      </c>
      <c r="AO19" s="62">
        <f t="shared" si="36"/>
        <v>248.53682625788625</v>
      </c>
      <c r="AP19" s="16">
        <f>IF(ISNA(VLOOKUP(A19,'Données projet'!$A$61:$I$81,3,0)),0,VLOOKUP(A19,'Données projet'!$A$61:$I$81,3,0))</f>
        <v>1</v>
      </c>
      <c r="AQ19" s="16">
        <f>IF(ISNA(VLOOKUP(A19,'Données projet'!$A$61:$I$81,4,0)),0,VLOOKUP(A19,'Données projet'!$A$61:$I$81,4,0))</f>
        <v>201.96</v>
      </c>
      <c r="AR19" s="17">
        <f>IF(ISNA(VLOOKUP(A19,'Données projet'!$A$61:$I$81,5,0)),0%,VLOOKUP(A19,'Données projet'!$A$61:$I$81,5,0)*VLOOKUP('Données projet'!$B$10,Paramètres!$A$1:$I$89,7,0))</f>
        <v>0.46799999999999997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52.648432584179865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52.648432584179865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0</v>
      </c>
      <c r="N20" s="14">
        <f>IF('Données projet'!$A$36&gt;35,N19+M20-V19,IF(A20&lt;'Données projet'!$A$36,$K$205^A20,IF(A20='Données projet'!$A$36,'Données projet'!$B$36,N19+M20-V19)))</f>
        <v>0</v>
      </c>
      <c r="O20" s="14">
        <f>N20*VLOOKUP('Données projet'!$B$9,Paramètres!$A$1:$I$89,3,0)*VLOOKUP('Données projet'!$B$9,Paramètres!$A$1:$I$89,5,0)</f>
        <v>0</v>
      </c>
      <c r="P20" s="14" t="e">
        <f t="shared" si="33"/>
        <v>#NUM!</v>
      </c>
      <c r="Q20" s="22" t="e">
        <f t="shared" si="2"/>
        <v>#NUM!</v>
      </c>
      <c r="R20" s="62" t="e">
        <f t="shared" si="0"/>
        <v>#NUM!</v>
      </c>
      <c r="S20" s="62">
        <f ca="1">AVERAGE(OFFSET($R$3,0,0,'Données projet'!$E$9+1,1))-AVERAGE(OFFSET($H$3,0,0,'Données projet'!$E$9+1,1))</f>
        <v>83.628155134295611</v>
      </c>
      <c r="T20" s="62">
        <f t="shared" si="34"/>
        <v>248.53682625788625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51.616028933577141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6.7894059716799093</v>
      </c>
      <c r="AC20" s="24">
        <f t="shared" si="3"/>
        <v>58.405434905257053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>
        <f>AI20*VLOOKUP('Données projet'!$B$10,Paramètres!$A$1:$I$89,3,0)*VLOOKUP('Données projet'!$B$10,Paramètres!$A$1:$I$89,5,0)</f>
        <v>0</v>
      </c>
      <c r="AK20" s="14" t="e">
        <f t="shared" si="35"/>
        <v>#NUM!</v>
      </c>
      <c r="AL20" s="22" t="e">
        <f t="shared" si="4"/>
        <v>#NUM!</v>
      </c>
      <c r="AM20" s="62" t="e">
        <f t="shared" si="5"/>
        <v>#NUM!</v>
      </c>
      <c r="AN20" s="62">
        <f ca="1">AVERAGE(OFFSET($AM$3,0,0,'Données projet'!$E$10+1,1))-AVERAGE(OFFSET($H$3,0,0,'Données projet'!$E$10+1,1))</f>
        <v>83.628155134295611</v>
      </c>
      <c r="AO20" s="62">
        <f t="shared" si="36"/>
        <v>248.53682625788625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51.616028933577141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51.616028933577141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0</v>
      </c>
      <c r="N21" s="14">
        <f>IF('Données projet'!$A$36&gt;35,N20+M21-V20,IF(A21&lt;'Données projet'!$A$36,$K$205^A21,IF(A21='Données projet'!$A$36,'Données projet'!$B$36,N20+M21-V20)))</f>
        <v>0</v>
      </c>
      <c r="O21" s="14">
        <f>N21*VLOOKUP('Données projet'!$B$9,Paramètres!$A$1:$I$89,3,0)*VLOOKUP('Données projet'!$B$9,Paramètres!$A$1:$I$89,5,0)</f>
        <v>0</v>
      </c>
      <c r="P21" s="14" t="e">
        <f t="shared" si="33"/>
        <v>#NUM!</v>
      </c>
      <c r="Q21" s="22" t="e">
        <f t="shared" si="2"/>
        <v>#NUM!</v>
      </c>
      <c r="R21" s="62" t="e">
        <f t="shared" si="0"/>
        <v>#NUM!</v>
      </c>
      <c r="S21" s="62">
        <f ca="1">AVERAGE(OFFSET($R$3,0,0,'Données projet'!$E$9+1,1))-AVERAGE(OFFSET($H$3,0,0,'Données projet'!$E$9+1,1))</f>
        <v>83.628155134295611</v>
      </c>
      <c r="T21" s="62">
        <f t="shared" si="34"/>
        <v>248.53682625788625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50.603870088858685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4.8008350028033053</v>
      </c>
      <c r="AC21" s="24">
        <f t="shared" si="3"/>
        <v>55.404705091661988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>
        <f>AI21*VLOOKUP('Données projet'!$B$10,Paramètres!$A$1:$I$89,3,0)*VLOOKUP('Données projet'!$B$10,Paramètres!$A$1:$I$89,5,0)</f>
        <v>0</v>
      </c>
      <c r="AK21" s="14" t="e">
        <f t="shared" si="35"/>
        <v>#NUM!</v>
      </c>
      <c r="AL21" s="22" t="e">
        <f t="shared" si="4"/>
        <v>#NUM!</v>
      </c>
      <c r="AM21" s="62" t="e">
        <f t="shared" si="5"/>
        <v>#NUM!</v>
      </c>
      <c r="AN21" s="62">
        <f ca="1">AVERAGE(OFFSET($AM$3,0,0,'Données projet'!$E$10+1,1))-AVERAGE(OFFSET($H$3,0,0,'Données projet'!$E$10+1,1))</f>
        <v>83.628155134295611</v>
      </c>
      <c r="AO21" s="62">
        <f t="shared" si="36"/>
        <v>248.53682625788625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50.603870088858685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50.603870088858685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83.628155134295611</v>
      </c>
      <c r="T22" s="62">
        <f t="shared" si="34"/>
        <v>248.53682625788625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49.611559061729224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3.3947029858399551</v>
      </c>
      <c r="AC22" s="24">
        <f t="shared" si="3"/>
        <v>53.00626204756918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>
        <f>AI22*VLOOKUP('Données projet'!$B$10,Paramètres!$A$1:$I$89,3,0)*VLOOKUP('Données projet'!$B$10,Paramètres!$A$1:$I$89,5,0)</f>
        <v>0</v>
      </c>
      <c r="AK22" s="14" t="e">
        <f t="shared" si="35"/>
        <v>#NUM!</v>
      </c>
      <c r="AL22" s="22" t="e">
        <f t="shared" si="4"/>
        <v>#NUM!</v>
      </c>
      <c r="AM22" s="62" t="e">
        <f t="shared" si="5"/>
        <v>#NUM!</v>
      </c>
      <c r="AN22" s="62">
        <f ca="1">AVERAGE(OFFSET($AM$3,0,0,'Données projet'!$E$10+1,1))-AVERAGE(OFFSET($H$3,0,0,'Données projet'!$E$10+1,1))</f>
        <v>83.628155134295611</v>
      </c>
      <c r="AO22" s="62">
        <f t="shared" si="36"/>
        <v>248.53682625788625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49.611559061729224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49.611559061729224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83.628155134295611</v>
      </c>
      <c r="T23" s="62">
        <f t="shared" si="34"/>
        <v>248.53682625788625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48.638706648591807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2.4004175014016527</v>
      </c>
      <c r="AC23" s="24">
        <f t="shared" si="3"/>
        <v>51.039124149993462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>
        <f>AI23*VLOOKUP('Données projet'!$B$10,Paramètres!$A$1:$I$89,3,0)*VLOOKUP('Données projet'!$B$10,Paramètres!$A$1:$I$89,5,0)</f>
        <v>0</v>
      </c>
      <c r="AK23" s="14" t="e">
        <f t="shared" si="35"/>
        <v>#NUM!</v>
      </c>
      <c r="AL23" s="22" t="e">
        <f t="shared" si="4"/>
        <v>#NUM!</v>
      </c>
      <c r="AM23" s="62" t="e">
        <f t="shared" si="5"/>
        <v>#NUM!</v>
      </c>
      <c r="AN23" s="62">
        <f ca="1">AVERAGE(OFFSET($AM$3,0,0,'Données projet'!$E$10+1,1))-AVERAGE(OFFSET($H$3,0,0,'Données projet'!$E$10+1,1))</f>
        <v>83.628155134295611</v>
      </c>
      <c r="AO23" s="62">
        <f t="shared" si="36"/>
        <v>248.53682625788625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48.638706648591807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48.638706648591807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83.628155134295611</v>
      </c>
      <c r="T24" s="62">
        <f t="shared" si="34"/>
        <v>248.53682625788625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47.684931277894634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1.6973514929199776</v>
      </c>
      <c r="AC24" s="24">
        <f t="shared" si="3"/>
        <v>49.382282770814612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83.628155134295611</v>
      </c>
      <c r="AO24" s="62">
        <f t="shared" si="36"/>
        <v>248.53682625788625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47.684931277894634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47.684931277894634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83.628155134295611</v>
      </c>
      <c r="T25" s="62">
        <f t="shared" si="34"/>
        <v>248.53682625788625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46.749858860471299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1.2002087507008263</v>
      </c>
      <c r="AC25" s="24">
        <f t="shared" si="3"/>
        <v>47.950067611172123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83.628155134295611</v>
      </c>
      <c r="AO25" s="62">
        <f t="shared" si="36"/>
        <v>248.53682625788625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46.749858860471299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46.749858860471299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83.628155134295611</v>
      </c>
      <c r="T26" s="62">
        <f t="shared" si="34"/>
        <v>248.53682625788625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45.833122642815781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0.84867574645998878</v>
      </c>
      <c r="AC26" s="24">
        <f t="shared" si="3"/>
        <v>46.68179838927577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83.628155134295611</v>
      </c>
      <c r="AO26" s="62">
        <f t="shared" si="36"/>
        <v>248.53682625788625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45.833122642815781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45.833122642815781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83.628155134295611</v>
      </c>
      <c r="T27" s="62">
        <f t="shared" si="34"/>
        <v>248.53682625788625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44.934363063234606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0.60010437535041317</v>
      </c>
      <c r="AC27" s="24">
        <f t="shared" si="3"/>
        <v>45.534467438585018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83.628155134295611</v>
      </c>
      <c r="AO27" s="62">
        <f t="shared" si="36"/>
        <v>248.53682625788625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44.934363063234606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44.934363063234606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83.628155134295611</v>
      </c>
      <c r="T28" s="62">
        <f t="shared" si="34"/>
        <v>248.53682625788625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44.053227610819803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0.42433787322999439</v>
      </c>
      <c r="AC28" s="24">
        <f t="shared" si="3"/>
        <v>44.477565484049798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83.628155134295611</v>
      </c>
      <c r="AO28" s="62">
        <f t="shared" si="36"/>
        <v>248.53682625788625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44.053227610819803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44.053227610819803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83.628155134295611</v>
      </c>
      <c r="T29" s="62">
        <f t="shared" si="34"/>
        <v>248.53682625788625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43.189370687187292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0.30005218767520658</v>
      </c>
      <c r="AC29" s="24">
        <f t="shared" si="3"/>
        <v>43.489422874862498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83.628155134295611</v>
      </c>
      <c r="AO29" s="62">
        <f t="shared" si="36"/>
        <v>248.53682625788625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43.189370687187292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43.189370687187292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83.628155134295611</v>
      </c>
      <c r="T30" s="62">
        <f t="shared" si="34"/>
        <v>248.53682625788625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42.342453470926522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0.21216893661499719</v>
      </c>
      <c r="AC30" s="24">
        <f t="shared" si="3"/>
        <v>42.554622407541515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83.628155134295611</v>
      </c>
      <c r="AO30" s="62">
        <f t="shared" si="36"/>
        <v>248.53682625788625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42.342453470926522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42.342453470926522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83.628155134295611</v>
      </c>
      <c r="T31" s="62">
        <f t="shared" si="34"/>
        <v>248.53682625788625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41.51214378470813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0.15002609383760329</v>
      </c>
      <c r="AC31" s="24">
        <f t="shared" si="3"/>
        <v>41.662169878545733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83.628155134295611</v>
      </c>
      <c r="AO31" s="62">
        <f t="shared" si="36"/>
        <v>248.53682625788625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41.51214378470813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41.51214378470813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83.628155134295611</v>
      </c>
      <c r="T32" s="62">
        <f t="shared" si="34"/>
        <v>248.53682625788625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40.698115964997577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0.1060844683074986</v>
      </c>
      <c r="AC32" s="24">
        <f t="shared" si="3"/>
        <v>40.804200433305077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83.628155134295611</v>
      </c>
      <c r="AO32" s="62">
        <f t="shared" si="36"/>
        <v>248.53682625788625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40.698115964997577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40.698115964997577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83.628155134295611</v>
      </c>
      <c r="T33" s="62">
        <f t="shared" si="34"/>
        <v>248.53682625788625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39.900050734323607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7.5013046918801646E-2</v>
      </c>
      <c r="AC33" s="24">
        <f t="shared" si="3"/>
        <v>39.975063781242412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83.628155134295611</v>
      </c>
      <c r="AO33" s="62">
        <f t="shared" si="36"/>
        <v>248.53682625788625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39.900050734323607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39.900050734323607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83.628155134295611</v>
      </c>
      <c r="T34" s="62">
        <f t="shared" si="34"/>
        <v>248.53682625788625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39.117635076051428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5.3042234153749299E-2</v>
      </c>
      <c r="AC34" s="24">
        <f t="shared" si="3"/>
        <v>39.170677310205178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83.628155134295611</v>
      </c>
      <c r="AO34" s="62">
        <f t="shared" si="36"/>
        <v>248.53682625788625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39.117635076051428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39.117635076051428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83.628155134295611</v>
      </c>
      <c r="T35" s="62">
        <f t="shared" si="34"/>
        <v>248.53682625788625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38.350562111611538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3.7506523459400823E-2</v>
      </c>
      <c r="AC35" s="24">
        <f t="shared" si="3"/>
        <v>38.388068635070937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83.628155134295611</v>
      </c>
      <c r="AO35" s="62">
        <f t="shared" si="36"/>
        <v>248.53682625788625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38.350562111611538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38.350562111611538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83.628155134295611</v>
      </c>
      <c r="T36" s="62">
        <f t="shared" si="34"/>
        <v>248.53682625788625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37.598530980136005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2.6521117076874649E-2</v>
      </c>
      <c r="AC36" s="24">
        <f t="shared" si="3"/>
        <v>37.62505209721288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83.628155134295611</v>
      </c>
      <c r="AO36" s="62">
        <f t="shared" si="36"/>
        <v>248.53682625788625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37.598530980136005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37.598530980136005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83.628155134295611</v>
      </c>
      <c r="T37" s="62">
        <f t="shared" si="34"/>
        <v>248.53682625788625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36.861246720455007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1.8753261729700411E-2</v>
      </c>
      <c r="AC37" s="24">
        <f t="shared" si="3"/>
        <v>36.879999982184707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83.628155134295611</v>
      </c>
      <c r="AO37" s="62">
        <f t="shared" si="36"/>
        <v>248.53682625788625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36.861246720455007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36.861246720455007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83.628155134295611</v>
      </c>
      <c r="T38" s="62">
        <f t="shared" si="34"/>
        <v>248.53682625788625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36.13842015540736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1.3260558538437325E-2</v>
      </c>
      <c r="AC38" s="24">
        <f t="shared" si="3"/>
        <v>36.151680713945794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83.628155134295611</v>
      </c>
      <c r="AO38" s="62">
        <f t="shared" si="36"/>
        <v>248.53682625788625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36.13842015540736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36.13842015540736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83.628155134295611</v>
      </c>
      <c r="T39" s="62">
        <f t="shared" si="34"/>
        <v>248.53682625788625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35.429767778419624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9.3766308648502057E-3</v>
      </c>
      <c r="AC39" s="24">
        <f t="shared" si="3"/>
        <v>35.439144409284474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83.628155134295611</v>
      </c>
      <c r="AO39" s="62">
        <f t="shared" si="36"/>
        <v>248.53682625788625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35.429767778419624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35.429767778419624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83.628155134295611</v>
      </c>
      <c r="T40" s="62">
        <f t="shared" si="34"/>
        <v>248.53682625788625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34.735011642309345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6.6302792692186623E-3</v>
      </c>
      <c r="AC40" s="24">
        <f t="shared" si="3"/>
        <v>34.741641921578562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83.628155134295611</v>
      </c>
      <c r="AO40" s="62">
        <f t="shared" si="36"/>
        <v>248.53682625788625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34.735011642309345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34.735011642309345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83.628155134295611</v>
      </c>
      <c r="T41" s="62">
        <f t="shared" si="34"/>
        <v>248.53682625788625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34.053879250268793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4.6883154324251029E-3</v>
      </c>
      <c r="AC41" s="24">
        <f t="shared" si="3"/>
        <v>34.058567565701217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83.628155134295611</v>
      </c>
      <c r="AO41" s="62">
        <f t="shared" si="36"/>
        <v>248.53682625788625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34.053879250268793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34.053879250268793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83.628155134295611</v>
      </c>
      <c r="T42" s="62">
        <f t="shared" si="34"/>
        <v>248.53682625788625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33.386103448986418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3.3151396346093312E-3</v>
      </c>
      <c r="AC42" s="24">
        <f t="shared" si="3"/>
        <v>33.389418588621027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83.628155134295611</v>
      </c>
      <c r="AO42" s="62">
        <f t="shared" si="36"/>
        <v>248.53682625788625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33.386103448986418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33.386103448986418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83.628155134295611</v>
      </c>
      <c r="T43" s="62">
        <f t="shared" si="34"/>
        <v>248.53682625788625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32.731422323864166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2.3441577162125514E-3</v>
      </c>
      <c r="AC43" s="24">
        <f t="shared" si="3"/>
        <v>32.733766481580382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83.628155134295611</v>
      </c>
      <c r="AO43" s="62">
        <f t="shared" si="36"/>
        <v>248.53682625788625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32.731422323864166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32.731422323864166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83.628155134295611</v>
      </c>
      <c r="T44" s="62">
        <f t="shared" si="34"/>
        <v>248.53682625788625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32.089579096289505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1.6575698173046656E-3</v>
      </c>
      <c r="AC44" s="24">
        <f t="shared" si="3"/>
        <v>32.091236666106809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83.628155134295611</v>
      </c>
      <c r="AO44" s="62">
        <f t="shared" si="36"/>
        <v>248.53682625788625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32.089579096289505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32.089579096289505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83.628155134295611</v>
      </c>
      <c r="T45" s="62">
        <f t="shared" si="34"/>
        <v>248.53682625788625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31.460322022921872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1.1720788581062757E-3</v>
      </c>
      <c r="AC45" s="24">
        <f t="shared" si="3"/>
        <v>31.46149410177998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83.628155134295611</v>
      </c>
      <c r="AO45" s="62">
        <f t="shared" si="36"/>
        <v>248.53682625788625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31.460322022921872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31.460322022921872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83.628155134295611</v>
      </c>
      <c r="T46" s="62">
        <f t="shared" si="34"/>
        <v>248.53682625788625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30.843404296954063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8.2878490865233279E-4</v>
      </c>
      <c r="AC46" s="24">
        <f t="shared" si="3"/>
        <v>30.844233081862715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83.628155134295611</v>
      </c>
      <c r="AO46" s="62">
        <f t="shared" si="36"/>
        <v>248.53682625788625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30.843404296954063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30.843404296954063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83.628155134295611</v>
      </c>
      <c r="T47" s="62">
        <f t="shared" si="34"/>
        <v>248.53682625788625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30.238583951309824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5.8603942905313786E-4</v>
      </c>
      <c r="AC47" s="24">
        <f t="shared" si="3"/>
        <v>30.239169990738876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83.628155134295611</v>
      </c>
      <c r="AO47" s="62">
        <f t="shared" si="36"/>
        <v>248.53682625788625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30.238583951309824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30.238583951309824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83.628155134295611</v>
      </c>
      <c r="T48" s="62">
        <f t="shared" si="34"/>
        <v>248.53682625788625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29.645623763739682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4.143924543261664E-4</v>
      </c>
      <c r="AC48" s="24">
        <f t="shared" si="3"/>
        <v>29.64603815619401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83.628155134295611</v>
      </c>
      <c r="AO48" s="62">
        <f t="shared" si="36"/>
        <v>248.53682625788625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29.645623763739682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29.645623763739682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83.628155134295611</v>
      </c>
      <c r="T49" s="62">
        <f t="shared" si="34"/>
        <v>248.53682625788625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29.064291163777789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2.9301971452656893E-4</v>
      </c>
      <c r="AC49" s="24">
        <f t="shared" si="3"/>
        <v>29.064584183492315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83.628155134295611</v>
      </c>
      <c r="AO49" s="62">
        <f t="shared" si="36"/>
        <v>248.53682625788625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29.064291163777789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29.064291163777789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83.628155134295611</v>
      </c>
      <c r="T50" s="62">
        <f t="shared" si="34"/>
        <v>248.53682625788625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28.494358141523275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2.071962271630832E-4</v>
      </c>
      <c r="AC50" s="24">
        <f t="shared" si="3"/>
        <v>28.494565337750437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83.628155134295611</v>
      </c>
      <c r="AO50" s="62">
        <f t="shared" si="36"/>
        <v>248.53682625788625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28.494358141523275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28.494358141523275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83.628155134295611</v>
      </c>
      <c r="T51" s="62">
        <f t="shared" si="34"/>
        <v>248.53682625788625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27.935601158210353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1.4650985726328446E-4</v>
      </c>
      <c r="AC51" s="24">
        <f t="shared" si="3"/>
        <v>27.935747668067616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83.628155134295611</v>
      </c>
      <c r="AO51" s="62">
        <f t="shared" si="36"/>
        <v>248.53682625788625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27.935601158210353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27.935601158210353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83.628155134295611</v>
      </c>
      <c r="T52" s="62">
        <f t="shared" si="34"/>
        <v>248.53682625788625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27.387801058532091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1.035981135815416E-4</v>
      </c>
      <c r="AC52" s="24">
        <f t="shared" si="3"/>
        <v>27.387904656645674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83.628155134295611</v>
      </c>
      <c r="AO52" s="62">
        <f t="shared" si="36"/>
        <v>248.53682625788625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27.387801058532091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27.387801058532091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83.628155134295611</v>
      </c>
      <c r="T53" s="62">
        <f t="shared" si="34"/>
        <v>248.53682625788625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26.85074298468345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7.3254928631642232E-5</v>
      </c>
      <c r="AC53" s="24">
        <f t="shared" si="3"/>
        <v>26.850816239612083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83.628155134295611</v>
      </c>
      <c r="AO53" s="62">
        <f t="shared" si="36"/>
        <v>248.53682625788625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26.85074298468345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26.85074298468345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83.628155134295611</v>
      </c>
      <c r="T54" s="62">
        <f t="shared" si="34"/>
        <v>248.53682625788625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26.324216292089901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5.1799056790770799E-5</v>
      </c>
      <c r="AC54" s="24">
        <f t="shared" si="3"/>
        <v>26.324268091146692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83.628155134295611</v>
      </c>
      <c r="AO54" s="62">
        <f t="shared" si="36"/>
        <v>248.53682625788625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26.324216292089901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26.324216292089901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83.628155134295611</v>
      </c>
      <c r="T55" s="62">
        <f t="shared" si="34"/>
        <v>248.53682625788625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25.808014466788538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3.6627464315821116E-5</v>
      </c>
      <c r="AC55" s="24">
        <f t="shared" si="3"/>
        <v>25.808051094252853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83.628155134295611</v>
      </c>
      <c r="AO55" s="62">
        <f t="shared" si="36"/>
        <v>248.53682625788625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25.808014466788538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25.808014466788538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83.628155134295611</v>
      </c>
      <c r="T56" s="62">
        <f t="shared" si="34"/>
        <v>248.53682625788625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25.301935044429314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2.58995283953854E-5</v>
      </c>
      <c r="AC56" s="24">
        <f t="shared" si="3"/>
        <v>25.30196094395771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83.628155134295611</v>
      </c>
      <c r="AO56" s="62">
        <f t="shared" si="36"/>
        <v>248.53682625788625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25.301935044429314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25.301935044429314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83.628155134295611</v>
      </c>
      <c r="T57" s="62">
        <f t="shared" si="34"/>
        <v>248.53682625788625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24.805779530864584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1.8313732157910558E-5</v>
      </c>
      <c r="AC57" s="24">
        <f t="shared" si="3"/>
        <v>24.805797844596743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83.628155134295611</v>
      </c>
      <c r="AO57" s="62">
        <f t="shared" si="36"/>
        <v>248.53682625788625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24.805779530864584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24.805779530864584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83.628155134295611</v>
      </c>
      <c r="T58" s="62">
        <f t="shared" si="34"/>
        <v>248.53682625788625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24.319353324295875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1.29497641976927E-5</v>
      </c>
      <c r="AC58" s="24">
        <f t="shared" si="3"/>
        <v>24.319366274060073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83.628155134295611</v>
      </c>
      <c r="AO58" s="62">
        <f t="shared" si="36"/>
        <v>248.53682625788625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24.319353324295875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24.319353324295875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83.628155134295611</v>
      </c>
      <c r="T59" s="62">
        <f t="shared" si="34"/>
        <v>248.53682625788625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23.842465638947289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9.156866078955279E-6</v>
      </c>
      <c r="AC59" s="24">
        <f t="shared" si="3"/>
        <v>23.842474795813366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83.628155134295611</v>
      </c>
      <c r="AO59" s="62">
        <f t="shared" si="36"/>
        <v>248.53682625788625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23.842465638947289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23.842465638947289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83.628155134295611</v>
      </c>
      <c r="T60" s="62">
        <f t="shared" si="34"/>
        <v>248.53682625788625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23.374929430235621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6.4748820988463499E-6</v>
      </c>
      <c r="AC60" s="24">
        <f t="shared" si="3"/>
        <v>23.37493590511772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83.628155134295611</v>
      </c>
      <c r="AO60" s="62">
        <f t="shared" si="36"/>
        <v>248.53682625788625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23.374929430235621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23.374929430235621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83.628155134295611</v>
      </c>
      <c r="T61" s="62">
        <f t="shared" si="34"/>
        <v>248.53682625788625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22.916561321407862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4.5784330394776395E-6</v>
      </c>
      <c r="AC61" s="24">
        <f t="shared" si="3"/>
        <v>22.916565899840901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83.628155134295611</v>
      </c>
      <c r="AO61" s="62">
        <f t="shared" si="36"/>
        <v>248.53682625788625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22.916561321407862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22.916561321407862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83.628155134295611</v>
      </c>
      <c r="T62" s="62">
        <f t="shared" si="34"/>
        <v>248.53682625788625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22.467181531617275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3.237441049423175E-6</v>
      </c>
      <c r="AC62" s="24">
        <f t="shared" si="3"/>
        <v>22.467184769058324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83.628155134295611</v>
      </c>
      <c r="AO62" s="62">
        <f t="shared" si="36"/>
        <v>248.53682625788625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22.467181531617275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22.467181531617275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83.628155134295611</v>
      </c>
      <c r="T63" s="62">
        <f t="shared" si="34"/>
        <v>248.53682625788625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22.026613805409873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2.2892165197388198E-6</v>
      </c>
      <c r="AC63" s="24">
        <f t="shared" si="3"/>
        <v>22.026616094626394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83.628155134295611</v>
      </c>
      <c r="AO63" s="62">
        <f t="shared" si="36"/>
        <v>248.53682625788625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22.026613805409873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22.026613805409873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83.628155134295611</v>
      </c>
      <c r="T64" s="62">
        <f t="shared" si="34"/>
        <v>248.53682625788625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21.594685343593621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1.6187205247115875E-6</v>
      </c>
      <c r="AC64" s="24">
        <f t="shared" si="3"/>
        <v>21.594686962314146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83.628155134295611</v>
      </c>
      <c r="AO64" s="62">
        <f t="shared" si="36"/>
        <v>248.53682625788625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21.594685343593621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21.594685343593621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83.628155134295611</v>
      </c>
      <c r="T65" s="62">
        <f t="shared" si="34"/>
        <v>248.53682625788625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21.171226735463236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1.1446082598694099E-6</v>
      </c>
      <c r="AC65" s="24">
        <f t="shared" si="3"/>
        <v>21.171227880071495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83.628155134295611</v>
      </c>
      <c r="AO65" s="62">
        <f t="shared" si="36"/>
        <v>248.53682625788625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21.171226735463236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21.171226735463236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83.628155134295611</v>
      </c>
      <c r="T66" s="62">
        <f t="shared" si="34"/>
        <v>248.53682625788625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20.75607189235404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8.0936026235579374E-7</v>
      </c>
      <c r="AC66" s="24">
        <f t="shared" si="3"/>
        <v>20.756072701714302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83.628155134295611</v>
      </c>
      <c r="AO66" s="62">
        <f t="shared" si="36"/>
        <v>248.53682625788625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20.75607189235404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20.75607189235404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83.628155134295611</v>
      </c>
      <c r="T67" s="62">
        <f t="shared" si="34"/>
        <v>248.53682625788625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20.349057982498763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5.7230412993470494E-7</v>
      </c>
      <c r="AC67" s="24">
        <f t="shared" si="3"/>
        <v>20.349058554802895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83.628155134295611</v>
      </c>
      <c r="AO67" s="62">
        <f t="shared" si="36"/>
        <v>248.53682625788625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20.349057982498763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20.349057982498763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83.628155134295611</v>
      </c>
      <c r="T68" s="62">
        <f t="shared" si="34"/>
        <v>248.53682625788625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19.950025367161778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4.0468013117789687E-7</v>
      </c>
      <c r="AC68" s="24">
        <f t="shared" ref="AC68:AC131" si="57">SUM(Z68:AB68)</f>
        <v>19.950025771841908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83.628155134295611</v>
      </c>
      <c r="AO68" s="62">
        <f t="shared" si="36"/>
        <v>248.53682625788625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19.950025367161778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19.950025367161778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83.628155134295611</v>
      </c>
      <c r="T69" s="62">
        <f t="shared" ref="T69:T132" si="88">$T$3</f>
        <v>248.53682625788625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19.558817538025689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2.8615206496735247E-7</v>
      </c>
      <c r="AC69" s="24">
        <f t="shared" si="57"/>
        <v>19.558817824177755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83.628155134295611</v>
      </c>
      <c r="AO69" s="62">
        <f t="shared" ref="AO69:AO132" si="90">$AO$3</f>
        <v>248.53682625788625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19.558817538025689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19.558817538025689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83.628155134295611</v>
      </c>
      <c r="T70" s="62">
        <f t="shared" si="88"/>
        <v>248.53682625788625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19.175281055805744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2.0234006558894844E-7</v>
      </c>
      <c r="AC70" s="24">
        <f t="shared" si="57"/>
        <v>19.175281258145809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83.628155134295611</v>
      </c>
      <c r="AO70" s="62">
        <f t="shared" si="90"/>
        <v>248.53682625788625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19.175281055805744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19.175281055805744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83.628155134295611</v>
      </c>
      <c r="T71" s="62">
        <f t="shared" si="88"/>
        <v>248.53682625788625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18.799265490067977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1.4307603248367623E-7</v>
      </c>
      <c r="AC71" s="24">
        <f t="shared" si="57"/>
        <v>18.79926563314401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83.628155134295611</v>
      </c>
      <c r="AO71" s="62">
        <f t="shared" si="90"/>
        <v>248.53682625788625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18.799265490067977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18.799265490067977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83.628155134295611</v>
      </c>
      <c r="T72" s="62">
        <f t="shared" si="88"/>
        <v>248.53682625788625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18.430623360227479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1.0117003279447422E-7</v>
      </c>
      <c r="AC72" s="24">
        <f t="shared" si="57"/>
        <v>18.430623461397513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83.628155134295611</v>
      </c>
      <c r="AO72" s="62">
        <f t="shared" si="90"/>
        <v>248.53682625788625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18.430623360227479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18.430623360227479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83.628155134295611</v>
      </c>
      <c r="T73" s="62">
        <f t="shared" si="88"/>
        <v>248.53682625788625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18.069210077703655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7.1538016241838117E-8</v>
      </c>
      <c r="AC73" s="24">
        <f t="shared" si="57"/>
        <v>18.06921014924167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83.628155134295611</v>
      </c>
      <c r="AO73" s="62">
        <f t="shared" si="90"/>
        <v>248.53682625788625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18.069210077703655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18.069210077703655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83.628155134295611</v>
      </c>
      <c r="T74" s="62">
        <f t="shared" si="88"/>
        <v>248.53682625788625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17.714883889209787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5.0585016397237109E-8</v>
      </c>
      <c r="AC74" s="24">
        <f t="shared" si="57"/>
        <v>17.714883939794802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83.628155134295611</v>
      </c>
      <c r="AO74" s="62">
        <f t="shared" si="90"/>
        <v>248.53682625788625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17.714883889209787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17.714883889209787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83.628155134295611</v>
      </c>
      <c r="T75" s="62">
        <f t="shared" si="88"/>
        <v>248.53682625788625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17.367505821154648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3.5769008120919059E-8</v>
      </c>
      <c r="AC75" s="24">
        <f t="shared" si="57"/>
        <v>17.367505856923657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83.628155134295611</v>
      </c>
      <c r="AO75" s="62">
        <f t="shared" si="90"/>
        <v>248.53682625788625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17.367505821154648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17.367505821154648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83.628155134295611</v>
      </c>
      <c r="T76" s="62">
        <f t="shared" si="88"/>
        <v>248.53682625788625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17.026939625134371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2.5292508198618554E-8</v>
      </c>
      <c r="AC76" s="24">
        <f t="shared" si="57"/>
        <v>17.026939650426879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83.628155134295611</v>
      </c>
      <c r="AO76" s="62">
        <f t="shared" si="90"/>
        <v>248.53682625788625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17.026939625134371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17.026939625134371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83.628155134295611</v>
      </c>
      <c r="T77" s="62">
        <f t="shared" si="88"/>
        <v>248.53682625788625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16.693051724493184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1.7884504060459529E-8</v>
      </c>
      <c r="AC77" s="24">
        <f t="shared" si="57"/>
        <v>16.693051742377687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83.628155134295611</v>
      </c>
      <c r="AO77" s="62">
        <f t="shared" si="90"/>
        <v>248.53682625788625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16.693051724493184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16.693051724493184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83.628155134295611</v>
      </c>
      <c r="T78" s="62">
        <f t="shared" si="88"/>
        <v>248.53682625788625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16.365711161932058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1.2646254099309277E-8</v>
      </c>
      <c r="AC78" s="24">
        <f t="shared" si="57"/>
        <v>16.365711174578312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83.628155134295611</v>
      </c>
      <c r="AO78" s="62">
        <f t="shared" si="90"/>
        <v>248.53682625788625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16.365711161932058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16.365711161932058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83.628155134295611</v>
      </c>
      <c r="T79" s="62">
        <f t="shared" si="88"/>
        <v>248.53682625788625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16.044789548144728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8.9422520302297647E-9</v>
      </c>
      <c r="AC79" s="24">
        <f t="shared" si="57"/>
        <v>16.044789557086979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83.628155134295611</v>
      </c>
      <c r="AO79" s="62">
        <f t="shared" si="90"/>
        <v>248.53682625788625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16.044789548144728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16.044789548144728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83.628155134295611</v>
      </c>
      <c r="T80" s="62">
        <f t="shared" si="88"/>
        <v>248.53682625788625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15.730161011460911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6.3231270496546386E-9</v>
      </c>
      <c r="AC80" s="24">
        <f t="shared" si="57"/>
        <v>15.730161017784038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83.628155134295611</v>
      </c>
      <c r="AO80" s="62">
        <f t="shared" si="90"/>
        <v>248.53682625788625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15.730161011460911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15.730161011460911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83.628155134295611</v>
      </c>
      <c r="T81" s="62">
        <f t="shared" si="88"/>
        <v>248.53682625788625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15.421702148477006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4.4711260151148823E-9</v>
      </c>
      <c r="AC81" s="24">
        <f t="shared" si="57"/>
        <v>15.421702152948132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83.628155134295611</v>
      </c>
      <c r="AO81" s="62">
        <f t="shared" si="90"/>
        <v>248.53682625788625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15.421702148477006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15.421702148477006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83.628155134295611</v>
      </c>
      <c r="T82" s="62">
        <f t="shared" si="88"/>
        <v>248.53682625788625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15.119291975654887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3.1615635248273193E-9</v>
      </c>
      <c r="AC82" s="24">
        <f t="shared" si="57"/>
        <v>15.119291978816451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83.628155134295611</v>
      </c>
      <c r="AO82" s="62">
        <f t="shared" si="90"/>
        <v>248.53682625788625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15.119291975654887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15.119291975654887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83.628155134295611</v>
      </c>
      <c r="T83" s="62">
        <f t="shared" si="88"/>
        <v>248.53682625788625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14.822811881869818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2.2355630075574412E-9</v>
      </c>
      <c r="AC83" s="24">
        <f t="shared" si="57"/>
        <v>14.822811884105381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83.628155134295611</v>
      </c>
      <c r="AO83" s="62">
        <f t="shared" si="90"/>
        <v>248.53682625788625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14.822811881869818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14.822811881869818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83.628155134295611</v>
      </c>
      <c r="T84" s="62">
        <f t="shared" si="88"/>
        <v>248.53682625788625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14.532145581888871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1.5807817624136597E-9</v>
      </c>
      <c r="AC84" s="24">
        <f t="shared" si="57"/>
        <v>14.532145583469653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83.628155134295611</v>
      </c>
      <c r="AO84" s="62">
        <f t="shared" si="90"/>
        <v>248.53682625788625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14.532145581888871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14.532145581888871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83.628155134295611</v>
      </c>
      <c r="T85" s="62">
        <f t="shared" si="88"/>
        <v>248.53682625788625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14.247179070761614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1.1177815037787206E-9</v>
      </c>
      <c r="AC85" s="24">
        <f t="shared" si="57"/>
        <v>14.247179071879396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83.628155134295611</v>
      </c>
      <c r="AO85" s="62">
        <f t="shared" si="90"/>
        <v>248.53682625788625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14.247179070761614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14.247179070761614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83.628155134295611</v>
      </c>
      <c r="T86" s="62">
        <f t="shared" si="88"/>
        <v>248.53682625788625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13.967800579105154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7.9039088120682983E-10</v>
      </c>
      <c r="AC86" s="24">
        <f t="shared" si="57"/>
        <v>13.967800579895545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83.628155134295611</v>
      </c>
      <c r="AO86" s="62">
        <f t="shared" si="90"/>
        <v>248.53682625788625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13.967800579105154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13.967800579105154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83.628155134295611</v>
      </c>
      <c r="T87" s="62">
        <f t="shared" si="88"/>
        <v>248.53682625788625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13.693900529266022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5.5889075188936029E-10</v>
      </c>
      <c r="AC87" s="24">
        <f t="shared" si="57"/>
        <v>13.693900529824914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83.628155134295611</v>
      </c>
      <c r="AO87" s="62">
        <f t="shared" si="90"/>
        <v>248.53682625788625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13.693900529266022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13.693900529266022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83.628155134295611</v>
      </c>
      <c r="T88" s="62">
        <f t="shared" si="88"/>
        <v>248.53682625788625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13.425371492341702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3.9519544060341491E-10</v>
      </c>
      <c r="AC88" s="24">
        <f t="shared" si="57"/>
        <v>13.425371492736897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83.628155134295611</v>
      </c>
      <c r="AO88" s="62">
        <f t="shared" si="90"/>
        <v>248.53682625788625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13.425371492341702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13.425371492341702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83.628155134295611</v>
      </c>
      <c r="T89" s="62">
        <f t="shared" si="88"/>
        <v>248.53682625788625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13.162108146044927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2.7944537594468015E-10</v>
      </c>
      <c r="AC89" s="24">
        <f t="shared" si="57"/>
        <v>13.162108146324373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83.628155134295611</v>
      </c>
      <c r="AO89" s="62">
        <f t="shared" si="90"/>
        <v>248.53682625788625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13.162108146044927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13.162108146044927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83.628155134295611</v>
      </c>
      <c r="T90" s="62">
        <f t="shared" si="88"/>
        <v>248.53682625788625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12.904007233394246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1.9759772030170746E-10</v>
      </c>
      <c r="AC90" s="24">
        <f t="shared" si="57"/>
        <v>12.904007233591845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83.628155134295611</v>
      </c>
      <c r="AO90" s="62">
        <f t="shared" si="90"/>
        <v>248.53682625788625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12.904007233394246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12.904007233394246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83.628155134295611</v>
      </c>
      <c r="T91" s="62">
        <f t="shared" si="88"/>
        <v>248.53682625788625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12.650967522214634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1.3972268797234007E-10</v>
      </c>
      <c r="AC91" s="24">
        <f t="shared" si="57"/>
        <v>12.650967522354357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83.628155134295611</v>
      </c>
      <c r="AO91" s="62">
        <f t="shared" si="90"/>
        <v>248.53682625788625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12.650967522214634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12.650967522214634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83.628155134295611</v>
      </c>
      <c r="T92" s="62">
        <f t="shared" si="88"/>
        <v>248.53682625788625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12.402889765432269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9.8798860150853728E-11</v>
      </c>
      <c r="AC92" s="24">
        <f t="shared" si="57"/>
        <v>12.402889765531068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83.628155134295611</v>
      </c>
      <c r="AO92" s="62">
        <f t="shared" si="90"/>
        <v>248.53682625788625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12.402889765432269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12.402889765432269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83.628155134295611</v>
      </c>
      <c r="T93" s="62">
        <f t="shared" si="88"/>
        <v>248.53682625788625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12.159676662147916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6.9861343986170037E-11</v>
      </c>
      <c r="AC93" s="24">
        <f t="shared" si="57"/>
        <v>12.159676662217777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83.628155134295611</v>
      </c>
      <c r="AO93" s="62">
        <f t="shared" si="90"/>
        <v>248.53682625788625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12.159676662147916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12.159676662147916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83.628155134295611</v>
      </c>
      <c r="T94" s="62">
        <f t="shared" si="88"/>
        <v>248.53682625788625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11.921232819473625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4.9399430075426864E-11</v>
      </c>
      <c r="AC94" s="24">
        <f t="shared" si="57"/>
        <v>11.921232819523023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83.628155134295611</v>
      </c>
      <c r="AO94" s="62">
        <f t="shared" si="90"/>
        <v>248.53682625788625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11.921232819473625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11.921232819473625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83.628155134295611</v>
      </c>
      <c r="T95" s="62">
        <f t="shared" si="88"/>
        <v>248.53682625788625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11.687464715117793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3.4930671993085018E-11</v>
      </c>
      <c r="AC95" s="24">
        <f t="shared" si="57"/>
        <v>11.687464715152723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83.628155134295611</v>
      </c>
      <c r="AO95" s="62">
        <f t="shared" si="90"/>
        <v>248.53682625788625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11.687464715117793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11.687464715117793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83.628155134295611</v>
      </c>
      <c r="T96" s="62">
        <f t="shared" si="88"/>
        <v>248.53682625788625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11.458280660703913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2.4699715037713432E-11</v>
      </c>
      <c r="AC96" s="24">
        <f t="shared" si="57"/>
        <v>11.458280660728613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83.628155134295611</v>
      </c>
      <c r="AO96" s="62">
        <f t="shared" si="90"/>
        <v>248.53682625788625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11.458280660703913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11.458280660703913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83.628155134295611</v>
      </c>
      <c r="T97" s="62">
        <f t="shared" si="88"/>
        <v>248.53682625788625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11.23359076580862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1.7465335996542509E-11</v>
      </c>
      <c r="AC97" s="24">
        <f t="shared" si="57"/>
        <v>11.233590765826085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83.628155134295611</v>
      </c>
      <c r="AO97" s="62">
        <f t="shared" si="90"/>
        <v>248.53682625788625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11.23359076580862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11.23359076580862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83.628155134295611</v>
      </c>
      <c r="T98" s="62">
        <f t="shared" si="88"/>
        <v>248.53682625788625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11.013306902704919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1.2349857518856716E-11</v>
      </c>
      <c r="AC98" s="24">
        <f t="shared" si="57"/>
        <v>11.013306902717268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83.628155134295611</v>
      </c>
      <c r="AO98" s="62">
        <f t="shared" si="90"/>
        <v>248.53682625788625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11.013306902704919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11.013306902704919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83.628155134295611</v>
      </c>
      <c r="T99" s="62">
        <f t="shared" si="88"/>
        <v>248.53682625788625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10.797342671796793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8.7326679982712546E-12</v>
      </c>
      <c r="AC99" s="24">
        <f t="shared" si="57"/>
        <v>10.797342671805525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83.628155134295611</v>
      </c>
      <c r="AO99" s="62">
        <f t="shared" si="90"/>
        <v>248.53682625788625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10.797342671796793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10.797342671796793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83.628155134295611</v>
      </c>
      <c r="T100" s="62">
        <f t="shared" si="88"/>
        <v>248.53682625788625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10.5856133677316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6.174928759428358E-12</v>
      </c>
      <c r="AC100" s="24">
        <f t="shared" si="57"/>
        <v>10.585613367737775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83.628155134295611</v>
      </c>
      <c r="AO100" s="62">
        <f t="shared" si="90"/>
        <v>248.53682625788625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10.5856133677316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10.5856133677316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83.628155134295611</v>
      </c>
      <c r="T101" s="62">
        <f t="shared" si="88"/>
        <v>248.53682625788625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10.378035946177002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4.3663339991356273E-12</v>
      </c>
      <c r="AC101" s="24">
        <f t="shared" si="57"/>
        <v>10.378035946181368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83.628155134295611</v>
      </c>
      <c r="AO101" s="62">
        <f t="shared" si="90"/>
        <v>248.53682625788625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10.378035946177002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10.378035946177002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83.628155134295611</v>
      </c>
      <c r="T102" s="62">
        <f t="shared" si="88"/>
        <v>248.53682625788625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10.174528991249366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3.087464379714179E-12</v>
      </c>
      <c r="AC102" s="24">
        <f t="shared" si="57"/>
        <v>10.174528991252453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83.628155134295611</v>
      </c>
      <c r="AO102" s="62">
        <f t="shared" si="90"/>
        <v>248.53682625788625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10.174528991249366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10.174528991249366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83.628155134295611</v>
      </c>
      <c r="T103" s="62">
        <f t="shared" si="88"/>
        <v>248.53682625788625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9.9750126835808732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2.1831669995678136E-12</v>
      </c>
      <c r="AC103" s="24">
        <f t="shared" si="57"/>
        <v>9.9750126835830564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83.628155134295611</v>
      </c>
      <c r="AO103" s="62">
        <f t="shared" si="90"/>
        <v>248.53682625788625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9.9750126835808732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9.9750126835808732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83.628155134295611</v>
      </c>
      <c r="T104" s="62">
        <f t="shared" si="88"/>
        <v>248.53682625788625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9.7794087690128286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1.5437321898570895E-12</v>
      </c>
      <c r="AC104" s="24">
        <f t="shared" si="57"/>
        <v>9.7794087690143723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83.628155134295611</v>
      </c>
      <c r="AO104" s="62">
        <f t="shared" si="90"/>
        <v>248.53682625788625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9.7794087690128286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9.7794087690128286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83.628155134295611</v>
      </c>
      <c r="T105" s="62">
        <f t="shared" si="88"/>
        <v>248.53682625788625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9.587640527902856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1.0915834997839068E-12</v>
      </c>
      <c r="AC105" s="24">
        <f t="shared" si="57"/>
        <v>9.5876405279039485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83.628155134295611</v>
      </c>
      <c r="AO105" s="62">
        <f t="shared" si="90"/>
        <v>248.53682625788625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9.587640527902856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9.587640527902856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83.628155134295611</v>
      </c>
      <c r="T106" s="62">
        <f t="shared" si="88"/>
        <v>248.53682625788625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9.3996327450339727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7.7186609492854475E-13</v>
      </c>
      <c r="AC106" s="24">
        <f t="shared" si="57"/>
        <v>9.3996327450347454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83.628155134295611</v>
      </c>
      <c r="AO106" s="62">
        <f t="shared" si="90"/>
        <v>248.53682625788625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9.3996327450339727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9.3996327450339727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83.628155134295611</v>
      </c>
      <c r="T107" s="62">
        <f t="shared" si="88"/>
        <v>248.53682625788625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9.2153116801137234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5.4579174989195341E-13</v>
      </c>
      <c r="AC107" s="24">
        <f t="shared" si="57"/>
        <v>9.2153116801142687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83.628155134295611</v>
      </c>
      <c r="AO107" s="62">
        <f t="shared" si="90"/>
        <v>248.53682625788625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9.2153116801137234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9.2153116801137234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83.628155134295611</v>
      </c>
      <c r="T108" s="62">
        <f t="shared" si="88"/>
        <v>248.53682625788625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9.0346050388518115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3.8593304746427238E-13</v>
      </c>
      <c r="AC108" s="24">
        <f t="shared" si="57"/>
        <v>9.034605038852197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83.628155134295611</v>
      </c>
      <c r="AO108" s="62">
        <f t="shared" si="90"/>
        <v>248.53682625788625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9.0346050388518115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9.0346050388518115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83.628155134295611</v>
      </c>
      <c r="T109" s="62">
        <f t="shared" si="88"/>
        <v>248.53682625788625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8.8574419446048775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2.7289587494597671E-13</v>
      </c>
      <c r="AC109" s="24">
        <f t="shared" si="57"/>
        <v>8.8574419446051511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83.628155134295611</v>
      </c>
      <c r="AO109" s="62">
        <f t="shared" si="90"/>
        <v>248.53682625788625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8.8574419446048775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8.8574419446048775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83.628155134295611</v>
      </c>
      <c r="T110" s="62">
        <f t="shared" si="88"/>
        <v>248.53682625788625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8.6837529105773097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1.9296652373213619E-13</v>
      </c>
      <c r="AC110" s="24">
        <f t="shared" si="57"/>
        <v>8.6837529105775033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83.628155134295611</v>
      </c>
      <c r="AO110" s="62">
        <f t="shared" si="90"/>
        <v>248.53682625788625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8.6837529105773097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8.6837529105773097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83.628155134295611</v>
      </c>
      <c r="T111" s="62">
        <f t="shared" si="88"/>
        <v>248.53682625788625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8.5134698125671715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1.3644793747298835E-13</v>
      </c>
      <c r="AC111" s="24">
        <f t="shared" si="57"/>
        <v>8.5134698125673083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83.628155134295611</v>
      </c>
      <c r="AO111" s="62">
        <f t="shared" si="90"/>
        <v>248.53682625788625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8.5134698125671715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8.5134698125671715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83.628155134295611</v>
      </c>
      <c r="T112" s="62">
        <f t="shared" si="88"/>
        <v>248.53682625788625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8.3465258622465779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9.6483261866068094E-14</v>
      </c>
      <c r="AC112" s="24">
        <f t="shared" si="57"/>
        <v>8.3465258622466738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83.628155134295611</v>
      </c>
      <c r="AO112" s="62">
        <f t="shared" si="90"/>
        <v>248.53682625788625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8.3465258622465779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8.3465258622465779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83.628155134295611</v>
      </c>
      <c r="T113" s="62">
        <f t="shared" si="88"/>
        <v>248.53682625788625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8.1828555809660166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6.8223968736494176E-14</v>
      </c>
      <c r="AC113" s="24">
        <f t="shared" si="57"/>
        <v>8.1828555809660841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83.628155134295611</v>
      </c>
      <c r="AO113" s="62">
        <f t="shared" si="90"/>
        <v>248.53682625788625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8.1828555809660166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8.1828555809660166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83.628155134295611</v>
      </c>
      <c r="T114" s="62">
        <f t="shared" si="88"/>
        <v>248.53682625788625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8.0223947740723531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4.8241630933034047E-14</v>
      </c>
      <c r="AC114" s="24">
        <f t="shared" si="57"/>
        <v>8.0223947740724011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83.628155134295611</v>
      </c>
      <c r="AO114" s="62">
        <f t="shared" si="90"/>
        <v>248.53682625788625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8.0223947740723531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8.0223947740723531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83.628155134295611</v>
      </c>
      <c r="T115" s="62">
        <f t="shared" si="88"/>
        <v>248.53682625788625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7.8650805057304449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3.4111984368247088E-14</v>
      </c>
      <c r="AC115" s="24">
        <f t="shared" si="57"/>
        <v>7.8650805057304787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83.628155134295611</v>
      </c>
      <c r="AO115" s="62">
        <f t="shared" si="90"/>
        <v>248.53682625788625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7.8650805057304449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7.8650805057304449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83.628155134295611</v>
      </c>
      <c r="T116" s="62">
        <f t="shared" si="88"/>
        <v>248.53682625788625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7.7108510742384926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2.4120815466517023E-14</v>
      </c>
      <c r="AC116" s="24">
        <f t="shared" si="57"/>
        <v>7.7108510742385166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83.628155134295611</v>
      </c>
      <c r="AO116" s="62">
        <f t="shared" si="90"/>
        <v>248.53682625788625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7.7108510742384926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7.7108510742384926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83.628155134295611</v>
      </c>
      <c r="T117" s="62">
        <f t="shared" si="88"/>
        <v>248.53682625788625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7.5596459878274329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1.7055992184123544E-14</v>
      </c>
      <c r="AC117" s="24">
        <f t="shared" si="57"/>
        <v>7.5596459878274498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83.628155134295611</v>
      </c>
      <c r="AO117" s="62">
        <f t="shared" si="90"/>
        <v>248.53682625788625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7.5596459878274329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7.5596459878274329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83.628155134295611</v>
      </c>
      <c r="T118" s="62">
        <f t="shared" si="88"/>
        <v>248.53682625788625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7.4114059409348982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1.2060407733258512E-14</v>
      </c>
      <c r="AC118" s="24">
        <f t="shared" si="57"/>
        <v>7.4114059409349107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83.628155134295611</v>
      </c>
      <c r="AO118" s="62">
        <f t="shared" si="90"/>
        <v>248.53682625788625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7.4114059409348982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7.4114059409348982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83.628155134295611</v>
      </c>
      <c r="T119" s="62">
        <f t="shared" si="88"/>
        <v>248.53682625788625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7.2660727909444258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8.527996092061772E-15</v>
      </c>
      <c r="AC119" s="24">
        <f t="shared" si="57"/>
        <v>7.2660727909444347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83.628155134295611</v>
      </c>
      <c r="AO119" s="62">
        <f t="shared" si="90"/>
        <v>248.53682625788625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7.2660727909444258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7.2660727909444258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83.628155134295611</v>
      </c>
      <c r="T120" s="62">
        <f t="shared" si="88"/>
        <v>248.53682625788625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7.1235895353807974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6.0302038666292559E-15</v>
      </c>
      <c r="AC120" s="24">
        <f t="shared" si="57"/>
        <v>7.1235895353808036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83.628155134295611</v>
      </c>
      <c r="AO120" s="62">
        <f t="shared" si="90"/>
        <v>248.53682625788625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7.1235895353807974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7.1235895353807974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83.628155134295611</v>
      </c>
      <c r="T121" s="62">
        <f t="shared" si="88"/>
        <v>248.53682625788625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6.983900289552567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4.263998046030886E-15</v>
      </c>
      <c r="AC121" s="24">
        <f t="shared" si="57"/>
        <v>6.9839002895525715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83.628155134295611</v>
      </c>
      <c r="AO121" s="62">
        <f t="shared" si="90"/>
        <v>248.53682625788625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6.983900289552567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6.983900289552567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83.628155134295611</v>
      </c>
      <c r="T122" s="62">
        <f t="shared" si="88"/>
        <v>248.53682625788625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6.8469502646330014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3.0151019333146279E-15</v>
      </c>
      <c r="AC122" s="24">
        <f t="shared" si="57"/>
        <v>6.846950264633004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83.628155134295611</v>
      </c>
      <c r="AO122" s="62">
        <f t="shared" si="90"/>
        <v>248.53682625788625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6.8469502646330014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6.8469502646330014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83.628155134295611</v>
      </c>
      <c r="T123" s="62">
        <f t="shared" si="88"/>
        <v>248.53682625788625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6.7126857461708411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2.131999023015443E-15</v>
      </c>
      <c r="AC123" s="24">
        <f t="shared" si="57"/>
        <v>6.7126857461708429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83.628155134295611</v>
      </c>
      <c r="AO123" s="62">
        <f t="shared" si="90"/>
        <v>248.53682625788625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6.7126857461708411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6.7126857461708411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83.628155134295611</v>
      </c>
      <c r="T124" s="62">
        <f t="shared" si="88"/>
        <v>248.53682625788625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6.5810540730224538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1.507550966657314E-15</v>
      </c>
      <c r="AC124" s="24">
        <f t="shared" si="57"/>
        <v>6.5810540730224556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83.628155134295611</v>
      </c>
      <c r="AO124" s="62">
        <f t="shared" si="90"/>
        <v>248.53682625788625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6.5810540730224538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6.5810540730224538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83.628155134295611</v>
      </c>
      <c r="T125" s="62">
        <f t="shared" si="88"/>
        <v>248.53682625788625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6.4520036166971142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1.0659995115077215E-15</v>
      </c>
      <c r="AC125" s="24">
        <f t="shared" si="57"/>
        <v>6.4520036166971151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83.628155134295611</v>
      </c>
      <c r="AO125" s="62">
        <f t="shared" si="90"/>
        <v>248.53682625788625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6.4520036166971142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6.4520036166971142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83.628155134295611</v>
      </c>
      <c r="T126" s="62">
        <f t="shared" si="88"/>
        <v>248.53682625788625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6.325483761107308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7.5377548332865698E-16</v>
      </c>
      <c r="AC126" s="24">
        <f t="shared" si="57"/>
        <v>6.3254837611073089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83.628155134295611</v>
      </c>
      <c r="AO126" s="62">
        <f t="shared" si="90"/>
        <v>248.53682625788625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6.325483761107308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6.325483761107308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83.628155134295611</v>
      </c>
      <c r="T127" s="62">
        <f t="shared" si="88"/>
        <v>248.53682625788625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6.2014448827161264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5.3299975575386075E-16</v>
      </c>
      <c r="AC127" s="24">
        <f t="shared" si="57"/>
        <v>6.2014448827161273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83.628155134295611</v>
      </c>
      <c r="AO127" s="62">
        <f t="shared" si="90"/>
        <v>248.53682625788625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6.2014448827161264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6.2014448827161264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83.628155134295611</v>
      </c>
      <c r="T128" s="62">
        <f t="shared" si="88"/>
        <v>248.53682625788625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6.0798383310739501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3.7688774166432849E-16</v>
      </c>
      <c r="AC128" s="24">
        <f t="shared" si="57"/>
        <v>6.0798383310739501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83.628155134295611</v>
      </c>
      <c r="AO128" s="62">
        <f t="shared" si="90"/>
        <v>248.53682625788625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6.0798383310739501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6.0798383310739501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83.628155134295611</v>
      </c>
      <c r="T129" s="62">
        <f t="shared" si="88"/>
        <v>248.53682625788625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5.9606164097368044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2.6649987787693038E-16</v>
      </c>
      <c r="AC129" s="24">
        <f t="shared" si="57"/>
        <v>5.9606164097368044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83.628155134295611</v>
      </c>
      <c r="AO129" s="62">
        <f t="shared" si="90"/>
        <v>248.53682625788625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5.9606164097368044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5.9606164097368044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83.628155134295611</v>
      </c>
      <c r="T130" s="62">
        <f t="shared" si="88"/>
        <v>248.53682625788625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5.8437323575588884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1.8844387083216425E-16</v>
      </c>
      <c r="AC130" s="24">
        <f t="shared" si="57"/>
        <v>5.8437323575588884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83.628155134295611</v>
      </c>
      <c r="AO130" s="62">
        <f t="shared" si="90"/>
        <v>248.53682625788625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5.8437323575588884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5.8437323575588884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83.628155134295611</v>
      </c>
      <c r="T131" s="62">
        <f t="shared" si="88"/>
        <v>248.53682625788625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5.7291403303519486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1.3324993893846519E-16</v>
      </c>
      <c r="AC131" s="24">
        <f t="shared" si="57"/>
        <v>5.7291403303519486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83.628155134295611</v>
      </c>
      <c r="AO131" s="62">
        <f t="shared" si="90"/>
        <v>248.53682625788625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5.7291403303519486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5.7291403303519486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83.628155134295611</v>
      </c>
      <c r="T132" s="62">
        <f t="shared" si="88"/>
        <v>248.53682625788625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5.6167953829043018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9.4221935416082123E-17</v>
      </c>
      <c r="AC132" s="24">
        <f t="shared" ref="AC132:AC153" si="111">SUM(Z132:AB132)</f>
        <v>5.6167953829043018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83.628155134295611</v>
      </c>
      <c r="AO132" s="62">
        <f t="shared" si="90"/>
        <v>248.53682625788625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5.6167953829043018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5.6167953829043018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83.628155134295611</v>
      </c>
      <c r="T133" s="62">
        <f t="shared" ref="T133:T196" si="142">$T$3</f>
        <v>248.53682625788625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5.5066534513524514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6.6624969469232594E-17</v>
      </c>
      <c r="AC133" s="24">
        <f t="shared" si="111"/>
        <v>5.5066534513524514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83.628155134295611</v>
      </c>
      <c r="AO133" s="62">
        <f t="shared" ref="AO133:AO196" si="144">$AO$3</f>
        <v>248.53682625788625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5.5066534513524514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5.5066534513524514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83.628155134295611</v>
      </c>
      <c r="T134" s="62">
        <f t="shared" si="142"/>
        <v>248.53682625788625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5.3986713358983884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4.7110967708041061E-17</v>
      </c>
      <c r="AC134" s="24">
        <f t="shared" si="111"/>
        <v>5.3986713358983884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83.628155134295611</v>
      </c>
      <c r="AO134" s="62">
        <f t="shared" si="144"/>
        <v>248.53682625788625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5.3986713358983884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5.3986713358983884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83.628155134295611</v>
      </c>
      <c r="T135" s="62">
        <f t="shared" si="142"/>
        <v>248.53682625788625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5.292806683865793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3.3312484734616297E-17</v>
      </c>
      <c r="AC135" s="24">
        <f t="shared" si="111"/>
        <v>5.292806683865793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83.628155134295611</v>
      </c>
      <c r="AO135" s="62">
        <f t="shared" si="144"/>
        <v>248.53682625788625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5.292806683865793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5.292806683865793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83.628155134295611</v>
      </c>
      <c r="T136" s="62">
        <f t="shared" si="142"/>
        <v>248.53682625788625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5.1890179730884949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2.3555483854020531E-17</v>
      </c>
      <c r="AC136" s="24">
        <f t="shared" si="111"/>
        <v>5.1890179730884949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83.628155134295611</v>
      </c>
      <c r="AO136" s="62">
        <f t="shared" si="144"/>
        <v>248.53682625788625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5.1890179730884949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5.1890179730884949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83.628155134295611</v>
      </c>
      <c r="T137" s="62">
        <f t="shared" si="142"/>
        <v>248.53682625788625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5.0872644956246766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1.6656242367308149E-17</v>
      </c>
      <c r="AC137" s="24">
        <f t="shared" si="111"/>
        <v>5.0872644956246766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83.628155134295611</v>
      </c>
      <c r="AO137" s="62">
        <f t="shared" si="144"/>
        <v>248.53682625788625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5.0872644956246766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5.0872644956246766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83.628155134295611</v>
      </c>
      <c r="T138" s="62">
        <f t="shared" si="142"/>
        <v>248.53682625788625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4.9875063417904304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1.1777741927010265E-17</v>
      </c>
      <c r="AC138" s="24">
        <f t="shared" si="111"/>
        <v>4.9875063417904304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83.628155134295611</v>
      </c>
      <c r="AO138" s="62">
        <f t="shared" si="144"/>
        <v>248.53682625788625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4.9875063417904304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4.9875063417904304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83.628155134295611</v>
      </c>
      <c r="T139" s="62">
        <f t="shared" si="142"/>
        <v>248.53682625788625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4.8897043845064081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8.3281211836540743E-18</v>
      </c>
      <c r="AC139" s="24">
        <f t="shared" si="111"/>
        <v>4.8897043845064081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83.628155134295611</v>
      </c>
      <c r="AO139" s="62">
        <f t="shared" si="144"/>
        <v>248.53682625788625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4.8897043845064081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4.8897043845064081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83.628155134295611</v>
      </c>
      <c r="T140" s="62">
        <f t="shared" si="142"/>
        <v>248.53682625788625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4.7938202639514218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5.8888709635051327E-18</v>
      </c>
      <c r="AC140" s="24">
        <f t="shared" si="111"/>
        <v>4.7938202639514218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83.628155134295611</v>
      </c>
      <c r="AO140" s="62">
        <f t="shared" si="144"/>
        <v>248.53682625788625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4.7938202639514218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4.7938202639514218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83.628155134295611</v>
      </c>
      <c r="T141" s="62">
        <f t="shared" si="142"/>
        <v>248.53682625788625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4.6998163725169801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4.1640605918270371E-18</v>
      </c>
      <c r="AC141" s="24">
        <f t="shared" si="111"/>
        <v>4.6998163725169801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83.628155134295611</v>
      </c>
      <c r="AO141" s="62">
        <f t="shared" si="144"/>
        <v>248.53682625788625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4.6998163725169801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4.6998163725169801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83.628155134295611</v>
      </c>
      <c r="T142" s="62">
        <f t="shared" si="142"/>
        <v>248.53682625788625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4.6076558400568555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2.9444354817525663E-18</v>
      </c>
      <c r="AC142" s="24">
        <f t="shared" si="111"/>
        <v>4.6076558400568555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83.628155134295611</v>
      </c>
      <c r="AO142" s="62">
        <f t="shared" si="144"/>
        <v>248.53682625788625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4.6076558400568555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4.6076558400568555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83.628155134295611</v>
      </c>
      <c r="T143" s="62">
        <f t="shared" si="142"/>
        <v>248.53682625788625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4.5173025194258996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2.0820302959135186E-18</v>
      </c>
      <c r="AC143" s="24">
        <f t="shared" si="111"/>
        <v>4.5173025194258996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83.628155134295611</v>
      </c>
      <c r="AO143" s="62">
        <f t="shared" si="144"/>
        <v>248.53682625788625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4.5173025194258996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4.5173025194258996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83.628155134295611</v>
      </c>
      <c r="T144" s="62">
        <f t="shared" si="142"/>
        <v>248.53682625788625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4.4287209723024326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1.4722177408762832E-18</v>
      </c>
      <c r="AC144" s="24">
        <f t="shared" si="111"/>
        <v>4.4287209723024326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83.628155134295611</v>
      </c>
      <c r="AO144" s="62">
        <f t="shared" si="144"/>
        <v>248.53682625788625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4.4287209723024326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4.4287209723024326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83.628155134295611</v>
      </c>
      <c r="T145" s="62">
        <f t="shared" si="142"/>
        <v>248.53682625788625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4.3418764552886486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1.0410151479567593E-18</v>
      </c>
      <c r="AC145" s="24">
        <f t="shared" si="111"/>
        <v>4.3418764552886486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83.628155134295611</v>
      </c>
      <c r="AO145" s="62">
        <f t="shared" si="144"/>
        <v>248.53682625788625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4.3418764552886486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4.3418764552886486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83.628155134295611</v>
      </c>
      <c r="T146" s="62">
        <f t="shared" si="142"/>
        <v>248.53682625788625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4.2567349062835795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7.3610887043814159E-19</v>
      </c>
      <c r="AC146" s="24">
        <f t="shared" si="111"/>
        <v>4.2567349062835795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83.628155134295611</v>
      </c>
      <c r="AO146" s="62">
        <f t="shared" si="144"/>
        <v>248.53682625788625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4.2567349062835795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4.2567349062835795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83.628155134295611</v>
      </c>
      <c r="T147" s="62">
        <f t="shared" si="142"/>
        <v>248.53682625788625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4.1732629311232827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5.2050757397837964E-19</v>
      </c>
      <c r="AC147" s="24">
        <f t="shared" si="111"/>
        <v>4.1732629311232827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83.628155134295611</v>
      </c>
      <c r="AO147" s="62">
        <f t="shared" si="144"/>
        <v>248.53682625788625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4.1732629311232827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4.1732629311232827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83.628155134295611</v>
      </c>
      <c r="T148" s="62">
        <f t="shared" si="142"/>
        <v>248.53682625788625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4.0914277904830021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3.6805443521907079E-19</v>
      </c>
      <c r="AC148" s="24">
        <f t="shared" si="111"/>
        <v>4.0914277904830021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83.628155134295611</v>
      </c>
      <c r="AO148" s="62">
        <f t="shared" si="144"/>
        <v>248.53682625788625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4.0914277904830021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4.0914277904830021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83.628155134295611</v>
      </c>
      <c r="T149" s="62">
        <f t="shared" si="142"/>
        <v>248.53682625788625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4.0111973870361703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2.6025378698918982E-19</v>
      </c>
      <c r="AC149" s="24">
        <f t="shared" si="111"/>
        <v>4.0111973870361703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83.628155134295611</v>
      </c>
      <c r="AO149" s="62">
        <f t="shared" si="144"/>
        <v>248.53682625788625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4.0111973870361703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4.0111973870361703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83.628155134295611</v>
      </c>
      <c r="T150" s="62">
        <f t="shared" si="142"/>
        <v>248.53682625788625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3.9325402528652167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1.840272176095354E-19</v>
      </c>
      <c r="AC150" s="24">
        <f t="shared" si="111"/>
        <v>3.9325402528652167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83.628155134295611</v>
      </c>
      <c r="AO150" s="62">
        <f t="shared" si="144"/>
        <v>248.53682625788625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3.9325402528652167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3.9325402528652167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83.628155134295611</v>
      </c>
      <c r="T151" s="62">
        <f t="shared" si="142"/>
        <v>248.53682625788625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3.8554255371192405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1.3012689349459491E-19</v>
      </c>
      <c r="AC151" s="24">
        <f t="shared" si="111"/>
        <v>3.8554255371192405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83.628155134295611</v>
      </c>
      <c r="AO151" s="62">
        <f t="shared" si="144"/>
        <v>248.53682625788625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3.8554255371192405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3.8554255371192405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83.628155134295611</v>
      </c>
      <c r="T152" s="62">
        <f t="shared" si="142"/>
        <v>248.53682625788625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3.7798229939137107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9.2013608804767698E-20</v>
      </c>
      <c r="AC152" s="24">
        <f t="shared" si="111"/>
        <v>3.7798229939137107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83.628155134295611</v>
      </c>
      <c r="AO152" s="62">
        <f t="shared" si="144"/>
        <v>248.53682625788625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3.7798229939137107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3.7798229939137107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83.628155134295611</v>
      </c>
      <c r="T153" s="62">
        <f t="shared" si="142"/>
        <v>248.53682625788625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3.7057029704674433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6.5063446747297455E-20</v>
      </c>
      <c r="AC153" s="24">
        <f t="shared" si="111"/>
        <v>3.7057029704674433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83.628155134295611</v>
      </c>
      <c r="AO153" s="62">
        <f t="shared" si="144"/>
        <v>248.53682625788625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3.7057029704674433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3.7057029704674433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83.628155134295611</v>
      </c>
      <c r="T154" s="62">
        <f t="shared" si="142"/>
        <v>248.53682625788625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3.6330363954722071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4.6006804402383849E-20</v>
      </c>
      <c r="AC154" s="24">
        <f t="shared" ref="AC154:AC203" si="163">SUM(Z154:AB154)</f>
        <v>3.6330363954722071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83.628155134295611</v>
      </c>
      <c r="AO154" s="62">
        <f t="shared" si="144"/>
        <v>248.53682625788625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3.6330363954722071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3.6330363954722071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83.628155134295611</v>
      </c>
      <c r="T155" s="62">
        <f t="shared" si="142"/>
        <v>248.53682625788625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3.5617947676903929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3.2531723373648728E-20</v>
      </c>
      <c r="AC155" s="24">
        <f t="shared" si="163"/>
        <v>3.5617947676903929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83.628155134295611</v>
      </c>
      <c r="AO155" s="62">
        <f t="shared" si="144"/>
        <v>248.53682625788625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3.5617947676903929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3.5617947676903929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83.628155134295611</v>
      </c>
      <c r="T156" s="62">
        <f t="shared" si="142"/>
        <v>248.53682625788625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3.4919501447762782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2.3003402201191925E-20</v>
      </c>
      <c r="AC156" s="24">
        <f t="shared" si="163"/>
        <v>3.4919501447762782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83.628155134295611</v>
      </c>
      <c r="AO156" s="62">
        <f t="shared" si="144"/>
        <v>248.53682625788625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3.4919501447762782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3.4919501447762782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83.628155134295611</v>
      </c>
      <c r="T157" s="62">
        <f t="shared" si="142"/>
        <v>248.53682625788625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3.4234751323164954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1.6265861686824364E-20</v>
      </c>
      <c r="AC157" s="24">
        <f t="shared" si="163"/>
        <v>3.4234751323164954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83.628155134295611</v>
      </c>
      <c r="AO157" s="62">
        <f t="shared" si="144"/>
        <v>248.53682625788625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3.4234751323164954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3.4234751323164954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83.628155134295611</v>
      </c>
      <c r="T158" s="62">
        <f t="shared" si="142"/>
        <v>248.53682625788625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3.3563428730854157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1.1501701100595962E-20</v>
      </c>
      <c r="AC158" s="24">
        <f t="shared" si="163"/>
        <v>3.3563428730854157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83.628155134295611</v>
      </c>
      <c r="AO158" s="62">
        <f t="shared" si="144"/>
        <v>248.53682625788625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3.3563428730854157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3.3563428730854157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83.628155134295611</v>
      </c>
      <c r="T159" s="62">
        <f t="shared" si="142"/>
        <v>248.53682625788625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3.2905270365112225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8.1329308434121819E-21</v>
      </c>
      <c r="AC159" s="24">
        <f t="shared" si="163"/>
        <v>3.2905270365112225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83.628155134295611</v>
      </c>
      <c r="AO159" s="62">
        <f t="shared" si="144"/>
        <v>248.53682625788625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3.2905270365112225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3.2905270365112225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83.628155134295611</v>
      </c>
      <c r="T160" s="62">
        <f t="shared" si="142"/>
        <v>248.53682625788625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3.2260018083485527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5.7508505502979811E-21</v>
      </c>
      <c r="AC160" s="24">
        <f t="shared" si="163"/>
        <v>3.2260018083485527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83.628155134295611</v>
      </c>
      <c r="AO160" s="62">
        <f t="shared" si="144"/>
        <v>248.53682625788625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3.2260018083485527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3.2260018083485527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83.628155134295611</v>
      </c>
      <c r="T161" s="62">
        <f t="shared" si="142"/>
        <v>248.53682625788625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3.1627418805536496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4.0664654217060909E-21</v>
      </c>
      <c r="AC161" s="24">
        <f t="shared" si="163"/>
        <v>3.1627418805536496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83.628155134295611</v>
      </c>
      <c r="AO161" s="62">
        <f t="shared" si="144"/>
        <v>248.53682625788625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3.1627418805536496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3.1627418805536496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83.628155134295611</v>
      </c>
      <c r="T162" s="62">
        <f t="shared" si="142"/>
        <v>248.53682625788625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3.1007224413580587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2.8754252751489906E-21</v>
      </c>
      <c r="AC162" s="24">
        <f t="shared" si="163"/>
        <v>3.1007224413580587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83.628155134295611</v>
      </c>
      <c r="AO162" s="62">
        <f t="shared" si="144"/>
        <v>248.53682625788625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3.1007224413580587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3.1007224413580587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83.628155134295611</v>
      </c>
      <c r="T163" s="62">
        <f t="shared" si="142"/>
        <v>248.53682625788625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3.0399191655369706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2.0332327108530455E-21</v>
      </c>
      <c r="AC163" s="24">
        <f t="shared" si="163"/>
        <v>3.0399191655369706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83.628155134295611</v>
      </c>
      <c r="AO163" s="62">
        <f t="shared" si="144"/>
        <v>248.53682625788625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3.0399191655369706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3.0399191655369706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83.628155134295611</v>
      </c>
      <c r="T164" s="62">
        <f t="shared" si="142"/>
        <v>248.53682625788625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2.9803082048683978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1.4377126375744953E-21</v>
      </c>
      <c r="AC164" s="24">
        <f t="shared" si="163"/>
        <v>2.9803082048683978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83.628155134295611</v>
      </c>
      <c r="AO164" s="62">
        <f t="shared" si="144"/>
        <v>248.53682625788625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2.9803082048683978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2.9803082048683978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83.628155134295611</v>
      </c>
      <c r="T165" s="62">
        <f t="shared" si="142"/>
        <v>248.53682625788625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2.9218661787794398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1.0166163554265227E-21</v>
      </c>
      <c r="AC165" s="24">
        <f t="shared" si="163"/>
        <v>2.9218661787794398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83.628155134295611</v>
      </c>
      <c r="AO165" s="62">
        <f t="shared" si="144"/>
        <v>248.53682625788625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2.9218661787794398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2.9218661787794398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83.628155134295611</v>
      </c>
      <c r="T166" s="62">
        <f t="shared" si="142"/>
        <v>248.53682625788625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2.8645701651759703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7.1885631878724764E-22</v>
      </c>
      <c r="AC166" s="24">
        <f t="shared" si="163"/>
        <v>2.8645701651759703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83.628155134295611</v>
      </c>
      <c r="AO166" s="62">
        <f t="shared" si="144"/>
        <v>248.53682625788625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2.8645701651759703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2.8645701651759703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83.628155134295611</v>
      </c>
      <c r="T167" s="62">
        <f t="shared" si="142"/>
        <v>248.53682625788625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2.8083976914521469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5.0830817771326137E-22</v>
      </c>
      <c r="AC167" s="24">
        <f t="shared" si="163"/>
        <v>2.8083976914521469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83.628155134295611</v>
      </c>
      <c r="AO167" s="62">
        <f t="shared" si="144"/>
        <v>248.53682625788625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2.8083976914521469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2.8083976914521469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83.628155134295611</v>
      </c>
      <c r="T168" s="62">
        <f t="shared" si="142"/>
        <v>248.53682625788625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2.7533267256762222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3.5942815939362382E-22</v>
      </c>
      <c r="AC168" s="24">
        <f t="shared" si="163"/>
        <v>2.7533267256762222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83.628155134295611</v>
      </c>
      <c r="AO168" s="62">
        <f t="shared" si="144"/>
        <v>248.53682625788625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2.7533267256762222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2.7533267256762222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83.628155134295611</v>
      </c>
      <c r="T169" s="62">
        <f t="shared" si="142"/>
        <v>248.53682625788625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2.6993356679491907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2.5415408885663068E-22</v>
      </c>
      <c r="AC169" s="24">
        <f t="shared" si="163"/>
        <v>2.6993356679491907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83.628155134295611</v>
      </c>
      <c r="AO169" s="62">
        <f t="shared" si="144"/>
        <v>248.53682625788625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2.6993356679491907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2.6993356679491907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83.628155134295611</v>
      </c>
      <c r="T170" s="62">
        <f t="shared" si="142"/>
        <v>248.53682625788625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2.6464033419328929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1.7971407969681191E-22</v>
      </c>
      <c r="AC170" s="24">
        <f t="shared" si="163"/>
        <v>2.6464033419328929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83.628155134295611</v>
      </c>
      <c r="AO170" s="62">
        <f t="shared" si="144"/>
        <v>248.53682625788625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2.6464033419328929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2.6464033419328929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83.628155134295611</v>
      </c>
      <c r="T171" s="62">
        <f t="shared" si="142"/>
        <v>248.53682625788625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2.5945089865442439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1.2707704442831534E-22</v>
      </c>
      <c r="AC171" s="24">
        <f t="shared" si="163"/>
        <v>2.5945089865442439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83.628155134295611</v>
      </c>
      <c r="AO171" s="62">
        <f t="shared" si="144"/>
        <v>248.53682625788625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2.5945089865442439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2.5945089865442439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83.628155134295611</v>
      </c>
      <c r="T172" s="62">
        <f t="shared" si="142"/>
        <v>248.53682625788625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2.5436322478123348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8.9857039848405955E-23</v>
      </c>
      <c r="AC172" s="24">
        <f t="shared" si="163"/>
        <v>2.5436322478123348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83.628155134295611</v>
      </c>
      <c r="AO172" s="62">
        <f t="shared" si="144"/>
        <v>248.53682625788625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2.5436322478123348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2.5436322478123348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83.628155134295611</v>
      </c>
      <c r="T173" s="62">
        <f t="shared" si="142"/>
        <v>248.53682625788625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2.4937531708952116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6.3538522214157671E-23</v>
      </c>
      <c r="AC173" s="24">
        <f t="shared" si="163"/>
        <v>2.4937531708952116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83.628155134295611</v>
      </c>
      <c r="AO173" s="62">
        <f t="shared" si="144"/>
        <v>248.53682625788625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2.4937531708952116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2.4937531708952116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83.628155134295611</v>
      </c>
      <c r="T174" s="62">
        <f t="shared" si="142"/>
        <v>248.53682625788625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2.4448521922532005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4.4928519924202978E-23</v>
      </c>
      <c r="AC174" s="24">
        <f t="shared" si="163"/>
        <v>2.4448521922532005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83.628155134295611</v>
      </c>
      <c r="AO174" s="62">
        <f t="shared" si="144"/>
        <v>248.53682625788625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2.4448521922532005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2.4448521922532005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83.628155134295611</v>
      </c>
      <c r="T175" s="62">
        <f t="shared" si="142"/>
        <v>248.53682625788625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2.3969101319757073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3.1769261107078835E-23</v>
      </c>
      <c r="AC175" s="24">
        <f t="shared" si="163"/>
        <v>2.3969101319757073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83.628155134295611</v>
      </c>
      <c r="AO175" s="62">
        <f t="shared" si="144"/>
        <v>248.53682625788625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2.3969101319757073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2.3969101319757073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83.628155134295611</v>
      </c>
      <c r="T176" s="62">
        <f t="shared" si="142"/>
        <v>248.53682625788625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2.3499081862584865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2.2464259962101489E-23</v>
      </c>
      <c r="AC176" s="24">
        <f t="shared" si="163"/>
        <v>2.3499081862584865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83.628155134295611</v>
      </c>
      <c r="AO176" s="62">
        <f t="shared" si="144"/>
        <v>248.53682625788625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2.3499081862584865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2.3499081862584865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83.628155134295611</v>
      </c>
      <c r="T177" s="62">
        <f t="shared" si="142"/>
        <v>248.53682625788625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2.3038279200284242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1.5884630553539418E-23</v>
      </c>
      <c r="AC177" s="24">
        <f t="shared" si="163"/>
        <v>2.3038279200284242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83.628155134295611</v>
      </c>
      <c r="AO177" s="62">
        <f t="shared" si="144"/>
        <v>248.53682625788625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2.3038279200284242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2.3038279200284242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83.628155134295611</v>
      </c>
      <c r="T178" s="62">
        <f t="shared" si="142"/>
        <v>248.53682625788625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2.2586512597129462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1.1232129981050744E-23</v>
      </c>
      <c r="AC178" s="24">
        <f t="shared" si="163"/>
        <v>2.2586512597129462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83.628155134295611</v>
      </c>
      <c r="AO178" s="62">
        <f t="shared" si="144"/>
        <v>248.53682625788625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2.2586512597129462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2.2586512597129462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83.628155134295611</v>
      </c>
      <c r="T179" s="62">
        <f t="shared" si="142"/>
        <v>248.53682625788625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2.2143604861512132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7.9423152767697089E-24</v>
      </c>
      <c r="AC179" s="24">
        <f t="shared" si="163"/>
        <v>2.2143604861512132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83.628155134295611</v>
      </c>
      <c r="AO179" s="62">
        <f t="shared" si="144"/>
        <v>248.53682625788625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2.2143604861512132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2.2143604861512132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83.628155134295611</v>
      </c>
      <c r="T180" s="62">
        <f t="shared" si="142"/>
        <v>248.53682625788625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2.1709382276443212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5.6160649905253722E-24</v>
      </c>
      <c r="AC180" s="24">
        <f t="shared" si="163"/>
        <v>2.1709382276443212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83.628155134295611</v>
      </c>
      <c r="AO180" s="62">
        <f t="shared" si="144"/>
        <v>248.53682625788625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2.1709382276443212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2.1709382276443212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83.628155134295611</v>
      </c>
      <c r="T181" s="62">
        <f t="shared" si="142"/>
        <v>248.53682625788625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2.1283674531417867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3.9711576383848544E-24</v>
      </c>
      <c r="AC181" s="24">
        <f t="shared" si="163"/>
        <v>2.1283674531417867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83.628155134295611</v>
      </c>
      <c r="AO181" s="62">
        <f t="shared" si="144"/>
        <v>248.53682625788625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2.1283674531417867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2.1283674531417867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83.628155134295611</v>
      </c>
      <c r="T182" s="62">
        <f t="shared" si="142"/>
        <v>248.53682625788625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2.0866314655616383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2.8080324952626861E-24</v>
      </c>
      <c r="AC182" s="24">
        <f t="shared" si="163"/>
        <v>2.0866314655616383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83.628155134295611</v>
      </c>
      <c r="AO182" s="62">
        <f t="shared" si="144"/>
        <v>248.53682625788625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2.0866314655616383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2.0866314655616383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83.628155134295611</v>
      </c>
      <c r="T183" s="62">
        <f t="shared" si="142"/>
        <v>248.53682625788625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2.0457138952414979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1.9855788191924272E-24</v>
      </c>
      <c r="AC183" s="24">
        <f t="shared" si="163"/>
        <v>2.0457138952414979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83.628155134295611</v>
      </c>
      <c r="AO183" s="62">
        <f t="shared" si="144"/>
        <v>248.53682625788625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2.0457138952414979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2.0457138952414979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83.628155134295611</v>
      </c>
      <c r="T184" s="62">
        <f t="shared" si="142"/>
        <v>248.53682625788625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2.0055986935180821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1.4040162476313431E-24</v>
      </c>
      <c r="AC184" s="24">
        <f t="shared" si="163"/>
        <v>2.0055986935180821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83.628155134295611</v>
      </c>
      <c r="AO184" s="62">
        <f t="shared" si="144"/>
        <v>248.53682625788625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2.0055986935180821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2.0055986935180821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83.628155134295611</v>
      </c>
      <c r="T185" s="62">
        <f t="shared" si="142"/>
        <v>248.53682625788625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1.9662701264326052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9.9278940959621361E-25</v>
      </c>
      <c r="AC185" s="24">
        <f t="shared" si="163"/>
        <v>1.9662701264326052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83.628155134295611</v>
      </c>
      <c r="AO185" s="62">
        <f t="shared" si="144"/>
        <v>248.53682625788625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1.9662701264326052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1.9662701264326052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83.628155134295611</v>
      </c>
      <c r="T186" s="62">
        <f t="shared" si="142"/>
        <v>248.53682625788625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1.9277127685596174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7.0200812381567153E-25</v>
      </c>
      <c r="AC186" s="24">
        <f t="shared" si="163"/>
        <v>1.9277127685596174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83.628155134295611</v>
      </c>
      <c r="AO186" s="62">
        <f t="shared" si="144"/>
        <v>248.53682625788625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1.9277127685596174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1.9277127685596174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83.628155134295611</v>
      </c>
      <c r="T187" s="62">
        <f t="shared" si="142"/>
        <v>248.53682625788625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1.8899114969568527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4.963947047981068E-25</v>
      </c>
      <c r="AC187" s="24">
        <f t="shared" si="163"/>
        <v>1.8899114969568527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83.628155134295611</v>
      </c>
      <c r="AO187" s="62">
        <f t="shared" si="144"/>
        <v>248.53682625788625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1.8899114969568527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1.8899114969568527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83.628155134295611</v>
      </c>
      <c r="T188" s="62">
        <f t="shared" si="142"/>
        <v>248.53682625788625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1.852851485233719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3.5100406190783576E-25</v>
      </c>
      <c r="AC188" s="24">
        <f t="shared" si="163"/>
        <v>1.852851485233719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83.628155134295611</v>
      </c>
      <c r="AO188" s="62">
        <f t="shared" si="144"/>
        <v>248.53682625788625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1.852851485233719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1.852851485233719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83.628155134295611</v>
      </c>
      <c r="T189" s="62">
        <f t="shared" si="142"/>
        <v>248.53682625788625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1.8165181977361009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2.481973523990534E-25</v>
      </c>
      <c r="AC189" s="24">
        <f t="shared" si="163"/>
        <v>1.8165181977361009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83.628155134295611</v>
      </c>
      <c r="AO189" s="62">
        <f t="shared" si="144"/>
        <v>248.53682625788625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1.8165181977361009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1.8165181977361009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83.628155134295611</v>
      </c>
      <c r="T190" s="62">
        <f t="shared" si="142"/>
        <v>248.53682625788625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1.780897383845194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1.7550203095391788E-25</v>
      </c>
      <c r="AC190" s="24">
        <f t="shared" si="163"/>
        <v>1.780897383845194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83.628155134295611</v>
      </c>
      <c r="AO190" s="62">
        <f t="shared" si="144"/>
        <v>248.53682625788625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1.780897383845194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1.780897383845194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83.628155134295611</v>
      </c>
      <c r="T191" s="62">
        <f t="shared" si="142"/>
        <v>248.53682625788625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1.7459750723881367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1.240986761995267E-25</v>
      </c>
      <c r="AC191" s="24">
        <f t="shared" si="163"/>
        <v>1.7459750723881367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83.628155134295611</v>
      </c>
      <c r="AO191" s="62">
        <f t="shared" si="144"/>
        <v>248.53682625788625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1.7459750723881367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1.7459750723881367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83.628155134295611</v>
      </c>
      <c r="T192" s="62">
        <f t="shared" si="142"/>
        <v>248.53682625788625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1.7117375661582455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8.7751015476958941E-26</v>
      </c>
      <c r="AC192" s="24">
        <f t="shared" si="163"/>
        <v>1.7117375661582455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83.628155134295611</v>
      </c>
      <c r="AO192" s="62">
        <f t="shared" si="144"/>
        <v>248.53682625788625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1.7117375661582455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1.7117375661582455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83.628155134295611</v>
      </c>
      <c r="T193" s="62">
        <f t="shared" si="142"/>
        <v>248.53682625788625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1.6781714365427056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6.2049338099763351E-26</v>
      </c>
      <c r="AC193" s="24">
        <f t="shared" si="163"/>
        <v>1.6781714365427056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83.628155134295611</v>
      </c>
      <c r="AO193" s="62">
        <f t="shared" si="144"/>
        <v>248.53682625788625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1.6781714365427056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1.6781714365427056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83.628155134295611</v>
      </c>
      <c r="T194" s="62">
        <f t="shared" si="142"/>
        <v>248.53682625788625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1.645263518255609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4.387550773847947E-26</v>
      </c>
      <c r="AC194" s="24">
        <f t="shared" si="163"/>
        <v>1.645263518255609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83.628155134295611</v>
      </c>
      <c r="AO194" s="62">
        <f t="shared" si="144"/>
        <v>248.53682625788625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1.645263518255609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1.645263518255609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83.628155134295611</v>
      </c>
      <c r="T195" s="62">
        <f t="shared" si="142"/>
        <v>248.53682625788625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1.6130009041742741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3.1024669049881675E-26</v>
      </c>
      <c r="AC195" s="24">
        <f t="shared" si="163"/>
        <v>1.6130009041742741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83.628155134295611</v>
      </c>
      <c r="AO195" s="62">
        <f t="shared" si="144"/>
        <v>248.53682625788625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1.6130009041742741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1.6130009041742741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83.628155134295611</v>
      </c>
      <c r="T196" s="62">
        <f t="shared" si="142"/>
        <v>248.53682625788625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1.5813709402768226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2.1937753869239735E-26</v>
      </c>
      <c r="AC196" s="24">
        <f t="shared" si="163"/>
        <v>1.5813709402768226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83.628155134295611</v>
      </c>
      <c r="AO196" s="62">
        <f t="shared" si="144"/>
        <v>248.53682625788625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1.5813709402768226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1.5813709402768226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83.628155134295611</v>
      </c>
      <c r="T197" s="62">
        <f t="shared" ref="T197:T203" si="204">$T$3</f>
        <v>248.53682625788625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1.5503612206790272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1.5512334524940838E-26</v>
      </c>
      <c r="AC197" s="24">
        <f t="shared" si="163"/>
        <v>1.5503612206790272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83.628155134295611</v>
      </c>
      <c r="AO197" s="62">
        <f t="shared" ref="AO197:AO203" si="205">$AO$3</f>
        <v>248.53682625788625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1.5503612206790272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1.5503612206790272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83.628155134295611</v>
      </c>
      <c r="T198" s="62">
        <f t="shared" si="204"/>
        <v>248.53682625788625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1.5199595827684831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1.0968876934619868E-26</v>
      </c>
      <c r="AC198" s="24">
        <f t="shared" si="163"/>
        <v>1.5199595827684831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83.628155134295611</v>
      </c>
      <c r="AO198" s="62">
        <f t="shared" si="205"/>
        <v>248.53682625788625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1.5199595827684831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1.5199595827684831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83.628155134295611</v>
      </c>
      <c r="T199" s="62">
        <f t="shared" si="204"/>
        <v>248.53682625788625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1.4901541024341967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7.7561672624704188E-27</v>
      </c>
      <c r="AC199" s="24">
        <f t="shared" si="163"/>
        <v>1.4901541024341967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83.628155134295611</v>
      </c>
      <c r="AO199" s="62">
        <f t="shared" si="205"/>
        <v>248.53682625788625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1.4901541024341967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1.4901541024341967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83.628155134295611</v>
      </c>
      <c r="T200" s="62">
        <f t="shared" si="204"/>
        <v>248.53682625788625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1.4609330893897177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5.4844384673099338E-27</v>
      </c>
      <c r="AC200" s="24">
        <f t="shared" si="163"/>
        <v>1.4609330893897177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83.628155134295611</v>
      </c>
      <c r="AO200" s="62">
        <f t="shared" si="205"/>
        <v>248.53682625788625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1.4609330893897177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1.4609330893897177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83.628155134295611</v>
      </c>
      <c r="T201" s="62">
        <f t="shared" si="204"/>
        <v>248.53682625788625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1.4322850825879829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3.8780836312352094E-27</v>
      </c>
      <c r="AC201" s="24">
        <f t="shared" si="163"/>
        <v>1.4322850825879829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83.628155134295611</v>
      </c>
      <c r="AO201" s="62">
        <f t="shared" si="205"/>
        <v>248.53682625788625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1.4322850825879829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1.4322850825879829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83.628155134295611</v>
      </c>
      <c r="T202" s="62">
        <f t="shared" si="204"/>
        <v>248.53682625788625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1.4041988457260715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2.7422192336549669E-27</v>
      </c>
      <c r="AC202" s="24">
        <f t="shared" si="163"/>
        <v>1.4041988457260715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83.628155134295611</v>
      </c>
      <c r="AO202" s="62">
        <f t="shared" si="205"/>
        <v>248.53682625788625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1.4041988457260715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1.4041988457260715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83.628155134295611</v>
      </c>
      <c r="T203" s="62">
        <f t="shared" si="204"/>
        <v>248.53682625788625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1.3766633628381091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1.9390418156176047E-27</v>
      </c>
      <c r="AC203" s="24">
        <f t="shared" si="163"/>
        <v>1.3766633628381091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83.628155134295611</v>
      </c>
      <c r="AO203" s="62">
        <f t="shared" si="205"/>
        <v>248.53682625788625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1.3766633628381091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1.3766633628381091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1.418888797305915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1.418888797305915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C36" sqref="C36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15" t="s">
        <v>191</v>
      </c>
      <c r="C2" s="316"/>
      <c r="D2" s="316"/>
      <c r="E2" s="316"/>
      <c r="F2" s="316"/>
      <c r="G2" s="317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14"/>
      <c r="C4" s="314"/>
      <c r="D4" s="314"/>
      <c r="E4" s="314"/>
      <c r="F4" s="314"/>
      <c r="G4" s="314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29" workbookViewId="0">
      <selection activeCell="B55" sqref="B55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L16" sqref="L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15" t="s">
        <v>271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7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Peuplier Raspalje</v>
      </c>
      <c r="B6" s="155">
        <f>'Données projet'!D9</f>
        <v>1.9614400000000003</v>
      </c>
      <c r="C6" s="156">
        <f ca="1">IF(OR('Données projet'!B9="",'Données projet'!C9="",'Données projet'!C9=0%),0,Calculateur!S3)</f>
        <v>83.628155134295611</v>
      </c>
      <c r="D6" s="156">
        <f>IF(OR('Données projet'!B9="",'Données projet'!C9="",'Données projet'!C9=0%),0,Calculateur!T3)</f>
        <v>248.53682625788625</v>
      </c>
      <c r="E6" s="156">
        <f ca="1">MIN(C6,D6)</f>
        <v>83.628155134295611</v>
      </c>
      <c r="F6" s="156">
        <f ca="1">E6*B6</f>
        <v>164.03160860661282</v>
      </c>
      <c r="G6" s="156">
        <f ca="1">F6*(100%-'Données projet'!$C$24)*(100%-'Données projet'!$C$25)*(100%-'Données projet'!$C$26)*(100%-'Données projet'!$C$27)</f>
        <v>140.24702535865396</v>
      </c>
      <c r="H6" s="157">
        <f>IF(OR('Données projet'!B9="",'Données projet'!C9="",'Données projet'!C9=0%),0,AVERAGE(Calculateur!$AC$3:$AC$33)*B6)</f>
        <v>45.721627645502195</v>
      </c>
      <c r="I6" s="158">
        <f>H6*(100%-'Données projet'!$C$24)*(100%-'Données projet'!$C$25)*(100%-'Données projet'!$C$26)*(100%-'Données projet'!$C$27)</f>
        <v>39.091991636904375</v>
      </c>
      <c r="J6" s="159">
        <f>IF(OR('Données projet'!B9="",'Données projet'!C9="",'Données projet'!C9=0%),0,SUM(Calculateur!$V$3:$V$33)*VLOOKUP('Données projet'!$B$9,Paramètres!$A$1:$I$89,9,0)*B6)</f>
        <v>408.01639507200014</v>
      </c>
      <c r="K6" s="160">
        <f>J6*(100%-'Données projet'!$C$24)*(100%-'Données projet'!$C$25)*(100%-'Données projet'!$C$26)*(100%-'Données projet'!$C$27)</f>
        <v>348.85401778656012</v>
      </c>
      <c r="L6" s="161">
        <f ca="1">G6+I6+K6</f>
        <v>528.1930347821185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Peuplier Raspalje</v>
      </c>
      <c r="B7" s="163">
        <f>'Données projet'!D10</f>
        <v>1.7185600000000001</v>
      </c>
      <c r="C7" s="156">
        <f ca="1">IF(OR('Données projet'!B10="",'Données projet'!C10="",'Données projet'!C10=0%),0,Calculateur!AN3)</f>
        <v>83.628155134295611</v>
      </c>
      <c r="D7" s="156">
        <f>IF(OR('Données projet'!B10="",'Données projet'!C10="",'Données projet'!C10=0%),0,Calculateur!AO3)</f>
        <v>248.53682625788625</v>
      </c>
      <c r="E7" s="156">
        <f t="shared" ref="E7:E15" ca="1" si="0">MIN(C7,D7)</f>
        <v>83.628155134295611</v>
      </c>
      <c r="F7" s="156">
        <f t="shared" ref="F7:F15" ca="1" si="1">E7*B7</f>
        <v>143.72000228759507</v>
      </c>
      <c r="G7" s="156">
        <f ca="1">F7*(100%-'Données projet'!$C$24)*(100%-'Données projet'!$C$25)*(100%-'Données projet'!$C$26)*(100%-'Données projet'!$C$27)</f>
        <v>122.88060195589378</v>
      </c>
      <c r="H7" s="164">
        <f>IF(OR('Données projet'!B10="",'Données projet'!C10="",'Données projet'!C10=0%),0,AVERAGE(Calculateur!$AX$3:$AX$33)*B7)</f>
        <v>38.252719404310547</v>
      </c>
      <c r="I7" s="158">
        <f>H7*(100%-'Données projet'!$C$24)*(100%-'Données projet'!$C$25)*(100%-'Données projet'!$C$26)*(100%-'Données projet'!$C$27)</f>
        <v>32.706075090685516</v>
      </c>
      <c r="J7" s="159">
        <f>IF(OR('Données projet'!B10="",'Données projet'!C10="",'Données projet'!C10=0%),0,SUM(Calculateur!$AQ$3:$AQ$33)*VLOOKUP('Données projet'!$B$10,Paramètres!$A$1:$I$89,9,0)*B7)</f>
        <v>357.49278892800004</v>
      </c>
      <c r="K7" s="160">
        <f>J7*(100%-'Données projet'!$C$24)*(100%-'Données projet'!$C$25)*(100%-'Données projet'!$C$26)*(100%-'Données projet'!$C$27)</f>
        <v>305.65633453343997</v>
      </c>
      <c r="L7" s="161">
        <f t="shared" ref="L7:L15" ca="1" si="2">G7+I7+K7</f>
        <v>461.24301158001924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307.75161089420789</v>
      </c>
      <c r="G16" s="175">
        <f t="shared" ca="1" si="3"/>
        <v>263.12762731454774</v>
      </c>
      <c r="H16" s="176">
        <f t="shared" si="3"/>
        <v>83.974347049812735</v>
      </c>
      <c r="I16" s="176">
        <f t="shared" si="3"/>
        <v>71.798066727589884</v>
      </c>
      <c r="J16" s="177">
        <f t="shared" si="3"/>
        <v>765.50918400000023</v>
      </c>
      <c r="K16" s="177">
        <f t="shared" si="3"/>
        <v>654.51035232000004</v>
      </c>
      <c r="L16" s="178">
        <f t="shared" ca="1" si="3"/>
        <v>989.43604636213774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Peuplier Raspalje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Peuplier Raspalje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A2" zoomScale="55" zoomScaleNormal="55" workbookViewId="0">
      <selection activeCell="I20" sqref="I2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15" t="s">
        <v>272</v>
      </c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7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Raspalje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4493.8360993819751</v>
      </c>
      <c r="U10" s="190">
        <f>'Données projet'!D9</f>
        <v>1.9614400000000003</v>
      </c>
      <c r="V10" s="189">
        <f>U10*T10</f>
        <v>8814.3898787717826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Raspalje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4493.8360993819751</v>
      </c>
      <c r="U11" s="190">
        <f>'Données projet'!D10</f>
        <v>1.7185600000000001</v>
      </c>
      <c r="V11" s="189">
        <f t="shared" ref="V11" si="0">U11*T11</f>
        <v>7722.926966953888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Peuplier Raspalje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2" t="s">
        <v>318</v>
      </c>
      <c r="H15" s="203">
        <v>0</v>
      </c>
      <c r="I15" s="204">
        <v>500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>
        <v>0</v>
      </c>
      <c r="I20" s="204">
        <v>1249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6</v>
      </c>
      <c r="B23" s="193">
        <f>'Données projet'!D36</f>
        <v>0</v>
      </c>
      <c r="C23" s="206">
        <v>0</v>
      </c>
      <c r="D23" s="194">
        <f>B23*C23</f>
        <v>0</v>
      </c>
      <c r="E23" s="206"/>
      <c r="F23" s="261"/>
      <c r="H23" s="203"/>
      <c r="I23" s="204"/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13780.996845725669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7</v>
      </c>
      <c r="B24" s="193">
        <f>'Données projet'!D37</f>
        <v>0</v>
      </c>
      <c r="C24" s="206">
        <v>0</v>
      </c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127049.75692436905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8</v>
      </c>
      <c r="B25" s="193">
        <f>'Données projet'!D38</f>
        <v>0</v>
      </c>
      <c r="C25" s="206">
        <v>0</v>
      </c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2822</v>
      </c>
      <c r="Q25" s="265"/>
      <c r="R25" s="25"/>
      <c r="S25" s="198" t="s">
        <v>266</v>
      </c>
      <c r="T25" s="337">
        <f ca="1">T23-T24</f>
        <v>-113268.76007864339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9</v>
      </c>
      <c r="B26" s="193">
        <f>'Données projet'!D39</f>
        <v>0</v>
      </c>
      <c r="C26" s="206">
        <v>0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est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10</v>
      </c>
      <c r="B27" s="193">
        <f>'Données projet'!D40</f>
        <v>0</v>
      </c>
      <c r="C27" s="206">
        <v>0</v>
      </c>
      <c r="D27" s="194">
        <f t="shared" si="2"/>
        <v>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11</v>
      </c>
      <c r="B28" s="193">
        <f>'Données projet'!D41</f>
        <v>0</v>
      </c>
      <c r="C28" s="206">
        <v>0</v>
      </c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12</v>
      </c>
      <c r="B29" s="193">
        <f>'Données projet'!D42</f>
        <v>0</v>
      </c>
      <c r="C29" s="206">
        <v>0</v>
      </c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13</v>
      </c>
      <c r="B30" s="193">
        <f>'Données projet'!D43</f>
        <v>0</v>
      </c>
      <c r="C30" s="206">
        <v>0</v>
      </c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34524.390468578546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14</v>
      </c>
      <c r="B31" s="193">
        <f>'Données projet'!D44</f>
        <v>0</v>
      </c>
      <c r="C31" s="206">
        <v>0</v>
      </c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15</v>
      </c>
      <c r="B32" s="193">
        <f>'Données projet'!D45</f>
        <v>0</v>
      </c>
      <c r="C32" s="206">
        <v>0</v>
      </c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16</v>
      </c>
      <c r="B33" s="193">
        <f>'Données projet'!D46</f>
        <v>201.96</v>
      </c>
      <c r="C33" s="206">
        <v>45</v>
      </c>
      <c r="D33" s="194">
        <f t="shared" si="2"/>
        <v>9088.2000000000007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2822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>
        <v>0</v>
      </c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2700.4784688995219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>
        <v>0</v>
      </c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2584.1899223918872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>
        <v>0</v>
      </c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2472.9090166429542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>
        <v>0</v>
      </c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2366.4201116200525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>
        <v>0</v>
      </c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2264.5168532249304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>
        <v>0</v>
      </c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2167.0017734209869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>
        <v>0</v>
      </c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2073.6859075798916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>
        <v>0</v>
      </c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1984.3884283061168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>
        <v>0</v>
      </c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1898.9362950297771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1817.1639186887821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1738.9128408505092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Peuplier Raspalje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1664.0314266512053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1592.3745709580912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1523.8034171847767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1458.185088215097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1395.3924289139691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 t="str">
        <f>IF(O49+1&lt;=MIN('Données projet'!$E$9:$E$18),O49+1,"STOP")</f>
        <v>STOP</v>
      </c>
      <c r="P50" s="197" t="e">
        <f t="shared" si="3"/>
        <v>#VALUE!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 t="e">
        <f>IF(O50+1&lt;=MIN('Données projet'!$E$9:$E$18),O50+1,"STOP")</f>
        <v>#VALUE!</v>
      </c>
      <c r="P51" s="197" t="e">
        <f t="shared" si="3"/>
        <v>#VALUE!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e">
        <f>IF(O51+1&lt;=MIN('Données projet'!$E$9:$E$18),O51+1,"STOP")</f>
        <v>#VALUE!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6</v>
      </c>
      <c r="B54" s="193">
        <f>'Données projet'!D62</f>
        <v>0</v>
      </c>
      <c r="C54" s="204"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7</v>
      </c>
      <c r="B55" s="193">
        <f>'Données projet'!D63</f>
        <v>0</v>
      </c>
      <c r="C55" s="204">
        <v>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8</v>
      </c>
      <c r="B56" s="193">
        <f>'Données projet'!D64</f>
        <v>0</v>
      </c>
      <c r="C56" s="204">
        <v>0</v>
      </c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9</v>
      </c>
      <c r="B57" s="193">
        <f>'Données projet'!D65</f>
        <v>0</v>
      </c>
      <c r="C57" s="204">
        <v>0</v>
      </c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10</v>
      </c>
      <c r="B58" s="193">
        <f>'Données projet'!D66</f>
        <v>0</v>
      </c>
      <c r="C58" s="204">
        <v>0</v>
      </c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11</v>
      </c>
      <c r="B59" s="193">
        <f>'Données projet'!D67</f>
        <v>0</v>
      </c>
      <c r="C59" s="204">
        <v>0</v>
      </c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12</v>
      </c>
      <c r="B60" s="193">
        <f>'Données projet'!D68</f>
        <v>0</v>
      </c>
      <c r="C60" s="204">
        <v>0</v>
      </c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13</v>
      </c>
      <c r="B61" s="193">
        <f>'Données projet'!D69</f>
        <v>0</v>
      </c>
      <c r="C61" s="204">
        <v>0</v>
      </c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14</v>
      </c>
      <c r="B62" s="193">
        <f>'Données projet'!D70</f>
        <v>0</v>
      </c>
      <c r="C62" s="204">
        <v>0</v>
      </c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15</v>
      </c>
      <c r="B63" s="193">
        <f>'Données projet'!D71</f>
        <v>0</v>
      </c>
      <c r="C63" s="204">
        <v>0</v>
      </c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16</v>
      </c>
      <c r="B64" s="193">
        <f>'Données projet'!D72</f>
        <v>201.96</v>
      </c>
      <c r="C64" s="204">
        <v>45</v>
      </c>
      <c r="D64" s="191">
        <f t="shared" si="4"/>
        <v>9088.2000000000007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>
        <v>0</v>
      </c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>
        <v>0</v>
      </c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>
        <v>0</v>
      </c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>
        <v>0</v>
      </c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>
        <v>0</v>
      </c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>
        <v>0</v>
      </c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>
        <v>0</v>
      </c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>
        <v>0</v>
      </c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>
        <v>0</v>
      </c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Scénario référence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Geoffroy Rombaut - C+for (CNPF)</cp:lastModifiedBy>
  <dcterms:created xsi:type="dcterms:W3CDTF">2021-02-01T08:22:39Z</dcterms:created>
  <dcterms:modified xsi:type="dcterms:W3CDTF">2025-04-01T15:53:02Z</dcterms:modified>
</cp:coreProperties>
</file>