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eoffroy.Rombaut\Desktop\Cadre de travail\Les projets\Mission accomplie\CNPF C+for n° 209 Mouterre-sur-Blourde (easyJet n° 12)\"/>
    </mc:Choice>
  </mc:AlternateContent>
  <bookViews>
    <workbookView xWindow="0" yWindow="0" windowWidth="11748" windowHeight="5316" tabRatio="866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1" i="1" l="1"/>
  <c r="B211" i="1"/>
  <c r="D210" i="1"/>
  <c r="B210" i="1"/>
  <c r="D209" i="1"/>
  <c r="B209" i="1"/>
  <c r="D208" i="1"/>
  <c r="B208" i="1"/>
  <c r="D207" i="1"/>
  <c r="B207" i="1"/>
  <c r="B206" i="1"/>
  <c r="D205" i="1"/>
  <c r="B205" i="1"/>
  <c r="B204" i="1"/>
  <c r="D203" i="1"/>
  <c r="B203" i="1"/>
  <c r="B202" i="1"/>
  <c r="D201" i="1"/>
  <c r="B201" i="1"/>
  <c r="B200" i="1"/>
  <c r="D199" i="1"/>
  <c r="B199" i="1"/>
  <c r="B198" i="1"/>
  <c r="D197" i="1"/>
  <c r="B197" i="1"/>
  <c r="B196" i="1"/>
  <c r="D195" i="1"/>
  <c r="B195" i="1"/>
  <c r="B194" i="1"/>
  <c r="B193" i="1"/>
  <c r="B192" i="1"/>
  <c r="D146" i="1" l="1"/>
  <c r="D145" i="1"/>
  <c r="D144" i="1"/>
  <c r="D143" i="1"/>
  <c r="D142" i="1"/>
  <c r="D141" i="1"/>
  <c r="D140" i="1"/>
  <c r="B146" i="1"/>
  <c r="B145" i="1"/>
  <c r="B144" i="1"/>
  <c r="B143" i="1"/>
  <c r="B142" i="1"/>
  <c r="B141" i="1"/>
  <c r="B140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D185" i="1" l="1"/>
  <c r="B185" i="1"/>
  <c r="D184" i="1"/>
  <c r="B184" i="1"/>
  <c r="B183" i="1"/>
  <c r="D182" i="1"/>
  <c r="B182" i="1"/>
  <c r="B181" i="1"/>
  <c r="B180" i="1"/>
  <c r="D180" i="1"/>
  <c r="B179" i="1"/>
  <c r="D178" i="1"/>
  <c r="B178" i="1"/>
  <c r="B177" i="1"/>
  <c r="D176" i="1"/>
  <c r="B176" i="1"/>
  <c r="B175" i="1"/>
  <c r="D174" i="1"/>
  <c r="B174" i="1"/>
  <c r="B173" i="1"/>
  <c r="D172" i="1"/>
  <c r="B172" i="1"/>
  <c r="B171" i="1" l="1"/>
  <c r="D170" i="1"/>
  <c r="B170" i="1"/>
  <c r="B169" i="1"/>
  <c r="D168" i="1"/>
  <c r="B168" i="1"/>
  <c r="B167" i="1"/>
  <c r="B166" i="1"/>
  <c r="D126" i="1"/>
  <c r="B126" i="1"/>
  <c r="D125" i="1"/>
  <c r="B125" i="1"/>
  <c r="B124" i="1"/>
  <c r="D123" i="1"/>
  <c r="B123" i="1"/>
  <c r="B122" i="1"/>
  <c r="D121" i="1"/>
  <c r="B121" i="1"/>
  <c r="B120" i="1"/>
  <c r="D119" i="1"/>
  <c r="B119" i="1"/>
  <c r="B118" i="1"/>
  <c r="D117" i="1"/>
  <c r="B117" i="1"/>
  <c r="B116" i="1"/>
  <c r="D115" i="1"/>
  <c r="B115" i="1"/>
  <c r="B114" i="1"/>
  <c r="D42" i="1" l="1"/>
  <c r="B42" i="1"/>
  <c r="D41" i="1"/>
  <c r="B41" i="1"/>
  <c r="D40" i="1"/>
  <c r="B40" i="1"/>
  <c r="D39" i="1"/>
  <c r="B39" i="1"/>
  <c r="D38" i="1"/>
  <c r="B38" i="1"/>
  <c r="D37" i="1"/>
  <c r="B37" i="1"/>
  <c r="D36" i="1"/>
  <c r="B36" i="1"/>
  <c r="B69" i="1"/>
  <c r="D68" i="1"/>
  <c r="B68" i="1"/>
  <c r="B67" i="1"/>
  <c r="D66" i="1"/>
  <c r="B66" i="1"/>
  <c r="B65" i="1"/>
  <c r="D64" i="1"/>
  <c r="B64" i="1"/>
  <c r="B63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FR4" i="2"/>
  <c r="FQ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A5" i="2"/>
  <c r="EC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FS18" i="2"/>
  <c r="EV18" i="2"/>
  <c r="EW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B22" i="2"/>
  <c r="EC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FS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FS38" i="2"/>
  <c r="EW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EX40" i="2" l="1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G42" i="2" s="1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G47" i="2" s="1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G50" i="2" s="1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X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V61" i="2"/>
  <c r="EW61" i="2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FS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EA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W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G82" i="2" s="1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EA87" i="2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HG89" i="2" s="1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FS89" i="2" l="1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EB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X98" i="2"/>
  <c r="FS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HH99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EB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B108" i="2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X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EC113" i="2"/>
  <c r="FS113" i="2"/>
  <c r="EX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FQ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G119" i="2" s="1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FS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G126" i="2" s="1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EB139" i="2"/>
  <c r="FS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EC140" i="2"/>
  <c r="FS140" i="2"/>
  <c r="FR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FS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G144" i="2" s="1"/>
  <c r="HE144" i="2"/>
  <c r="HH144" i="2" s="1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EA144" i="2"/>
  <c r="FR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FR145" i="2"/>
  <c r="EB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FS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X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EY154" i="2"/>
  <c r="EA155" i="2"/>
  <c r="DI154" i="2"/>
  <c r="EW155" i="2"/>
  <c r="EX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D155" i="2"/>
  <c r="EB156" i="2"/>
  <c r="AB156" i="2"/>
  <c r="FS156" i="2"/>
  <c r="EX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C157" i="2"/>
  <c r="EX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D157" i="2" l="1"/>
  <c r="EC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ED158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D159" i="2" l="1"/>
  <c r="EY159" i="2"/>
  <c r="EC160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AB161" i="2"/>
  <c r="FS161" i="2"/>
  <c r="EX161" i="2"/>
  <c r="EB161" i="2"/>
  <c r="EA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Y161" i="2"/>
  <c r="EB162" i="2"/>
  <c r="EC162" i="2"/>
  <c r="EW162" i="2"/>
  <c r="DI161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EB163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 l="1"/>
  <c r="EA164" i="2"/>
  <c r="EY163" i="2"/>
  <c r="FR164" i="2"/>
  <c r="FS164" i="2"/>
  <c r="EX164" i="2"/>
  <c r="EV164" i="2"/>
  <c r="DI163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EX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CN165" i="2"/>
  <c r="ED165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C167" i="2"/>
  <c r="FR167" i="2"/>
  <c r="EX167" i="2"/>
  <c r="EA167" i="2"/>
  <c r="EB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EB168" i="2"/>
  <c r="DI167" i="2"/>
  <c r="EV168" i="2"/>
  <c r="EW168" i="2"/>
  <c r="DG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B169" i="2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A172" i="2"/>
  <c r="EB172" i="2"/>
  <c r="EY171" i="2"/>
  <c r="EV172" i="2"/>
  <c r="EW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EB175" i="2"/>
  <c r="EA175" i="2"/>
  <c r="FS175" i="2"/>
  <c r="EW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Y175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FS177" i="2"/>
  <c r="FQ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EA178" i="2"/>
  <c r="FQ178" i="2"/>
  <c r="FS178" i="2"/>
  <c r="EW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EB179" i="2"/>
  <c r="EA179" i="2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D179" i="2" l="1"/>
  <c r="EY179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FS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 l="1"/>
  <c r="ED182" i="2"/>
  <c r="EA183" i="2"/>
  <c r="EB183" i="2"/>
  <c r="FS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A185" i="2"/>
  <c r="EV185" i="2"/>
  <c r="EW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A186" i="2"/>
  <c r="EB186" i="2"/>
  <c r="FR186" i="2"/>
  <c r="FS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B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B190" i="2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C192" i="2"/>
  <c r="EW192" i="2"/>
  <c r="EV192" i="2"/>
  <c r="EB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B193" i="2"/>
  <c r="EY192" i="2"/>
  <c r="EA193" i="2"/>
  <c r="FQ193" i="2"/>
  <c r="EX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CN193" i="2"/>
  <c r="ED193" i="2"/>
  <c r="EB194" i="2"/>
  <c r="FQ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D194" i="2" l="1"/>
  <c r="EB195" i="2"/>
  <c r="FQ195" i="2"/>
  <c r="EX195" i="2"/>
  <c r="EY194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FS197" i="2" l="1"/>
  <c r="EW197" i="2"/>
  <c r="EA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B199" i="2" l="1"/>
  <c r="EV199" i="2"/>
  <c r="EY198" i="2"/>
  <c r="FS199" i="2"/>
  <c r="EW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DI200" i="2"/>
  <c r="FS201" i="2"/>
  <c r="EB201" i="2"/>
  <c r="EA201" i="2"/>
  <c r="ED201" i="2" s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X202" i="2" l="1"/>
  <c r="EY201" i="2"/>
  <c r="EW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EI195" i="2" a="1"/>
  <c r="EI195" i="2" s="1"/>
  <c r="AH151" i="2" a="1"/>
  <c r="AH151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48" i="2" a="1"/>
  <c r="FD48" i="2" s="1"/>
  <c r="FD159" i="2" a="1"/>
  <c r="FD159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6" i="2" a="1"/>
  <c r="DN6" i="2" s="1"/>
  <c r="DO6" i="2" s="1"/>
  <c r="CS134" i="2" a="1"/>
  <c r="CS134" i="2" s="1"/>
  <c r="CS72" i="2" a="1"/>
  <c r="CS72" i="2" s="1"/>
  <c r="BX107" i="2" a="1"/>
  <c r="BX107" i="2" s="1"/>
  <c r="HJ202" i="2"/>
  <c r="EY202" i="2"/>
  <c r="AX200" i="2"/>
  <c r="CS77" i="2" l="1" a="1"/>
  <c r="CS77" i="2" s="1"/>
  <c r="CS116" i="2" a="1"/>
  <c r="CS116" i="2" s="1"/>
  <c r="CS185" i="2" a="1"/>
  <c r="CS185" i="2" s="1"/>
  <c r="CS137" i="2" a="1"/>
  <c r="CS137" i="2" s="1"/>
  <c r="CS114" i="2" a="1"/>
  <c r="CS114" i="2" s="1"/>
  <c r="CS129" i="2" a="1"/>
  <c r="CS129" i="2" s="1"/>
  <c r="DN192" i="2" a="1"/>
  <c r="DN192" i="2" s="1"/>
  <c r="DN187" i="2" a="1"/>
  <c r="DN187" i="2" s="1"/>
  <c r="DN164" i="2" a="1"/>
  <c r="DN164" i="2" s="1"/>
  <c r="DN132" i="2" a="1"/>
  <c r="DN132" i="2" s="1"/>
  <c r="DN186" i="2" a="1"/>
  <c r="DN186" i="2" s="1"/>
  <c r="DN70" i="2" a="1"/>
  <c r="DN70" i="2" s="1"/>
  <c r="DN31" i="2" a="1"/>
  <c r="DN31" i="2" s="1"/>
  <c r="DN123" i="2" a="1"/>
  <c r="DN123" i="2" s="1"/>
  <c r="DN30" i="2" a="1"/>
  <c r="DN30" i="2" s="1"/>
  <c r="DN55" i="2" a="1"/>
  <c r="DN55" i="2" s="1"/>
  <c r="DN135" i="2" a="1"/>
  <c r="DN135" i="2" s="1"/>
  <c r="DN113" i="2" a="1"/>
  <c r="DN113" i="2" s="1"/>
  <c r="DN50" i="2" a="1"/>
  <c r="DN50" i="2" s="1"/>
  <c r="DN46" i="2" a="1"/>
  <c r="DN46" i="2" s="1"/>
  <c r="DN110" i="2" a="1"/>
  <c r="DN110" i="2" s="1"/>
  <c r="DN38" i="2" a="1"/>
  <c r="DN38" i="2" s="1"/>
  <c r="DN184" i="2" a="1"/>
  <c r="DN184" i="2" s="1"/>
  <c r="DN176" i="2" a="1"/>
  <c r="DN176" i="2" s="1"/>
  <c r="DN167" i="2" a="1"/>
  <c r="DN167" i="2" s="1"/>
  <c r="DN80" i="2" a="1"/>
  <c r="DN80" i="2" s="1"/>
  <c r="DN114" i="2" a="1"/>
  <c r="DN114" i="2" s="1"/>
  <c r="DN66" i="2" a="1"/>
  <c r="DN66" i="2" s="1"/>
  <c r="DN190" i="2" a="1"/>
  <c r="DN190" i="2" s="1"/>
  <c r="DN16" i="2" a="1"/>
  <c r="DN16" i="2" s="1"/>
  <c r="DN103" i="2" a="1"/>
  <c r="DN103" i="2" s="1"/>
  <c r="DN188" i="2" a="1"/>
  <c r="DN188" i="2" s="1"/>
  <c r="DN124" i="2" a="1"/>
  <c r="DN124" i="2" s="1"/>
  <c r="DN45" i="2" a="1"/>
  <c r="DN45" i="2" s="1"/>
  <c r="DN162" i="2" a="1"/>
  <c r="DN162" i="2" s="1"/>
  <c r="DN168" i="2" a="1"/>
  <c r="DN168" i="2" s="1"/>
  <c r="DN63" i="2" a="1"/>
  <c r="DN63" i="2" s="1"/>
  <c r="DN177" i="2" a="1"/>
  <c r="DN177" i="2" s="1"/>
  <c r="DN133" i="2" a="1"/>
  <c r="DN133" i="2" s="1"/>
  <c r="DN65" i="2" a="1"/>
  <c r="DN65" i="2" s="1"/>
  <c r="DN49" i="2" a="1"/>
  <c r="DN49" i="2" s="1"/>
  <c r="DN115" i="2" a="1"/>
  <c r="DN115" i="2" s="1"/>
  <c r="DN137" i="2" a="1"/>
  <c r="DN137" i="2" s="1"/>
  <c r="DN86" i="2" a="1"/>
  <c r="DN86" i="2" s="1"/>
  <c r="DN25" i="2" a="1"/>
  <c r="DN25" i="2" s="1"/>
  <c r="DN152" i="2" a="1"/>
  <c r="DN152" i="2" s="1"/>
  <c r="DN155" i="2" a="1"/>
  <c r="DN155" i="2" s="1"/>
  <c r="DN56" i="2" a="1"/>
  <c r="DN56" i="2" s="1"/>
  <c r="DN153" i="2" a="1"/>
  <c r="DN153" i="2" s="1"/>
  <c r="DN29" i="2" a="1"/>
  <c r="DN29" i="2" s="1"/>
  <c r="DN150" i="2" a="1"/>
  <c r="DN150" i="2" s="1"/>
  <c r="DN170" i="2" a="1"/>
  <c r="DN170" i="2" s="1"/>
  <c r="DN41" i="2" a="1"/>
  <c r="DN41" i="2" s="1"/>
  <c r="DN129" i="2" a="1"/>
  <c r="DN129" i="2" s="1"/>
  <c r="DN43" i="2" a="1"/>
  <c r="DN43" i="2" s="1"/>
  <c r="CS52" i="2" a="1"/>
  <c r="CS52" i="2" s="1"/>
  <c r="CS56" i="2" a="1"/>
  <c r="CS56" i="2" s="1"/>
  <c r="CS66" i="2" a="1"/>
  <c r="CS66" i="2" s="1"/>
  <c r="CS161" i="2" a="1"/>
  <c r="CS161" i="2" s="1"/>
  <c r="CS120" i="2" a="1"/>
  <c r="CS120" i="2" s="1"/>
  <c r="CS24" i="2" a="1"/>
  <c r="CS24" i="2" s="1"/>
  <c r="FR203" i="2"/>
  <c r="FD107" i="2" a="1"/>
  <c r="FD107" i="2" s="1"/>
  <c r="FD44" i="2" a="1"/>
  <c r="FD44" i="2" s="1"/>
  <c r="FD167" i="2" a="1"/>
  <c r="FD167" i="2" s="1"/>
  <c r="FD188" i="2" a="1"/>
  <c r="FD188" i="2" s="1"/>
  <c r="FD187" i="2" a="1"/>
  <c r="FD187" i="2" s="1"/>
  <c r="FD131" i="2" a="1"/>
  <c r="FD131" i="2" s="1"/>
  <c r="FD60" i="2" a="1"/>
  <c r="FD60" i="2" s="1"/>
  <c r="FD194" i="2" a="1"/>
  <c r="FD194" i="2" s="1"/>
  <c r="FD43" i="2" a="1"/>
  <c r="FD43" i="2" s="1"/>
  <c r="FD59" i="2" a="1"/>
  <c r="FD59" i="2" s="1"/>
  <c r="FD19" i="2" a="1"/>
  <c r="FD19" i="2" s="1"/>
  <c r="FD64" i="2" a="1"/>
  <c r="FD64" i="2" s="1"/>
  <c r="FD144" i="2" a="1"/>
  <c r="FD144" i="2" s="1"/>
  <c r="FD160" i="2" a="1"/>
  <c r="FD160" i="2" s="1"/>
  <c r="FD189" i="2" a="1"/>
  <c r="FD189" i="2" s="1"/>
  <c r="FD21" i="2" a="1"/>
  <c r="FD21" i="2" s="1"/>
  <c r="FD82" i="2" a="1"/>
  <c r="FD82" i="2" s="1"/>
  <c r="FD137" i="2" a="1"/>
  <c r="FD137" i="2" s="1"/>
  <c r="FD14" i="2" a="1"/>
  <c r="FD14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EY203" i="2"/>
  <c r="ED203" i="2"/>
  <c r="DI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CY24" i="2" l="1"/>
  <c r="CY175" i="2"/>
  <c r="CY89" i="2"/>
  <c r="CY107" i="2"/>
  <c r="CY101" i="2"/>
  <c r="CY73" i="2"/>
  <c r="CY52" i="2"/>
  <c r="CY59" i="2"/>
  <c r="CY100" i="2"/>
  <c r="CY103" i="2"/>
  <c r="CY44" i="2"/>
  <c r="CY8" i="2"/>
  <c r="CY13" i="2"/>
  <c r="CY81" i="2"/>
  <c r="CY142" i="2"/>
  <c r="CY159" i="2"/>
  <c r="CY180" i="2"/>
  <c r="CY65" i="2"/>
  <c r="CY32" i="2"/>
  <c r="CY94" i="2"/>
  <c r="CY70" i="2"/>
  <c r="CY104" i="2"/>
  <c r="CY178" i="2"/>
  <c r="CY54" i="2"/>
  <c r="CY177" i="2"/>
  <c r="CY26" i="2"/>
  <c r="CY41" i="2"/>
  <c r="CY138" i="2"/>
  <c r="CY7" i="2"/>
  <c r="CY190" i="2"/>
  <c r="CY176" i="2"/>
  <c r="CY112" i="2"/>
  <c r="CY45" i="2"/>
  <c r="CY153" i="2"/>
  <c r="CY109" i="2"/>
  <c r="CY61" i="2"/>
  <c r="CY57" i="2"/>
  <c r="CY46" i="2"/>
  <c r="CY156" i="2"/>
  <c r="CY9" i="2"/>
  <c r="CY131" i="2"/>
  <c r="CY171" i="2"/>
  <c r="CY93" i="2"/>
  <c r="CY195" i="2"/>
  <c r="CY111" i="2"/>
  <c r="CY203" i="2"/>
  <c r="CY181" i="2"/>
  <c r="CY34" i="2"/>
  <c r="CY50" i="2"/>
  <c r="CY20" i="2"/>
  <c r="CY162" i="2"/>
  <c r="CY127" i="2"/>
  <c r="CY133" i="2"/>
  <c r="CY173" i="2"/>
  <c r="CY121" i="2"/>
  <c r="CY38" i="2"/>
  <c r="CY106" i="2"/>
  <c r="CY143" i="2"/>
  <c r="CY11" i="2"/>
  <c r="CY120" i="2"/>
  <c r="CY91" i="2"/>
  <c r="CY37" i="2"/>
  <c r="CY23" i="2"/>
  <c r="CY21" i="2"/>
  <c r="CY123" i="2"/>
  <c r="CY64" i="2"/>
  <c r="CY185" i="2"/>
  <c r="CY4" i="2"/>
  <c r="CY179" i="2"/>
  <c r="CY154" i="2"/>
  <c r="CY29" i="2"/>
  <c r="CY161" i="2"/>
  <c r="CY174" i="2"/>
  <c r="CY39" i="2"/>
  <c r="CY96" i="2"/>
  <c r="CY67" i="2"/>
  <c r="CY128" i="2"/>
  <c r="CY68" i="2"/>
  <c r="CY144" i="2"/>
  <c r="CY22" i="2"/>
  <c r="CY15" i="2"/>
  <c r="CY105" i="2"/>
  <c r="CY124" i="2"/>
  <c r="CY200" i="2"/>
  <c r="CY97" i="2"/>
  <c r="CY110" i="2"/>
  <c r="CY53" i="2"/>
  <c r="CY86" i="2"/>
  <c r="CY134" i="2"/>
  <c r="CY69" i="2"/>
  <c r="CY19" i="2"/>
  <c r="CY163" i="2"/>
  <c r="CY183" i="2"/>
  <c r="CY167" i="2"/>
  <c r="CY170" i="2"/>
  <c r="CY31" i="2"/>
  <c r="CY48" i="2"/>
  <c r="CY169" i="2"/>
  <c r="CY49" i="2"/>
  <c r="CY108" i="2"/>
  <c r="CY6" i="2"/>
  <c r="CY136" i="2"/>
  <c r="CY117" i="2"/>
  <c r="CY35" i="2"/>
  <c r="CY71" i="2"/>
  <c r="CY141" i="2"/>
  <c r="CY196" i="2"/>
  <c r="CY164" i="2"/>
  <c r="CY155" i="2"/>
  <c r="CY42" i="2"/>
  <c r="CY140" i="2"/>
  <c r="CY74" i="2"/>
  <c r="CY14" i="2"/>
  <c r="CY151" i="2"/>
  <c r="CY165" i="2"/>
  <c r="CY182" i="2"/>
  <c r="CY5" i="2"/>
  <c r="CY139" i="2"/>
  <c r="CY115" i="2"/>
  <c r="CY132" i="2"/>
  <c r="CY149" i="2"/>
  <c r="CY122" i="2"/>
  <c r="CY191" i="2"/>
  <c r="CY63" i="2"/>
  <c r="CY25" i="2"/>
  <c r="CY75" i="2"/>
  <c r="CY3" i="2"/>
  <c r="C10" i="4" s="1"/>
  <c r="E10" i="4" s="1"/>
  <c r="F10" i="4" s="1"/>
  <c r="G10" i="4" s="1"/>
  <c r="L10" i="4" s="1"/>
  <c r="CY92" i="2"/>
  <c r="CY90" i="2"/>
  <c r="CY85" i="2"/>
  <c r="CY119" i="2"/>
  <c r="CY160" i="2"/>
  <c r="CY51" i="2"/>
  <c r="CY28" i="2"/>
  <c r="CY84" i="2"/>
  <c r="CY82" i="2"/>
  <c r="CY148" i="2"/>
  <c r="CY166" i="2"/>
  <c r="CY56" i="2"/>
  <c r="CY80" i="2"/>
  <c r="CY137" i="2"/>
  <c r="CY147" i="2"/>
  <c r="CY192" i="2"/>
  <c r="CY77" i="2"/>
  <c r="CY17" i="2"/>
  <c r="CY197" i="2"/>
  <c r="CY186" i="2"/>
  <c r="CY58" i="2"/>
  <c r="CY83" i="2"/>
  <c r="CY99" i="2"/>
  <c r="CY126" i="2"/>
  <c r="CY95" i="2"/>
  <c r="CY187" i="2"/>
  <c r="CY152" i="2"/>
  <c r="CY16" i="2"/>
  <c r="CY172" i="2"/>
  <c r="CY188" i="2"/>
  <c r="CY168" i="2"/>
  <c r="CY62" i="2"/>
  <c r="CY125" i="2"/>
  <c r="CY78" i="2"/>
  <c r="CY135" i="2"/>
  <c r="CY18" i="2"/>
  <c r="CY145" i="2"/>
  <c r="CY60" i="2"/>
  <c r="CY72" i="2"/>
  <c r="CY43" i="2"/>
  <c r="CY198" i="2"/>
  <c r="CY130" i="2"/>
  <c r="CY40" i="2"/>
  <c r="CY150" i="2"/>
  <c r="CY113" i="2"/>
  <c r="CY88" i="2"/>
  <c r="CY76" i="2"/>
  <c r="CY30" i="2"/>
  <c r="CY12" i="2"/>
  <c r="CY189" i="2"/>
  <c r="CY116" i="2"/>
  <c r="CY146" i="2"/>
  <c r="CY199" i="2"/>
  <c r="CY118" i="2"/>
  <c r="CY79" i="2"/>
  <c r="CY47" i="2"/>
  <c r="CY184" i="2"/>
  <c r="CY158" i="2"/>
  <c r="CY10" i="2"/>
  <c r="CY102" i="2"/>
  <c r="CY55" i="2"/>
  <c r="CY66" i="2"/>
  <c r="CY27" i="2"/>
  <c r="CY193" i="2"/>
  <c r="CY114" i="2"/>
  <c r="CY202" i="2"/>
  <c r="CY194" i="2"/>
  <c r="CY201" i="2"/>
  <c r="CY87" i="2"/>
  <c r="CY157" i="2"/>
  <c r="CY98" i="2"/>
  <c r="CY33" i="2"/>
  <c r="CY36" i="2"/>
  <c r="CY129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J10" i="2" l="1"/>
  <c r="FJ27" i="2"/>
  <c r="FJ189" i="2"/>
  <c r="FJ71" i="2"/>
  <c r="FJ202" i="2"/>
  <c r="FJ196" i="2"/>
  <c r="FJ54" i="2"/>
  <c r="FJ15" i="2"/>
  <c r="FJ26" i="2"/>
  <c r="FJ184" i="2"/>
  <c r="FJ114" i="2"/>
  <c r="FJ110" i="2"/>
  <c r="FJ179" i="2"/>
  <c r="FJ55" i="2"/>
  <c r="FJ102" i="2"/>
  <c r="FJ61" i="2"/>
  <c r="FJ150" i="2"/>
  <c r="FJ183" i="2"/>
  <c r="FJ173" i="2"/>
  <c r="FJ79" i="2"/>
  <c r="FJ167" i="2"/>
  <c r="FJ160" i="2"/>
  <c r="FJ138" i="2"/>
  <c r="FJ19" i="2"/>
  <c r="FJ168" i="2"/>
  <c r="FJ73" i="2"/>
  <c r="FJ118" i="2"/>
  <c r="FJ125" i="2"/>
  <c r="FJ104" i="2"/>
  <c r="FJ151" i="2"/>
  <c r="FJ62" i="2"/>
  <c r="FJ51" i="2"/>
  <c r="FJ109" i="2"/>
  <c r="FJ29" i="2"/>
  <c r="FJ17" i="2"/>
  <c r="FJ68" i="2"/>
  <c r="FJ7" i="2"/>
  <c r="FJ105" i="2"/>
  <c r="FJ182" i="2"/>
  <c r="FJ161" i="2"/>
  <c r="FJ59" i="2"/>
  <c r="FJ152" i="2"/>
  <c r="FJ201" i="2"/>
  <c r="FJ108" i="2"/>
  <c r="FJ177" i="2"/>
  <c r="FJ24" i="2"/>
  <c r="FJ117" i="2"/>
  <c r="FJ12" i="2"/>
  <c r="FJ60" i="2"/>
  <c r="FJ169" i="2"/>
  <c r="FJ112" i="2"/>
  <c r="FJ146" i="2"/>
  <c r="FJ180" i="2"/>
  <c r="FJ44" i="2"/>
  <c r="FJ8" i="2"/>
  <c r="FJ187" i="2"/>
  <c r="FJ78" i="2"/>
  <c r="FJ106" i="2"/>
  <c r="FJ134" i="2"/>
  <c r="FJ203" i="2"/>
  <c r="FJ18" i="2"/>
  <c r="FJ65" i="2"/>
  <c r="FJ57" i="2"/>
  <c r="FJ35" i="2"/>
  <c r="FJ16" i="2"/>
  <c r="FJ39" i="2"/>
  <c r="FJ123" i="2"/>
  <c r="FJ197" i="2"/>
  <c r="FJ86" i="2"/>
  <c r="FJ22" i="2"/>
  <c r="FJ140" i="2"/>
  <c r="FJ67" i="2"/>
  <c r="FJ163" i="2"/>
  <c r="FJ143" i="2"/>
  <c r="FJ20" i="2"/>
  <c r="FJ66" i="2"/>
  <c r="FJ56" i="2"/>
  <c r="FJ130" i="2"/>
  <c r="FJ31" i="2"/>
  <c r="FJ33" i="2"/>
  <c r="FJ99" i="2"/>
  <c r="FJ141" i="2"/>
  <c r="FJ124" i="2"/>
  <c r="FJ100" i="2"/>
  <c r="FJ127" i="2"/>
  <c r="FJ170" i="2"/>
  <c r="FJ195" i="2"/>
  <c r="FJ171" i="2"/>
  <c r="FJ155" i="2"/>
  <c r="FJ84" i="2"/>
  <c r="FJ34" i="2"/>
  <c r="FJ9" i="2"/>
  <c r="FJ200" i="2"/>
  <c r="FJ28" i="2"/>
  <c r="FJ165" i="2"/>
  <c r="FJ43" i="2"/>
  <c r="FJ147" i="2"/>
  <c r="FJ193" i="2"/>
  <c r="FJ88" i="2"/>
  <c r="FJ49" i="2"/>
  <c r="FJ133" i="2"/>
  <c r="FJ175" i="2"/>
  <c r="FJ145" i="2"/>
  <c r="FJ40" i="2"/>
  <c r="FJ119" i="2"/>
  <c r="FJ90" i="2"/>
  <c r="FJ14" i="2"/>
  <c r="FJ158" i="2"/>
  <c r="FJ107" i="2"/>
  <c r="FJ80" i="2"/>
  <c r="FJ72" i="2"/>
  <c r="FJ115" i="2"/>
  <c r="FJ82" i="2"/>
  <c r="FJ32" i="2"/>
  <c r="FJ131" i="2"/>
  <c r="FJ21" i="2"/>
  <c r="FJ83" i="2"/>
  <c r="FJ58" i="2"/>
  <c r="FJ198" i="2"/>
  <c r="FJ172" i="2"/>
  <c r="FJ47" i="2"/>
  <c r="FJ129" i="2"/>
  <c r="FJ25" i="2"/>
  <c r="FJ139" i="2"/>
  <c r="FJ144" i="2"/>
  <c r="FJ121" i="2"/>
  <c r="FJ142" i="2"/>
  <c r="FJ3" i="2"/>
  <c r="C13" i="4" s="1"/>
  <c r="E13" i="4" s="1"/>
  <c r="F13" i="4" s="1"/>
  <c r="G13" i="4" s="1"/>
  <c r="L13" i="4" s="1"/>
  <c r="FJ132" i="2"/>
  <c r="FJ185" i="2"/>
  <c r="FJ63" i="2"/>
  <c r="FJ136" i="2"/>
  <c r="FJ101" i="2"/>
  <c r="FJ69" i="2"/>
  <c r="FJ95" i="2"/>
  <c r="FJ23" i="2"/>
  <c r="FJ186" i="2"/>
  <c r="FJ41" i="2"/>
  <c r="FJ70" i="2"/>
  <c r="FJ37" i="2"/>
  <c r="FJ38" i="2"/>
  <c r="FJ50" i="2"/>
  <c r="FJ103" i="2"/>
  <c r="FJ91" i="2"/>
  <c r="FJ4" i="2"/>
  <c r="FJ153" i="2"/>
  <c r="FJ74" i="2"/>
  <c r="FJ11" i="2"/>
  <c r="FJ81" i="2"/>
  <c r="FJ174" i="2"/>
  <c r="FJ113" i="2"/>
  <c r="FJ92" i="2"/>
  <c r="FJ45" i="2"/>
  <c r="FJ148" i="2"/>
  <c r="FJ128" i="2"/>
  <c r="FJ154" i="2"/>
  <c r="FJ13" i="2"/>
  <c r="FJ194" i="2"/>
  <c r="FJ190" i="2"/>
  <c r="FJ89" i="2"/>
  <c r="FJ120" i="2"/>
  <c r="FJ159" i="2"/>
  <c r="FJ98" i="2"/>
  <c r="FJ42" i="2"/>
  <c r="FJ157" i="2"/>
  <c r="FJ36" i="2"/>
  <c r="FJ48" i="2"/>
  <c r="FJ176" i="2"/>
  <c r="FJ93" i="2"/>
  <c r="FJ77" i="2"/>
  <c r="FJ30" i="2"/>
  <c r="FJ97" i="2"/>
  <c r="FJ96" i="2"/>
  <c r="FJ87" i="2"/>
  <c r="FJ199" i="2"/>
  <c r="FJ181" i="2"/>
  <c r="FJ149" i="2"/>
  <c r="FJ64" i="2"/>
  <c r="FJ178" i="2"/>
  <c r="FJ164" i="2"/>
  <c r="FJ192" i="2"/>
  <c r="FJ166" i="2"/>
  <c r="FJ5" i="2"/>
  <c r="FJ126" i="2"/>
  <c r="FJ116" i="2"/>
  <c r="FJ188" i="2"/>
  <c r="FJ111" i="2"/>
  <c r="FJ122" i="2"/>
  <c r="FJ137" i="2"/>
  <c r="FJ6" i="2"/>
  <c r="FJ75" i="2"/>
  <c r="FJ76" i="2"/>
  <c r="FJ191" i="2"/>
  <c r="FJ46" i="2"/>
  <c r="FJ53" i="2"/>
  <c r="FJ135" i="2"/>
  <c r="FJ85" i="2"/>
  <c r="FJ94" i="2"/>
  <c r="FJ162" i="2"/>
  <c r="FJ52" i="2"/>
  <c r="FJ156" i="2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CD5" i="2" l="1"/>
  <c r="CD60" i="2"/>
  <c r="CD179" i="2"/>
  <c r="CD174" i="2"/>
  <c r="CD83" i="2"/>
  <c r="CD139" i="2"/>
  <c r="CD87" i="2"/>
  <c r="CD189" i="2"/>
  <c r="CD184" i="2"/>
  <c r="CD124" i="2"/>
  <c r="CD3" i="2"/>
  <c r="C9" i="4" s="1"/>
  <c r="E9" i="4" s="1"/>
  <c r="F9" i="4" s="1"/>
  <c r="G9" i="4" s="1"/>
  <c r="L9" i="4" s="1"/>
  <c r="CD82" i="2"/>
  <c r="CD36" i="2"/>
  <c r="CD175" i="2"/>
  <c r="CD91" i="2"/>
  <c r="CD10" i="2"/>
  <c r="CD49" i="2"/>
  <c r="CD73" i="2"/>
  <c r="CD176" i="2"/>
  <c r="CD41" i="2"/>
  <c r="CD76" i="2"/>
  <c r="CD141" i="2"/>
  <c r="CD132" i="2"/>
  <c r="CD97" i="2"/>
  <c r="CD150" i="2"/>
  <c r="CD131" i="2"/>
  <c r="CD191" i="2"/>
  <c r="CD127" i="2"/>
  <c r="CD192" i="2"/>
  <c r="CD53" i="2"/>
  <c r="CD34" i="2"/>
  <c r="CD155" i="2"/>
  <c r="CD27" i="2"/>
  <c r="CD12" i="2"/>
  <c r="CD69" i="2"/>
  <c r="CD202" i="2"/>
  <c r="CD51" i="2"/>
  <c r="CD152" i="2"/>
  <c r="CD67" i="2"/>
  <c r="CD151" i="2"/>
  <c r="CD172" i="2"/>
  <c r="CD194" i="2"/>
  <c r="CD130" i="2"/>
  <c r="CD159" i="2"/>
  <c r="CD45" i="2"/>
  <c r="CD117" i="2"/>
  <c r="CD68" i="2"/>
  <c r="CD23" i="2"/>
  <c r="CD17" i="2"/>
  <c r="CD35" i="2"/>
  <c r="CD112" i="2"/>
  <c r="CD63" i="2"/>
  <c r="CD145" i="2"/>
  <c r="CD114" i="2"/>
  <c r="CD26" i="2"/>
  <c r="CD52" i="2"/>
  <c r="CD4" i="2"/>
  <c r="CD146" i="2"/>
  <c r="CD196" i="2"/>
  <c r="CD161" i="2"/>
  <c r="CD203" i="2"/>
  <c r="CD198" i="2"/>
  <c r="CD165" i="2"/>
  <c r="CD43" i="2"/>
  <c r="CD80" i="2"/>
  <c r="CD21" i="2"/>
  <c r="CD125" i="2"/>
  <c r="CD42" i="2"/>
  <c r="CD135" i="2"/>
  <c r="CD103" i="2"/>
  <c r="CD171" i="2"/>
  <c r="CD178" i="2"/>
  <c r="CD54" i="2"/>
  <c r="CD106" i="2"/>
  <c r="CD94" i="2"/>
  <c r="CD200" i="2"/>
  <c r="CD47" i="2"/>
  <c r="CD195" i="2"/>
  <c r="CD101" i="2"/>
  <c r="CD153" i="2"/>
  <c r="CD168" i="2"/>
  <c r="CD170" i="2"/>
  <c r="CD182" i="2"/>
  <c r="CD193" i="2"/>
  <c r="CD144" i="2"/>
  <c r="CD181" i="2"/>
  <c r="CD187" i="2"/>
  <c r="CD158" i="2"/>
  <c r="CD134" i="2"/>
  <c r="CD149" i="2"/>
  <c r="CD147" i="2"/>
  <c r="CD123" i="2"/>
  <c r="CD75" i="2"/>
  <c r="CD157" i="2"/>
  <c r="CD177" i="2"/>
  <c r="CD8" i="2"/>
  <c r="CD108" i="2"/>
  <c r="CD15" i="2"/>
  <c r="CD81" i="2"/>
  <c r="CD22" i="2"/>
  <c r="CD93" i="2"/>
  <c r="CD78" i="2"/>
  <c r="CD6" i="2"/>
  <c r="CD70" i="2"/>
  <c r="CD95" i="2"/>
  <c r="CD133" i="2"/>
  <c r="CD102" i="2"/>
  <c r="CD31" i="2"/>
  <c r="CD116" i="2"/>
  <c r="CD74" i="2"/>
  <c r="CD105" i="2"/>
  <c r="CD188" i="2"/>
  <c r="CD167" i="2"/>
  <c r="CD109" i="2"/>
  <c r="CD30" i="2"/>
  <c r="CD140" i="2"/>
  <c r="CD86" i="2"/>
  <c r="CD37" i="2"/>
  <c r="CD137" i="2"/>
  <c r="CD113" i="2"/>
  <c r="CD142" i="2"/>
  <c r="CD100" i="2"/>
  <c r="CD55" i="2"/>
  <c r="CD90" i="2"/>
  <c r="CD138" i="2"/>
  <c r="CD126" i="2"/>
  <c r="CD110" i="2"/>
  <c r="CD11" i="2"/>
  <c r="CD79" i="2"/>
  <c r="CD89" i="2"/>
  <c r="CD16" i="2"/>
  <c r="CD119" i="2"/>
  <c r="CD166" i="2"/>
  <c r="CD104" i="2"/>
  <c r="CD44" i="2"/>
  <c r="CD136" i="2"/>
  <c r="CD121" i="2"/>
  <c r="CD32" i="2"/>
  <c r="CD96" i="2"/>
  <c r="CD66" i="2"/>
  <c r="CD160" i="2"/>
  <c r="CD38" i="2"/>
  <c r="CD40" i="2"/>
  <c r="CD128" i="2"/>
  <c r="CD77" i="2"/>
  <c r="CD72" i="2"/>
  <c r="CD199" i="2"/>
  <c r="CD33" i="2"/>
  <c r="CD25" i="2"/>
  <c r="CD61" i="2"/>
  <c r="CD148" i="2"/>
  <c r="CD20" i="2"/>
  <c r="CD65" i="2"/>
  <c r="CD59" i="2"/>
  <c r="CD48" i="2"/>
  <c r="CD88" i="2"/>
  <c r="CD24" i="2"/>
  <c r="CD62" i="2"/>
  <c r="CD186" i="2"/>
  <c r="CD143" i="2"/>
  <c r="CD18" i="2"/>
  <c r="CD39" i="2"/>
  <c r="CD183" i="2"/>
  <c r="CD156" i="2"/>
  <c r="CD64" i="2"/>
  <c r="CD162" i="2"/>
  <c r="CD14" i="2"/>
  <c r="CD71" i="2"/>
  <c r="CD122" i="2"/>
  <c r="CD92" i="2"/>
  <c r="CD190" i="2"/>
  <c r="CD29" i="2"/>
  <c r="CD107" i="2"/>
  <c r="CD56" i="2"/>
  <c r="CD201" i="2"/>
  <c r="CD19" i="2"/>
  <c r="CD99" i="2"/>
  <c r="CD164" i="2"/>
  <c r="CD7" i="2"/>
  <c r="CD58" i="2"/>
  <c r="CD28" i="2"/>
  <c r="CD185" i="2"/>
  <c r="CD173" i="2"/>
  <c r="CD163" i="2"/>
  <c r="CD50" i="2"/>
  <c r="CD129" i="2"/>
  <c r="CD57" i="2"/>
  <c r="CD169" i="2"/>
  <c r="CD115" i="2"/>
  <c r="CD84" i="2"/>
  <c r="CD9" i="2"/>
  <c r="CD46" i="2"/>
  <c r="CD85" i="2"/>
  <c r="CD118" i="2"/>
  <c r="CD13" i="2"/>
  <c r="CD180" i="2"/>
  <c r="CD120" i="2"/>
  <c r="CD111" i="2"/>
  <c r="CD154" i="2"/>
  <c r="CD98" i="2"/>
  <c r="CD197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39" i="2" l="1"/>
  <c r="BI6" i="2"/>
  <c r="BI54" i="2"/>
  <c r="BI47" i="2"/>
  <c r="BI106" i="2"/>
  <c r="BI112" i="2"/>
  <c r="BI111" i="2"/>
  <c r="BI188" i="2"/>
  <c r="BI30" i="2"/>
  <c r="BI162" i="2"/>
  <c r="BI122" i="2"/>
  <c r="BI89" i="2"/>
  <c r="BI144" i="2"/>
  <c r="BI77" i="2"/>
  <c r="BI150" i="2"/>
  <c r="BI103" i="2"/>
  <c r="BI125" i="2"/>
  <c r="BI145" i="2"/>
  <c r="BI116" i="2"/>
  <c r="BI27" i="2"/>
  <c r="BI137" i="2"/>
  <c r="BI146" i="2"/>
  <c r="BI76" i="2"/>
  <c r="BI174" i="2"/>
  <c r="BI166" i="2"/>
  <c r="BI110" i="2"/>
  <c r="BI190" i="2"/>
  <c r="BI61" i="2"/>
  <c r="BI193" i="2"/>
  <c r="BI138" i="2"/>
  <c r="BI84" i="2"/>
  <c r="BI9" i="2"/>
  <c r="BI158" i="2"/>
  <c r="BI140" i="2"/>
  <c r="BI202" i="2"/>
  <c r="BI42" i="2"/>
  <c r="BI60" i="2"/>
  <c r="BI105" i="2"/>
  <c r="BI123" i="2"/>
  <c r="BI181" i="2"/>
  <c r="BI4" i="2"/>
  <c r="BI34" i="2"/>
  <c r="BI74" i="2"/>
  <c r="BI38" i="2"/>
  <c r="BI107" i="2"/>
  <c r="BI7" i="2"/>
  <c r="BI183" i="2"/>
  <c r="BI128" i="2"/>
  <c r="BI81" i="2"/>
  <c r="BI191" i="2"/>
  <c r="BI152" i="2"/>
  <c r="BI33" i="2"/>
  <c r="BI82" i="2"/>
  <c r="BI22" i="2"/>
  <c r="BI86" i="2"/>
  <c r="BI85" i="2"/>
  <c r="BI147" i="2"/>
  <c r="BI53" i="2"/>
  <c r="BI95" i="2"/>
  <c r="BI40" i="2"/>
  <c r="BI100" i="2"/>
  <c r="BI98" i="2"/>
  <c r="BI3" i="2"/>
  <c r="C8" i="4" s="1"/>
  <c r="E8" i="4" s="1"/>
  <c r="F8" i="4" s="1"/>
  <c r="G8" i="4" s="1"/>
  <c r="L8" i="4" s="1"/>
  <c r="BI58" i="2"/>
  <c r="BI104" i="2"/>
  <c r="BI91" i="2"/>
  <c r="BI108" i="2"/>
  <c r="BI55" i="2"/>
  <c r="BI101" i="2"/>
  <c r="BI119" i="2"/>
  <c r="BI52" i="2"/>
  <c r="BI20" i="2"/>
  <c r="BI113" i="2"/>
  <c r="BI126" i="2"/>
  <c r="BI176" i="2"/>
  <c r="BI65" i="2"/>
  <c r="BI115" i="2"/>
  <c r="BI163" i="2"/>
  <c r="BI114" i="2"/>
  <c r="BI62" i="2"/>
  <c r="BI129" i="2"/>
  <c r="BI173" i="2"/>
  <c r="BI35" i="2"/>
  <c r="BI135" i="2"/>
  <c r="BI132" i="2"/>
  <c r="BI175" i="2"/>
  <c r="BI56" i="2"/>
  <c r="BI118" i="2"/>
  <c r="BI167" i="2"/>
  <c r="BI37" i="2"/>
  <c r="BI11" i="2"/>
  <c r="BI88" i="2"/>
  <c r="BI73" i="2"/>
  <c r="BI169" i="2"/>
  <c r="BI109" i="2"/>
  <c r="BI185" i="2"/>
  <c r="BI10" i="2"/>
  <c r="BI32" i="2"/>
  <c r="BI72" i="2"/>
  <c r="BI155" i="2"/>
  <c r="BI187" i="2"/>
  <c r="BI12" i="2"/>
  <c r="BI194" i="2"/>
  <c r="BI184" i="2"/>
  <c r="BI160" i="2"/>
  <c r="BI29" i="2"/>
  <c r="BI64" i="2"/>
  <c r="BI164" i="2"/>
  <c r="BI197" i="2"/>
  <c r="BI131" i="2"/>
  <c r="BI25" i="2"/>
  <c r="BI44" i="2"/>
  <c r="BI17" i="2"/>
  <c r="BI21" i="2"/>
  <c r="BI149" i="2"/>
  <c r="BI165" i="2"/>
  <c r="BI134" i="2"/>
  <c r="BI15" i="2"/>
  <c r="BI93" i="2"/>
  <c r="BI39" i="2"/>
  <c r="BI96" i="2"/>
  <c r="BI97" i="2"/>
  <c r="BI57" i="2"/>
  <c r="BI67" i="2"/>
  <c r="BI79" i="2"/>
  <c r="BI127" i="2"/>
  <c r="BI46" i="2"/>
  <c r="BI153" i="2"/>
  <c r="BI159" i="2"/>
  <c r="BI78" i="2"/>
  <c r="BI102" i="2"/>
  <c r="BI142" i="2"/>
  <c r="BI124" i="2"/>
  <c r="BI66" i="2"/>
  <c r="BI189" i="2"/>
  <c r="BI170" i="2"/>
  <c r="BI133" i="2"/>
  <c r="BI136" i="2"/>
  <c r="BI151" i="2"/>
  <c r="BI94" i="2"/>
  <c r="BI203" i="2"/>
  <c r="BI59" i="2"/>
  <c r="BI154" i="2"/>
  <c r="BI90" i="2"/>
  <c r="BI13" i="2"/>
  <c r="BI157" i="2"/>
  <c r="BI121" i="2"/>
  <c r="BI177" i="2"/>
  <c r="BI48" i="2"/>
  <c r="BI49" i="2"/>
  <c r="BI199" i="2"/>
  <c r="BI43" i="2"/>
  <c r="BI5" i="2"/>
  <c r="BI120" i="2"/>
  <c r="BI172" i="2"/>
  <c r="BI87" i="2"/>
  <c r="BI75" i="2"/>
  <c r="BI179" i="2"/>
  <c r="BI69" i="2"/>
  <c r="BI41" i="2"/>
  <c r="BI8" i="2"/>
  <c r="BI68" i="2"/>
  <c r="BI186" i="2"/>
  <c r="BI168" i="2"/>
  <c r="BI180" i="2"/>
  <c r="BI171" i="2"/>
  <c r="BI178" i="2"/>
  <c r="BI24" i="2"/>
  <c r="BI63" i="2"/>
  <c r="BI130" i="2"/>
  <c r="BI117" i="2"/>
  <c r="BI50" i="2"/>
  <c r="BI36" i="2"/>
  <c r="BI143" i="2"/>
  <c r="BI26" i="2"/>
  <c r="BI83" i="2"/>
  <c r="BI71" i="2"/>
  <c r="BI23" i="2"/>
  <c r="BI141" i="2"/>
  <c r="BI148" i="2"/>
  <c r="BI156" i="2"/>
  <c r="BI14" i="2"/>
  <c r="BI31" i="2"/>
  <c r="BI70" i="2"/>
  <c r="BI19" i="2"/>
  <c r="BI161" i="2"/>
  <c r="BI51" i="2"/>
  <c r="BI18" i="2"/>
  <c r="BI80" i="2"/>
  <c r="BI45" i="2"/>
  <c r="BI198" i="2"/>
  <c r="BI28" i="2"/>
  <c r="BI201" i="2"/>
  <c r="BI92" i="2"/>
  <c r="BI200" i="2"/>
  <c r="BI182" i="2"/>
  <c r="BI99" i="2"/>
  <c r="BI192" i="2"/>
  <c r="BI195" i="2"/>
  <c r="BI16" i="2"/>
  <c r="BI196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<sst xmlns="http://schemas.openxmlformats.org/spreadsheetml/2006/main" count="1177" uniqueCount="325">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</sst>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0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2.0397714284229629</c:v>
                </c:pt>
                <c:pt idx="2">
                  <c:v>2.6830501318721502</c:v>
                </c:pt>
                <c:pt idx="3">
                  <c:v>3.5300330763175403</c:v>
                </c:pt>
                <c:pt idx="4">
                  <c:v>4.6454756176067766</c:v>
                </c:pt>
                <c:pt idx="5">
                  <c:v>6.1147922436081394</c:v>
                </c:pt>
                <c:pt idx="6">
                  <c:v>8.0506694835935235</c:v>
                </c:pt>
                <c:pt idx="7">
                  <c:v>10.601802064162893</c:v>
                </c:pt>
                <c:pt idx="8">
                  <c:v>13.96443594132149</c:v>
                </c:pt>
                <c:pt idx="9">
                  <c:v>18.397622508108167</c:v>
                </c:pt>
                <c:pt idx="10">
                  <c:v>24.243380340766453</c:v>
                </c:pt>
                <c:pt idx="11">
                  <c:v>31.953347449743802</c:v>
                </c:pt>
                <c:pt idx="12">
                  <c:v>42.124018808482084</c:v>
                </c:pt>
                <c:pt idx="13">
                  <c:v>55.543341570302402</c:v>
                </c:pt>
                <c:pt idx="14">
                  <c:v>73.252337685254929</c:v>
                </c:pt>
                <c:pt idx="15">
                  <c:v>96.626611933989992</c:v>
                </c:pt>
                <c:pt idx="16">
                  <c:v>127.4841772510066</c:v>
                </c:pt>
                <c:pt idx="17">
                  <c:v>168.22811392921565</c:v>
                </c:pt>
                <c:pt idx="18">
                  <c:v>132.88578577838067</c:v>
                </c:pt>
                <c:pt idx="19">
                  <c:v>152.3357449577359</c:v>
                </c:pt>
                <c:pt idx="20">
                  <c:v>171.72653739413659</c:v>
                </c:pt>
                <c:pt idx="21">
                  <c:v>191.06578969549196</c:v>
                </c:pt>
                <c:pt idx="22">
                  <c:v>210.3594549163457</c:v>
                </c:pt>
                <c:pt idx="23">
                  <c:v>229.61230319271121</c:v>
                </c:pt>
                <c:pt idx="24">
                  <c:v>179.18694187988618</c:v>
                </c:pt>
                <c:pt idx="25">
                  <c:v>198.69694441415049</c:v>
                </c:pt>
                <c:pt idx="26">
                  <c:v>218.16250683144037</c:v>
                </c:pt>
                <c:pt idx="27">
                  <c:v>237.58815254200749</c:v>
                </c:pt>
                <c:pt idx="28">
                  <c:v>256.9776041695244</c:v>
                </c:pt>
                <c:pt idx="29">
                  <c:v>276.33397636592611</c:v>
                </c:pt>
                <c:pt idx="30">
                  <c:v>233.44601669739703</c:v>
                </c:pt>
                <c:pt idx="31">
                  <c:v>251.84750488432181</c:v>
                </c:pt>
                <c:pt idx="32">
                  <c:v>270.21853171878513</c:v>
                </c:pt>
                <c:pt idx="33">
                  <c:v>288.56145919537863</c:v>
                </c:pt>
                <c:pt idx="34">
                  <c:v>306.87832443749215</c:v>
                </c:pt>
                <c:pt idx="35">
                  <c:v>325.17090151429107</c:v>
                </c:pt>
                <c:pt idx="36">
                  <c:v>343.44074860711908</c:v>
                </c:pt>
                <c:pt idx="37">
                  <c:v>277.64048093700978</c:v>
                </c:pt>
                <c:pt idx="38">
                  <c:v>294.48954060352384</c:v>
                </c:pt>
                <c:pt idx="39">
                  <c:v>311.31709651831665</c:v>
                </c:pt>
                <c:pt idx="40">
                  <c:v>328.12447444010144</c:v>
                </c:pt>
                <c:pt idx="41">
                  <c:v>344.91285322325461</c:v>
                </c:pt>
                <c:pt idx="42">
                  <c:v>361.6832876036994</c:v>
                </c:pt>
                <c:pt idx="43">
                  <c:v>378.43672653622252</c:v>
                </c:pt>
                <c:pt idx="44">
                  <c:v>395.17402811417611</c:v>
                </c:pt>
                <c:pt idx="45">
                  <c:v>327.74099980495697</c:v>
                </c:pt>
                <c:pt idx="46">
                  <c:v>342.57632901037942</c:v>
                </c:pt>
                <c:pt idx="47">
                  <c:v>357.39754063727128</c:v>
                </c:pt>
                <c:pt idx="48">
                  <c:v>372.2053025492678</c:v>
                </c:pt>
                <c:pt idx="49">
                  <c:v>387.00022513459527</c:v>
                </c:pt>
                <c:pt idx="50">
                  <c:v>401.78286830651933</c:v>
                </c:pt>
                <c:pt idx="51">
                  <c:v>416.55374741966574</c:v>
                </c:pt>
                <c:pt idx="52">
                  <c:v>431.31333830337053</c:v>
                </c:pt>
                <c:pt idx="53">
                  <c:v>365.99122063055853</c:v>
                </c:pt>
                <c:pt idx="54">
                  <c:v>379.3298971194522</c:v>
                </c:pt>
                <c:pt idx="55">
                  <c:v>392.65837013825052</c:v>
                </c:pt>
                <c:pt idx="56">
                  <c:v>405.97703483483957</c:v>
                </c:pt>
                <c:pt idx="57">
                  <c:v>419.28625831464296</c:v>
                </c:pt>
                <c:pt idx="58">
                  <c:v>432.5863824764233</c:v>
                </c:pt>
                <c:pt idx="59">
                  <c:v>445.87772648114247</c:v>
                </c:pt>
                <c:pt idx="60">
                  <c:v>459.16058891110282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90464"/>
        <c:axId val="1459986112"/>
      </c:scatterChart>
      <c:valAx>
        <c:axId val="1459990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6112"/>
        <c:crosses val="autoZero"/>
        <c:crossBetween val="midCat"/>
      </c:valAx>
      <c:valAx>
        <c:axId val="145998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90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255664"/>
        <c:axId val="1841252400"/>
      </c:scatterChart>
      <c:valAx>
        <c:axId val="1841255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2400"/>
        <c:crosses val="autoZero"/>
        <c:crossBetween val="midCat"/>
      </c:valAx>
      <c:valAx>
        <c:axId val="184125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5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85024"/>
        <c:axId val="1459989920"/>
      </c:scatterChart>
      <c:valAx>
        <c:axId val="14599850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9920"/>
        <c:crosses val="autoZero"/>
        <c:crossBetween val="midCat"/>
      </c:valAx>
      <c:valAx>
        <c:axId val="14599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5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2.6262917496966431</c:v>
                </c:pt>
                <c:pt idx="2">
                  <c:v>2.9852845729702948</c:v>
                </c:pt>
                <c:pt idx="3">
                  <c:v>3.3935230865618546</c:v>
                </c:pt>
                <c:pt idx="4">
                  <c:v>3.85778528891238</c:v>
                </c:pt>
                <c:pt idx="5">
                  <c:v>4.3857849990890818</c:v>
                </c:pt>
                <c:pt idx="6">
                  <c:v>4.9863014394302461</c:v>
                </c:pt>
                <c:pt idx="7">
                  <c:v>5.6693268097625067</c:v>
                </c:pt>
                <c:pt idx="8">
                  <c:v>6.4462343573718428</c:v>
                </c:pt>
                <c:pt idx="9">
                  <c:v>7.3299697962476342</c:v>
                </c:pt>
                <c:pt idx="10">
                  <c:v>8.3352693272909573</c:v>
                </c:pt>
                <c:pt idx="11">
                  <c:v>9.4789079650234935</c:v>
                </c:pt>
                <c:pt idx="12">
                  <c:v>10.779982393650428</c:v>
                </c:pt>
                <c:pt idx="13">
                  <c:v>12.26023316501287</c:v>
                </c:pt>
                <c:pt idx="14">
                  <c:v>13.944411723153619</c:v>
                </c:pt>
                <c:pt idx="15">
                  <c:v>15.860698506478897</c:v>
                </c:pt>
                <c:pt idx="16">
                  <c:v>18.041179252016821</c:v>
                </c:pt>
                <c:pt idx="17">
                  <c:v>20.522387622089742</c:v>
                </c:pt>
                <c:pt idx="18">
                  <c:v>23.345923408985936</c:v>
                </c:pt>
                <c:pt idx="19">
                  <c:v>26.559156867496458</c:v>
                </c:pt>
                <c:pt idx="20">
                  <c:v>30.216031200786585</c:v>
                </c:pt>
                <c:pt idx="21">
                  <c:v>34.377976907441628</c:v>
                </c:pt>
                <c:pt idx="22">
                  <c:v>39.114953615685558</c:v>
                </c:pt>
                <c:pt idx="23">
                  <c:v>44.506637217817172</c:v>
                </c:pt>
                <c:pt idx="24">
                  <c:v>50.643772611595551</c:v>
                </c:pt>
                <c:pt idx="25">
                  <c:v>57.629715198696537</c:v>
                </c:pt>
                <c:pt idx="26">
                  <c:v>65.582187532570742</c:v>
                </c:pt>
                <c:pt idx="27">
                  <c:v>74.635281205089385</c:v>
                </c:pt>
                <c:pt idx="28">
                  <c:v>84.941738277170302</c:v>
                </c:pt>
                <c:pt idx="29">
                  <c:v>96.675551366035393</c:v>
                </c:pt>
                <c:pt idx="30">
                  <c:v>110.03492698401654</c:v>
                </c:pt>
                <c:pt idx="31">
                  <c:v>120.33986350147482</c:v>
                </c:pt>
                <c:pt idx="32">
                  <c:v>130.62330272297189</c:v>
                </c:pt>
                <c:pt idx="33">
                  <c:v>140.88717779906787</c:v>
                </c:pt>
                <c:pt idx="34">
                  <c:v>151.13311662743948</c:v>
                </c:pt>
                <c:pt idx="35">
                  <c:v>161.362507950626</c:v>
                </c:pt>
                <c:pt idx="36">
                  <c:v>171.57654976527135</c:v>
                </c:pt>
                <c:pt idx="37">
                  <c:v>181.77628557051807</c:v>
                </c:pt>
                <c:pt idx="38">
                  <c:v>191.9626320360602</c:v>
                </c:pt>
                <c:pt idx="39">
                  <c:v>202.13640047813931</c:v>
                </c:pt>
                <c:pt idx="40">
                  <c:v>212.29831377776441</c:v>
                </c:pt>
                <c:pt idx="41">
                  <c:v>170.39875516780384</c:v>
                </c:pt>
                <c:pt idx="42">
                  <c:v>181.38424113596446</c:v>
                </c:pt>
                <c:pt idx="43">
                  <c:v>192.35415851868379</c:v>
                </c:pt>
                <c:pt idx="44">
                  <c:v>203.30952104980261</c:v>
                </c:pt>
                <c:pt idx="45">
                  <c:v>214.25122416862826</c:v>
                </c:pt>
                <c:pt idx="46">
                  <c:v>225.18006429243292</c:v>
                </c:pt>
                <c:pt idx="47">
                  <c:v>236.09675414607656</c:v>
                </c:pt>
                <c:pt idx="48">
                  <c:v>247.00193510423432</c:v>
                </c:pt>
                <c:pt idx="49">
                  <c:v>257.89618723734606</c:v>
                </c:pt>
                <c:pt idx="50">
                  <c:v>268.78003756948306</c:v>
                </c:pt>
                <c:pt idx="51">
                  <c:v>224.98501498915437</c:v>
                </c:pt>
                <c:pt idx="52">
                  <c:v>235.707074164814</c:v>
                </c:pt>
                <c:pt idx="53">
                  <c:v>246.4180109567441</c:v>
                </c:pt>
                <c:pt idx="54">
                  <c:v>257.11837729187414</c:v>
                </c:pt>
                <c:pt idx="55">
                  <c:v>267.8086753716081</c:v>
                </c:pt>
                <c:pt idx="56">
                  <c:v>278.48936400091259</c:v>
                </c:pt>
                <c:pt idx="57">
                  <c:v>289.16086389484894</c:v>
                </c:pt>
                <c:pt idx="58">
                  <c:v>299.82356216018104</c:v>
                </c:pt>
                <c:pt idx="59">
                  <c:v>310.47781610568063</c:v>
                </c:pt>
                <c:pt idx="60">
                  <c:v>321.12395650175063</c:v>
                </c:pt>
                <c:pt idx="61">
                  <c:v>276.93638995381065</c:v>
                </c:pt>
                <c:pt idx="62">
                  <c:v>287.02727998230642</c:v>
                </c:pt>
                <c:pt idx="63">
                  <c:v>297.11023564036304</c:v>
                </c:pt>
                <c:pt idx="64">
                  <c:v>307.18556432776842</c:v>
                </c:pt>
                <c:pt idx="65">
                  <c:v>317.2535516203576</c:v>
                </c:pt>
                <c:pt idx="66">
                  <c:v>327.31446347781883</c:v>
                </c:pt>
                <c:pt idx="67">
                  <c:v>337.36854816571076</c:v>
                </c:pt>
                <c:pt idx="68">
                  <c:v>347.41603793627502</c:v>
                </c:pt>
                <c:pt idx="69">
                  <c:v>357.45715050456153</c:v>
                </c:pt>
                <c:pt idx="70">
                  <c:v>367.49209034995994</c:v>
                </c:pt>
                <c:pt idx="71">
                  <c:v>322.6718286822026</c:v>
                </c:pt>
                <c:pt idx="72">
                  <c:v>331.95564418847277</c:v>
                </c:pt>
                <c:pt idx="73">
                  <c:v>341.23373557401305</c:v>
                </c:pt>
                <c:pt idx="74">
                  <c:v>350.50628052053179</c:v>
                </c:pt>
                <c:pt idx="75">
                  <c:v>359.77344653568457</c:v>
                </c:pt>
                <c:pt idx="76">
                  <c:v>369.03539178839679</c:v>
                </c:pt>
                <c:pt idx="77">
                  <c:v>378.29226585591238</c:v>
                </c:pt>
                <c:pt idx="78">
                  <c:v>387.54421039387483</c:v>
                </c:pt>
                <c:pt idx="79">
                  <c:v>396.79135973905687</c:v>
                </c:pt>
                <c:pt idx="80">
                  <c:v>406.0338414529536</c:v>
                </c:pt>
                <c:pt idx="81">
                  <c:v>360.35246947227597</c:v>
                </c:pt>
                <c:pt idx="82">
                  <c:v>368.6495796596501</c:v>
                </c:pt>
                <c:pt idx="83">
                  <c:v>376.94261536659877</c:v>
                </c:pt>
                <c:pt idx="84">
                  <c:v>385.23167893646314</c:v>
                </c:pt>
                <c:pt idx="85">
                  <c:v>393.51686794613602</c:v>
                </c:pt>
                <c:pt idx="86">
                  <c:v>401.79827552592502</c:v>
                </c:pt>
                <c:pt idx="87">
                  <c:v>410.07599065165772</c:v>
                </c:pt>
                <c:pt idx="88">
                  <c:v>418.35009841196302</c:v>
                </c:pt>
                <c:pt idx="89">
                  <c:v>426.62068025329609</c:v>
                </c:pt>
                <c:pt idx="90">
                  <c:v>434.88781420496662</c:v>
                </c:pt>
                <c:pt idx="91">
                  <c:v>388.12229635555462</c:v>
                </c:pt>
                <c:pt idx="92">
                  <c:v>395.25049568724336</c:v>
                </c:pt>
                <c:pt idx="93">
                  <c:v>402.37590934902954</c:v>
                </c:pt>
                <c:pt idx="94">
                  <c:v>409.49859366550299</c:v>
                </c:pt>
                <c:pt idx="95">
                  <c:v>416.61860284059543</c:v>
                </c:pt>
                <c:pt idx="96">
                  <c:v>423.73598907310139</c:v>
                </c:pt>
                <c:pt idx="97">
                  <c:v>430.85080266402957</c:v>
                </c:pt>
                <c:pt idx="98">
                  <c:v>437.96309211649077</c:v>
                </c:pt>
                <c:pt idx="99">
                  <c:v>445.07290422875553</c:v>
                </c:pt>
                <c:pt idx="100">
                  <c:v>452.18028418105382</c:v>
                </c:pt>
                <c:pt idx="101">
                  <c:v>404.30122601025568</c:v>
                </c:pt>
                <c:pt idx="102">
                  <c:v>410.26845241067684</c:v>
                </c:pt>
                <c:pt idx="103">
                  <c:v>416.23380499861554</c:v>
                </c:pt>
                <c:pt idx="104">
                  <c:v>422.19731444089211</c:v>
                </c:pt>
                <c:pt idx="105">
                  <c:v>428.15901046658496</c:v>
                </c:pt>
                <c:pt idx="106">
                  <c:v>434.1189219086545</c:v>
                </c:pt>
                <c:pt idx="107">
                  <c:v>440.0770767431606</c:v>
                </c:pt>
                <c:pt idx="108">
                  <c:v>446.03350212624281</c:v>
                </c:pt>
                <c:pt idx="109">
                  <c:v>451.98822442902389</c:v>
                </c:pt>
                <c:pt idx="110">
                  <c:v>457.94126927057465</c:v>
                </c:pt>
                <c:pt idx="111">
                  <c:v>411.42318205611986</c:v>
                </c:pt>
                <c:pt idx="112">
                  <c:v>416.81099888731961</c:v>
                </c:pt>
                <c:pt idx="113">
                  <c:v>422.19731444089211</c:v>
                </c:pt>
                <c:pt idx="114">
                  <c:v>427.58215058986383</c:v>
                </c:pt>
                <c:pt idx="115">
                  <c:v>432.96552861089225</c:v>
                </c:pt>
                <c:pt idx="116">
                  <c:v>438.34746920790485</c:v>
                </c:pt>
                <c:pt idx="117">
                  <c:v>443.72799253451632</c:v>
                </c:pt>
                <c:pt idx="118">
                  <c:v>449.10711821530072</c:v>
                </c:pt>
                <c:pt idx="119">
                  <c:v>454.4848653659904</c:v>
                </c:pt>
                <c:pt idx="120">
                  <c:v>459.86125261266926</c:v>
                </c:pt>
                <c:pt idx="121">
                  <c:v>416.04140320133575</c:v>
                </c:pt>
                <c:pt idx="122">
                  <c:v>420.27380126716002</c:v>
                </c:pt>
                <c:pt idx="123">
                  <c:v>424.50528125945038</c:v>
                </c:pt>
                <c:pt idx="124">
                  <c:v>428.73585363090632</c:v>
                </c:pt>
                <c:pt idx="125">
                  <c:v>432.96552861089225</c:v>
                </c:pt>
                <c:pt idx="126">
                  <c:v>437.19431621239301</c:v>
                </c:pt>
                <c:pt idx="127">
                  <c:v>441.42222623868793</c:v>
                </c:pt>
                <c:pt idx="128">
                  <c:v>445.64926828975427</c:v>
                </c:pt>
                <c:pt idx="129">
                  <c:v>449.87545176841485</c:v>
                </c:pt>
                <c:pt idx="130">
                  <c:v>454.10078588624361</c:v>
                </c:pt>
                <c:pt idx="131">
                  <c:v>417.0033930192148</c:v>
                </c:pt>
                <c:pt idx="132">
                  <c:v>420.27380126715985</c:v>
                </c:pt>
                <c:pt idx="133">
                  <c:v>423.54366133119123</c:v>
                </c:pt>
                <c:pt idx="134">
                  <c:v>426.81297804594675</c:v>
                </c:pt>
                <c:pt idx="135">
                  <c:v>430.08175616586578</c:v>
                </c:pt>
                <c:pt idx="136">
                  <c:v>433.35000036713313</c:v>
                </c:pt>
                <c:pt idx="137">
                  <c:v>436.61771524956038</c:v>
                </c:pt>
                <c:pt idx="138">
                  <c:v>439.88490533840923</c:v>
                </c:pt>
                <c:pt idx="139">
                  <c:v>443.15157508615698</c:v>
                </c:pt>
                <c:pt idx="140">
                  <c:v>446.41772887420711</c:v>
                </c:pt>
                <c:pt idx="141">
                  <c:v>416.42620487803089</c:v>
                </c:pt>
                <c:pt idx="142">
                  <c:v>419.11960237942026</c:v>
                </c:pt>
                <c:pt idx="143">
                  <c:v>421.81262693312556</c:v>
                </c:pt>
                <c:pt idx="144">
                  <c:v>424.50528125944999</c:v>
                </c:pt>
                <c:pt idx="145">
                  <c:v>427.1975680413255</c:v>
                </c:pt>
                <c:pt idx="146">
                  <c:v>429.88948992506386</c:v>
                </c:pt>
                <c:pt idx="147">
                  <c:v>432.58104952108744</c:v>
                </c:pt>
                <c:pt idx="148">
                  <c:v>435.27224940464208</c:v>
                </c:pt>
                <c:pt idx="149">
                  <c:v>437.9630921164906</c:v>
                </c:pt>
                <c:pt idx="150">
                  <c:v>440.65358016358772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89376"/>
        <c:axId val="1459986656"/>
      </c:scatterChart>
      <c:valAx>
        <c:axId val="14599893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6656"/>
        <c:crosses val="autoZero"/>
        <c:crossBetween val="midCat"/>
      </c:valAx>
      <c:valAx>
        <c:axId val="145998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9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1.4647854151676807</c:v>
                </c:pt>
                <c:pt idx="2">
                  <c:v>1.850059493826502</c:v>
                </c:pt>
                <c:pt idx="3">
                  <c:v>2.3370785233308911</c:v>
                </c:pt>
                <c:pt idx="4">
                  <c:v>2.9528138663313848</c:v>
                </c:pt>
                <c:pt idx="5">
                  <c:v>3.7314120779494235</c:v>
                </c:pt>
                <c:pt idx="6">
                  <c:v>4.7161100224737451</c:v>
                </c:pt>
                <c:pt idx="7">
                  <c:v>5.9616627066785979</c:v>
                </c:pt>
                <c:pt idx="8">
                  <c:v>7.5374214779895388</c:v>
                </c:pt>
                <c:pt idx="9">
                  <c:v>9.5312372840313433</c:v>
                </c:pt>
                <c:pt idx="10">
                  <c:v>12.054410733070766</c:v>
                </c:pt>
                <c:pt idx="11">
                  <c:v>15.247970434442587</c:v>
                </c:pt>
                <c:pt idx="12">
                  <c:v>19.290636967950768</c:v>
                </c:pt>
                <c:pt idx="13">
                  <c:v>24.408926195535471</c:v>
                </c:pt>
                <c:pt idx="14">
                  <c:v>30.889968034082738</c:v>
                </c:pt>
                <c:pt idx="15">
                  <c:v>39.097772305937845</c:v>
                </c:pt>
                <c:pt idx="16">
                  <c:v>49.493870836600898</c:v>
                </c:pt>
                <c:pt idx="17">
                  <c:v>62.663515972141028</c:v>
                </c:pt>
                <c:pt idx="18">
                  <c:v>79.348934629498771</c:v>
                </c:pt>
                <c:pt idx="19">
                  <c:v>101.74927414228381</c:v>
                </c:pt>
                <c:pt idx="20">
                  <c:v>124.02689857686322</c:v>
                </c:pt>
                <c:pt idx="21">
                  <c:v>146.20706576742037</c:v>
                </c:pt>
                <c:pt idx="22">
                  <c:v>168.30668061428091</c:v>
                </c:pt>
                <c:pt idx="23">
                  <c:v>190.33782299028056</c:v>
                </c:pt>
                <c:pt idx="24">
                  <c:v>156.01690157907348</c:v>
                </c:pt>
                <c:pt idx="25">
                  <c:v>182.10748009693808</c:v>
                </c:pt>
                <c:pt idx="26">
                  <c:v>208.11050084048546</c:v>
                </c:pt>
                <c:pt idx="27">
                  <c:v>234.03845020577921</c:v>
                </c:pt>
                <c:pt idx="28">
                  <c:v>259.9008152608456</c:v>
                </c:pt>
                <c:pt idx="29">
                  <c:v>286.84221892490893</c:v>
                </c:pt>
                <c:pt idx="30">
                  <c:v>313.72701376737501</c:v>
                </c:pt>
                <c:pt idx="31">
                  <c:v>340.5607294191388</c:v>
                </c:pt>
                <c:pt idx="32">
                  <c:v>367.34795297163237</c:v>
                </c:pt>
                <c:pt idx="33">
                  <c:v>394.09254810392412</c:v>
                </c:pt>
                <c:pt idx="34">
                  <c:v>301.42724140998001</c:v>
                </c:pt>
                <c:pt idx="35">
                  <c:v>327.71684527393012</c:v>
                </c:pt>
                <c:pt idx="36">
                  <c:v>353.95989635089626</c:v>
                </c:pt>
                <c:pt idx="37">
                  <c:v>380.160328372322</c:v>
                </c:pt>
                <c:pt idx="38">
                  <c:v>406.32148880719052</c:v>
                </c:pt>
                <c:pt idx="39">
                  <c:v>430.00440790035373</c:v>
                </c:pt>
                <c:pt idx="40">
                  <c:v>453.65930664053917</c:v>
                </c:pt>
                <c:pt idx="41">
                  <c:v>477.28785020034371</c:v>
                </c:pt>
                <c:pt idx="42">
                  <c:v>500.89152556647787</c:v>
                </c:pt>
                <c:pt idx="43">
                  <c:v>524.47166827471267</c:v>
                </c:pt>
                <c:pt idx="44">
                  <c:v>427.93799333307169</c:v>
                </c:pt>
                <c:pt idx="45">
                  <c:v>449.53102985794357</c:v>
                </c:pt>
                <c:pt idx="46">
                  <c:v>471.1018833558872</c:v>
                </c:pt>
                <c:pt idx="47">
                  <c:v>492.65171161322957</c:v>
                </c:pt>
                <c:pt idx="48">
                  <c:v>514.18156294337689</c:v>
                </c:pt>
                <c:pt idx="49">
                  <c:v>533.07466842838869</c:v>
                </c:pt>
                <c:pt idx="50">
                  <c:v>551.95369434702229</c:v>
                </c:pt>
                <c:pt idx="51">
                  <c:v>570.81918970877302</c:v>
                </c:pt>
                <c:pt idx="52">
                  <c:v>589.67166430237876</c:v>
                </c:pt>
                <c:pt idx="53">
                  <c:v>608.51159268756396</c:v>
                </c:pt>
                <c:pt idx="54">
                  <c:v>537.188111278973</c:v>
                </c:pt>
                <c:pt idx="55">
                  <c:v>553.6353194452139</c:v>
                </c:pt>
                <c:pt idx="56">
                  <c:v>570.07229224422372</c:v>
                </c:pt>
                <c:pt idx="57">
                  <c:v>586.49936617948526</c:v>
                </c:pt>
                <c:pt idx="58">
                  <c:v>602.91685737914997</c:v>
                </c:pt>
                <c:pt idx="59">
                  <c:v>617.08811705349808</c:v>
                </c:pt>
                <c:pt idx="60">
                  <c:v>631.25263281623972</c:v>
                </c:pt>
                <c:pt idx="61">
                  <c:v>645.41057723213942</c:v>
                </c:pt>
                <c:pt idx="62">
                  <c:v>659.56211468201639</c:v>
                </c:pt>
                <c:pt idx="63">
                  <c:v>673.70740192177618</c:v>
                </c:pt>
                <c:pt idx="64">
                  <c:v>619.32506336238896</c:v>
                </c:pt>
                <c:pt idx="65">
                  <c:v>631.06630064172725</c:v>
                </c:pt>
                <c:pt idx="66">
                  <c:v>642.80302101929783</c:v>
                </c:pt>
                <c:pt idx="67">
                  <c:v>654.53531856159873</c:v>
                </c:pt>
                <c:pt idx="68">
                  <c:v>666.26328368923998</c:v>
                </c:pt>
                <c:pt idx="69">
                  <c:v>675.75423729144916</c:v>
                </c:pt>
                <c:pt idx="70">
                  <c:v>685.24245337230741</c:v>
                </c:pt>
                <c:pt idx="71">
                  <c:v>694.72797517077015</c:v>
                </c:pt>
                <c:pt idx="72">
                  <c:v>704.21084464911007</c:v>
                </c:pt>
                <c:pt idx="73">
                  <c:v>713.69110254766395</c:v>
                </c:pt>
                <c:pt idx="74">
                  <c:v>672.96306649134704</c:v>
                </c:pt>
                <c:pt idx="75">
                  <c:v>680.59170636714771</c:v>
                </c:pt>
                <c:pt idx="76">
                  <c:v>688.21859138722095</c:v>
                </c:pt>
                <c:pt idx="77">
                  <c:v>695.84374373909066</c:v>
                </c:pt>
                <c:pt idx="78">
                  <c:v>703.46718508441745</c:v>
                </c:pt>
                <c:pt idx="79">
                  <c:v>1.0714397109046761E-11</c:v>
                </c:pt>
                <c:pt idx="80">
                  <c:v>1.0714397109046761E-11</c:v>
                </c:pt>
                <c:pt idx="81">
                  <c:v>1.0714397109046761E-11</c:v>
                </c:pt>
                <c:pt idx="82">
                  <c:v>1.0714397109046761E-11</c:v>
                </c:pt>
                <c:pt idx="83">
                  <c:v>1.0714397109046761E-11</c:v>
                </c:pt>
                <c:pt idx="84">
                  <c:v>1.0714397109046761E-11</c:v>
                </c:pt>
                <c:pt idx="85">
                  <c:v>1.0714397109046761E-11</c:v>
                </c:pt>
                <c:pt idx="86">
                  <c:v>1.0714397109046761E-11</c:v>
                </c:pt>
                <c:pt idx="87">
                  <c:v>1.0714397109046761E-11</c:v>
                </c:pt>
                <c:pt idx="88">
                  <c:v>1.0714397109046761E-11</c:v>
                </c:pt>
                <c:pt idx="89">
                  <c:v>1.0714397109046761E-11</c:v>
                </c:pt>
                <c:pt idx="90">
                  <c:v>1.0714397109046761E-11</c:v>
                </c:pt>
                <c:pt idx="91">
                  <c:v>1.0714397109046761E-11</c:v>
                </c:pt>
                <c:pt idx="92">
                  <c:v>1.0714397109046761E-11</c:v>
                </c:pt>
                <c:pt idx="93">
                  <c:v>1.0714397109046761E-11</c:v>
                </c:pt>
                <c:pt idx="94">
                  <c:v>1.0714397109046761E-11</c:v>
                </c:pt>
                <c:pt idx="95">
                  <c:v>1.0714397109046761E-11</c:v>
                </c:pt>
                <c:pt idx="96">
                  <c:v>1.0714397109046761E-11</c:v>
                </c:pt>
                <c:pt idx="97">
                  <c:v>1.0714397109046761E-11</c:v>
                </c:pt>
                <c:pt idx="98">
                  <c:v>1.0714397109046761E-11</c:v>
                </c:pt>
                <c:pt idx="99">
                  <c:v>1.0714397109046761E-11</c:v>
                </c:pt>
                <c:pt idx="100">
                  <c:v>1.0714397109046761E-11</c:v>
                </c:pt>
                <c:pt idx="101">
                  <c:v>1.0714397109046761E-11</c:v>
                </c:pt>
                <c:pt idx="102">
                  <c:v>1.0714397109046761E-11</c:v>
                </c:pt>
                <c:pt idx="103">
                  <c:v>1.0714397109046761E-11</c:v>
                </c:pt>
                <c:pt idx="104">
                  <c:v>1.0714397109046761E-11</c:v>
                </c:pt>
                <c:pt idx="105">
                  <c:v>1.0714397109046761E-11</c:v>
                </c:pt>
                <c:pt idx="106">
                  <c:v>1.0714397109046761E-11</c:v>
                </c:pt>
                <c:pt idx="107">
                  <c:v>1.0714397109046761E-11</c:v>
                </c:pt>
                <c:pt idx="108">
                  <c:v>1.0714397109046761E-11</c:v>
                </c:pt>
                <c:pt idx="109">
                  <c:v>1.0714397109046761E-11</c:v>
                </c:pt>
                <c:pt idx="110">
                  <c:v>1.0714397109046761E-11</c:v>
                </c:pt>
                <c:pt idx="111">
                  <c:v>1.0714397109046761E-11</c:v>
                </c:pt>
                <c:pt idx="112">
                  <c:v>1.0714397109046761E-11</c:v>
                </c:pt>
                <c:pt idx="113">
                  <c:v>1.0714397109046761E-11</c:v>
                </c:pt>
                <c:pt idx="114">
                  <c:v>1.0714397109046761E-11</c:v>
                </c:pt>
                <c:pt idx="115">
                  <c:v>1.0714397109046761E-11</c:v>
                </c:pt>
                <c:pt idx="116">
                  <c:v>1.0714397109046761E-11</c:v>
                </c:pt>
                <c:pt idx="117">
                  <c:v>1.0714397109046761E-11</c:v>
                </c:pt>
                <c:pt idx="118">
                  <c:v>1.0714397109046761E-11</c:v>
                </c:pt>
                <c:pt idx="119">
                  <c:v>1.0714397109046761E-11</c:v>
                </c:pt>
                <c:pt idx="120">
                  <c:v>1.0714397109046761E-11</c:v>
                </c:pt>
                <c:pt idx="121">
                  <c:v>1.0714397109046761E-11</c:v>
                </c:pt>
                <c:pt idx="122">
                  <c:v>1.0714397109046761E-11</c:v>
                </c:pt>
                <c:pt idx="123">
                  <c:v>1.0714397109046761E-11</c:v>
                </c:pt>
                <c:pt idx="124">
                  <c:v>1.0714397109046761E-11</c:v>
                </c:pt>
                <c:pt idx="125">
                  <c:v>1.0714397109046761E-11</c:v>
                </c:pt>
                <c:pt idx="126">
                  <c:v>1.0714397109046761E-11</c:v>
                </c:pt>
                <c:pt idx="127">
                  <c:v>1.0714397109046761E-11</c:v>
                </c:pt>
                <c:pt idx="128">
                  <c:v>1.0714397109046761E-11</c:v>
                </c:pt>
                <c:pt idx="129">
                  <c:v>1.0714397109046761E-11</c:v>
                </c:pt>
                <c:pt idx="130">
                  <c:v>1.0714397109046761E-11</c:v>
                </c:pt>
                <c:pt idx="131">
                  <c:v>1.0714397109046761E-11</c:v>
                </c:pt>
                <c:pt idx="132">
                  <c:v>1.0714397109046761E-11</c:v>
                </c:pt>
                <c:pt idx="133">
                  <c:v>1.0714397109046761E-11</c:v>
                </c:pt>
                <c:pt idx="134">
                  <c:v>1.0714397109046761E-11</c:v>
                </c:pt>
                <c:pt idx="135">
                  <c:v>1.0714397109046761E-11</c:v>
                </c:pt>
                <c:pt idx="136">
                  <c:v>1.0714397109046761E-11</c:v>
                </c:pt>
                <c:pt idx="137">
                  <c:v>1.0714397109046761E-11</c:v>
                </c:pt>
                <c:pt idx="138">
                  <c:v>1.0714397109046761E-11</c:v>
                </c:pt>
                <c:pt idx="139">
                  <c:v>1.0714397109046761E-11</c:v>
                </c:pt>
                <c:pt idx="140">
                  <c:v>1.0714397109046761E-11</c:v>
                </c:pt>
                <c:pt idx="141">
                  <c:v>1.0714397109046761E-11</c:v>
                </c:pt>
                <c:pt idx="142">
                  <c:v>1.0714397109046761E-11</c:v>
                </c:pt>
                <c:pt idx="143">
                  <c:v>1.0714397109046761E-11</c:v>
                </c:pt>
                <c:pt idx="144">
                  <c:v>1.0714397109046761E-11</c:v>
                </c:pt>
                <c:pt idx="145">
                  <c:v>1.0714397109046761E-11</c:v>
                </c:pt>
                <c:pt idx="146">
                  <c:v>1.0714397109046761E-11</c:v>
                </c:pt>
                <c:pt idx="147">
                  <c:v>1.0714397109046761E-11</c:v>
                </c:pt>
                <c:pt idx="148">
                  <c:v>1.0714397109046761E-11</c:v>
                </c:pt>
                <c:pt idx="149">
                  <c:v>1.0714397109046761E-11</c:v>
                </c:pt>
                <c:pt idx="150">
                  <c:v>1.0714397109046761E-11</c:v>
                </c:pt>
                <c:pt idx="151">
                  <c:v>1.0714397109046761E-11</c:v>
                </c:pt>
                <c:pt idx="152">
                  <c:v>1.0714397109046761E-11</c:v>
                </c:pt>
                <c:pt idx="153">
                  <c:v>1.0714397109046761E-11</c:v>
                </c:pt>
                <c:pt idx="154">
                  <c:v>1.0714397109046761E-11</c:v>
                </c:pt>
                <c:pt idx="155">
                  <c:v>1.0714397109046761E-11</c:v>
                </c:pt>
                <c:pt idx="156">
                  <c:v>1.0714397109046761E-11</c:v>
                </c:pt>
                <c:pt idx="157">
                  <c:v>1.0714397109046761E-11</c:v>
                </c:pt>
                <c:pt idx="158">
                  <c:v>1.0714397109046761E-11</c:v>
                </c:pt>
                <c:pt idx="159">
                  <c:v>1.0714397109046761E-11</c:v>
                </c:pt>
                <c:pt idx="160">
                  <c:v>1.0714397109046761E-11</c:v>
                </c:pt>
                <c:pt idx="161">
                  <c:v>1.0714397109046761E-11</c:v>
                </c:pt>
                <c:pt idx="162">
                  <c:v>1.0714397109046761E-11</c:v>
                </c:pt>
                <c:pt idx="163">
                  <c:v>1.0714397109046761E-11</c:v>
                </c:pt>
                <c:pt idx="164">
                  <c:v>1.0714397109046761E-11</c:v>
                </c:pt>
                <c:pt idx="165">
                  <c:v>1.0714397109046761E-11</c:v>
                </c:pt>
                <c:pt idx="166">
                  <c:v>1.0714397109046761E-11</c:v>
                </c:pt>
                <c:pt idx="167">
                  <c:v>1.0714397109046761E-11</c:v>
                </c:pt>
                <c:pt idx="168">
                  <c:v>1.0714397109046761E-11</c:v>
                </c:pt>
                <c:pt idx="169">
                  <c:v>1.0714397109046761E-11</c:v>
                </c:pt>
                <c:pt idx="170">
                  <c:v>1.0714397109046761E-11</c:v>
                </c:pt>
                <c:pt idx="171">
                  <c:v>1.0714397109046761E-11</c:v>
                </c:pt>
                <c:pt idx="172">
                  <c:v>1.0714397109046761E-11</c:v>
                </c:pt>
                <c:pt idx="173">
                  <c:v>1.0714397109046761E-11</c:v>
                </c:pt>
                <c:pt idx="174">
                  <c:v>1.0714397109046761E-11</c:v>
                </c:pt>
                <c:pt idx="175">
                  <c:v>1.0714397109046761E-11</c:v>
                </c:pt>
                <c:pt idx="176">
                  <c:v>1.0714397109046761E-11</c:v>
                </c:pt>
                <c:pt idx="177">
                  <c:v>1.0714397109046761E-11</c:v>
                </c:pt>
                <c:pt idx="178">
                  <c:v>1.0714397109046761E-11</c:v>
                </c:pt>
                <c:pt idx="179">
                  <c:v>1.0714397109046761E-11</c:v>
                </c:pt>
                <c:pt idx="180">
                  <c:v>1.0714397109046761E-11</c:v>
                </c:pt>
                <c:pt idx="181">
                  <c:v>1.0714397109046761E-11</c:v>
                </c:pt>
                <c:pt idx="182">
                  <c:v>1.0714397109046761E-11</c:v>
                </c:pt>
                <c:pt idx="183">
                  <c:v>1.0714397109046761E-11</c:v>
                </c:pt>
                <c:pt idx="184">
                  <c:v>1.0714397109046761E-11</c:v>
                </c:pt>
                <c:pt idx="185">
                  <c:v>1.0714397109046761E-11</c:v>
                </c:pt>
                <c:pt idx="186">
                  <c:v>1.0714397109046761E-11</c:v>
                </c:pt>
                <c:pt idx="187">
                  <c:v>1.0714397109046761E-11</c:v>
                </c:pt>
                <c:pt idx="188">
                  <c:v>1.0714397109046761E-11</c:v>
                </c:pt>
                <c:pt idx="189">
                  <c:v>1.0714397109046761E-11</c:v>
                </c:pt>
                <c:pt idx="190">
                  <c:v>1.0714397109046761E-11</c:v>
                </c:pt>
                <c:pt idx="191">
                  <c:v>1.0714397109046761E-11</c:v>
                </c:pt>
                <c:pt idx="192">
                  <c:v>1.0714397109046761E-11</c:v>
                </c:pt>
                <c:pt idx="193">
                  <c:v>1.0714397109046761E-11</c:v>
                </c:pt>
                <c:pt idx="194">
                  <c:v>1.0714397109046761E-11</c:v>
                </c:pt>
                <c:pt idx="195">
                  <c:v>1.0714397109046761E-11</c:v>
                </c:pt>
                <c:pt idx="196">
                  <c:v>1.0714397109046761E-11</c:v>
                </c:pt>
                <c:pt idx="197">
                  <c:v>1.0714397109046761E-11</c:v>
                </c:pt>
                <c:pt idx="198">
                  <c:v>1.0714397109046761E-11</c:v>
                </c:pt>
                <c:pt idx="199">
                  <c:v>1.0714397109046761E-11</c:v>
                </c:pt>
                <c:pt idx="200">
                  <c:v>1.0714397109046761E-11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84480"/>
        <c:axId val="1459987200"/>
      </c:scatterChart>
      <c:valAx>
        <c:axId val="14599844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7200"/>
        <c:crosses val="autoZero"/>
        <c:crossBetween val="midCat"/>
      </c:valAx>
      <c:valAx>
        <c:axId val="145998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4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1.8657311255390123</c:v>
                </c:pt>
                <c:pt idx="2">
                  <c:v>2.2444369493147502</c:v>
                </c:pt>
                <c:pt idx="3">
                  <c:v>2.7003052100180258</c:v>
                </c:pt>
                <c:pt idx="4">
                  <c:v>3.2491144211917753</c:v>
                </c:pt>
                <c:pt idx="5">
                  <c:v>3.909880393761179</c:v>
                </c:pt>
                <c:pt idx="6">
                  <c:v>4.7055225101143057</c:v>
                </c:pt>
                <c:pt idx="7">
                  <c:v>5.6636675207308</c:v>
                </c:pt>
                <c:pt idx="8">
                  <c:v>6.8176193239321679</c:v>
                </c:pt>
                <c:pt idx="9">
                  <c:v>8.2075290935528908</c:v>
                </c:pt>
                <c:pt idx="10">
                  <c:v>9.8818072510996942</c:v>
                </c:pt>
                <c:pt idx="11">
                  <c:v>11.89882739400254</c:v>
                </c:pt>
                <c:pt idx="12">
                  <c:v>14.328982698959813</c:v>
                </c:pt>
                <c:pt idx="13">
                  <c:v>17.257167892761622</c:v>
                </c:pt>
                <c:pt idx="14">
                  <c:v>20.78577507397539</c:v>
                </c:pt>
                <c:pt idx="15">
                  <c:v>25.038310023465428</c:v>
                </c:pt>
                <c:pt idx="16">
                  <c:v>30.163757819928311</c:v>
                </c:pt>
                <c:pt idx="17">
                  <c:v>36.341853376424055</c:v>
                </c:pt>
                <c:pt idx="18">
                  <c:v>43.789444900038347</c:v>
                </c:pt>
                <c:pt idx="19">
                  <c:v>52.7681774158035</c:v>
                </c:pt>
                <c:pt idx="20">
                  <c:v>63.593770798274043</c:v>
                </c:pt>
                <c:pt idx="21">
                  <c:v>76.647223925169385</c:v>
                </c:pt>
                <c:pt idx="22">
                  <c:v>92.388345669585405</c:v>
                </c:pt>
                <c:pt idx="23">
                  <c:v>111.37209697436424</c:v>
                </c:pt>
                <c:pt idx="24">
                  <c:v>134.26832922028481</c:v>
                </c:pt>
                <c:pt idx="25">
                  <c:v>161.88562615625563</c:v>
                </c:pt>
                <c:pt idx="26">
                  <c:v>108.67889896014218</c:v>
                </c:pt>
                <c:pt idx="27">
                  <c:v>122.653115456267</c:v>
                </c:pt>
                <c:pt idx="28">
                  <c:v>136.58860071227019</c:v>
                </c:pt>
                <c:pt idx="29">
                  <c:v>150.48986753340748</c:v>
                </c:pt>
                <c:pt idx="30">
                  <c:v>164.36052485661972</c:v>
                </c:pt>
                <c:pt idx="31">
                  <c:v>178.2035215638316</c:v>
                </c:pt>
                <c:pt idx="32">
                  <c:v>192.02131026541755</c:v>
                </c:pt>
                <c:pt idx="33">
                  <c:v>152.12058697210048</c:v>
                </c:pt>
                <c:pt idx="34">
                  <c:v>166.04135403257644</c:v>
                </c:pt>
                <c:pt idx="35">
                  <c:v>179.93456993941342</c:v>
                </c:pt>
                <c:pt idx="36">
                  <c:v>193.80266283389687</c:v>
                </c:pt>
                <c:pt idx="37">
                  <c:v>207.64768454143697</c:v>
                </c:pt>
                <c:pt idx="38">
                  <c:v>221.4713906492118</c:v>
                </c:pt>
                <c:pt idx="39">
                  <c:v>235.2752995011158</c:v>
                </c:pt>
                <c:pt idx="40">
                  <c:v>249.06073659797303</c:v>
                </c:pt>
                <c:pt idx="41">
                  <c:v>199.78285420191298</c:v>
                </c:pt>
                <c:pt idx="42">
                  <c:v>212.83113143496419</c:v>
                </c:pt>
                <c:pt idx="43">
                  <c:v>225.86098194539568</c:v>
                </c:pt>
                <c:pt idx="44">
                  <c:v>238.87361897896383</c:v>
                </c:pt>
                <c:pt idx="45">
                  <c:v>251.87011271015248</c:v>
                </c:pt>
                <c:pt idx="46">
                  <c:v>264.85141378468586</c:v>
                </c:pt>
                <c:pt idx="47">
                  <c:v>277.81837199973774</c:v>
                </c:pt>
                <c:pt idx="48">
                  <c:v>290.77175131080861</c:v>
                </c:pt>
                <c:pt idx="49">
                  <c:v>303.71224202243161</c:v>
                </c:pt>
                <c:pt idx="50">
                  <c:v>316.64047079111413</c:v>
                </c:pt>
                <c:pt idx="51">
                  <c:v>256.7146224069283</c:v>
                </c:pt>
                <c:pt idx="52">
                  <c:v>268.19619912778239</c:v>
                </c:pt>
                <c:pt idx="53">
                  <c:v>279.66670899601081</c:v>
                </c:pt>
                <c:pt idx="54">
                  <c:v>291.12667010921319</c:v>
                </c:pt>
                <c:pt idx="55">
                  <c:v>302.5765564234851</c:v>
                </c:pt>
                <c:pt idx="56">
                  <c:v>314.0168030781735</c:v>
                </c:pt>
                <c:pt idx="57">
                  <c:v>325.44781090364035</c:v>
                </c:pt>
                <c:pt idx="58">
                  <c:v>336.86995026227123</c:v>
                </c:pt>
                <c:pt idx="59">
                  <c:v>348.28356434107985</c:v>
                </c:pt>
                <c:pt idx="60">
                  <c:v>359.68897198998178</c:v>
                </c:pt>
                <c:pt idx="61">
                  <c:v>305.54805097224425</c:v>
                </c:pt>
                <c:pt idx="62">
                  <c:v>315.41431572975137</c:v>
                </c:pt>
                <c:pt idx="63">
                  <c:v>325.27374213915141</c:v>
                </c:pt>
                <c:pt idx="64">
                  <c:v>335.12656682526256</c:v>
                </c:pt>
                <c:pt idx="65">
                  <c:v>344.97301135541824</c:v>
                </c:pt>
                <c:pt idx="66">
                  <c:v>354.81328360937846</c:v>
                </c:pt>
                <c:pt idx="67">
                  <c:v>364.64757898926524</c:v>
                </c:pt>
                <c:pt idx="68">
                  <c:v>374.4760814921047</c:v>
                </c:pt>
                <c:pt idx="69">
                  <c:v>384.29896466384798</c:v>
                </c:pt>
                <c:pt idx="70">
                  <c:v>394.11639245072735</c:v>
                </c:pt>
                <c:pt idx="71">
                  <c:v>332.88562249920523</c:v>
                </c:pt>
                <c:pt idx="72">
                  <c:v>340.81394308562659</c:v>
                </c:pt>
                <c:pt idx="73">
                  <c:v>348.73820795545868</c:v>
                </c:pt>
                <c:pt idx="74">
                  <c:v>356.65852233773853</c:v>
                </c:pt>
                <c:pt idx="75">
                  <c:v>364.57498640280323</c:v>
                </c:pt>
                <c:pt idx="76">
                  <c:v>372.48769561245859</c:v>
                </c:pt>
                <c:pt idx="77">
                  <c:v>380.39674103882379</c:v>
                </c:pt>
                <c:pt idx="78">
                  <c:v>388.30220965526092</c:v>
                </c:pt>
                <c:pt idx="79">
                  <c:v>396.2041846023663</c:v>
                </c:pt>
                <c:pt idx="80">
                  <c:v>404.10274543162222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87744"/>
        <c:axId val="1459988288"/>
      </c:scatterChart>
      <c:valAx>
        <c:axId val="14599877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8288"/>
        <c:crosses val="autoZero"/>
        <c:crossBetween val="midCat"/>
      </c:valAx>
      <c:valAx>
        <c:axId val="145998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2.9620026788976301</c:v>
                </c:pt>
                <c:pt idx="2">
                  <c:v>3.6175098803284391</c:v>
                </c:pt>
                <c:pt idx="3">
                  <c:v>4.4186314454759623</c:v>
                </c:pt>
                <c:pt idx="4">
                  <c:v>5.3978287101665492</c:v>
                </c:pt>
                <c:pt idx="5">
                  <c:v>6.5948234102560903</c:v>
                </c:pt>
                <c:pt idx="6">
                  <c:v>8.0582265330304406</c:v>
                </c:pt>
                <c:pt idx="7">
                  <c:v>9.847533626551515</c:v>
                </c:pt>
                <c:pt idx="8">
                  <c:v>12.035569225080392</c:v>
                </c:pt>
                <c:pt idx="9">
                  <c:v>14.711481736853962</c:v>
                </c:pt>
                <c:pt idx="10">
                  <c:v>17.984413062832726</c:v>
                </c:pt>
                <c:pt idx="11">
                  <c:v>21.987995332765678</c:v>
                </c:pt>
                <c:pt idx="12">
                  <c:v>26.885861637800076</c:v>
                </c:pt>
                <c:pt idx="13">
                  <c:v>32.878399955020733</c:v>
                </c:pt>
                <c:pt idx="14">
                  <c:v>40.211031376345858</c:v>
                </c:pt>
                <c:pt idx="15">
                  <c:v>49.184357454314494</c:v>
                </c:pt>
                <c:pt idx="16">
                  <c:v>58.718854475687237</c:v>
                </c:pt>
                <c:pt idx="17">
                  <c:v>68.212852792069654</c:v>
                </c:pt>
                <c:pt idx="18">
                  <c:v>77.672805478494112</c:v>
                </c:pt>
                <c:pt idx="19">
                  <c:v>87.103455627199097</c:v>
                </c:pt>
                <c:pt idx="20">
                  <c:v>96.50843047567578</c:v>
                </c:pt>
                <c:pt idx="21">
                  <c:v>106.69379136702723</c:v>
                </c:pt>
                <c:pt idx="22">
                  <c:v>116.85518316514431</c:v>
                </c:pt>
                <c:pt idx="23">
                  <c:v>126.99498709039614</c:v>
                </c:pt>
                <c:pt idx="24">
                  <c:v>137.11517211565118</c:v>
                </c:pt>
                <c:pt idx="25">
                  <c:v>147.21739219923637</c:v>
                </c:pt>
                <c:pt idx="26">
                  <c:v>117.92351039680756</c:v>
                </c:pt>
                <c:pt idx="27">
                  <c:v>128.59416959016792</c:v>
                </c:pt>
                <c:pt idx="28">
                  <c:v>139.24339770056466</c:v>
                </c:pt>
                <c:pt idx="29">
                  <c:v>149.87306670214187</c:v>
                </c:pt>
                <c:pt idx="30">
                  <c:v>160.48476084470389</c:v>
                </c:pt>
                <c:pt idx="31">
                  <c:v>171.07983740751902</c:v>
                </c:pt>
                <c:pt idx="32">
                  <c:v>181.6594715736322</c:v>
                </c:pt>
                <c:pt idx="33">
                  <c:v>192.22469027815819</c:v>
                </c:pt>
                <c:pt idx="34">
                  <c:v>202.77639820979269</c:v>
                </c:pt>
                <c:pt idx="35">
                  <c:v>213.31539810691399</c:v>
                </c:pt>
                <c:pt idx="36">
                  <c:v>182.45235109290869</c:v>
                </c:pt>
                <c:pt idx="37">
                  <c:v>192.48864410163822</c:v>
                </c:pt>
                <c:pt idx="38">
                  <c:v>202.51276354484253</c:v>
                </c:pt>
                <c:pt idx="39">
                  <c:v>212.52539750355837</c:v>
                </c:pt>
                <c:pt idx="40">
                  <c:v>222.52716385704227</c:v>
                </c:pt>
                <c:pt idx="41">
                  <c:v>231.99300286014542</c:v>
                </c:pt>
                <c:pt idx="42">
                  <c:v>241.45002020151671</c:v>
                </c:pt>
                <c:pt idx="43">
                  <c:v>250.89861043286749</c:v>
                </c:pt>
                <c:pt idx="44">
                  <c:v>260.33913593396761</c:v>
                </c:pt>
                <c:pt idx="45">
                  <c:v>269.77193063297688</c:v>
                </c:pt>
                <c:pt idx="46">
                  <c:v>233.3069956991101</c:v>
                </c:pt>
                <c:pt idx="47">
                  <c:v>242.76281978799068</c:v>
                </c:pt>
                <c:pt idx="48">
                  <c:v>252.21026893031259</c:v>
                </c:pt>
                <c:pt idx="49">
                  <c:v>261.64970134536549</c:v>
                </c:pt>
                <c:pt idx="50">
                  <c:v>271.08144727175619</c:v>
                </c:pt>
                <c:pt idx="51">
                  <c:v>279.72072320950446</c:v>
                </c:pt>
                <c:pt idx="52">
                  <c:v>288.35401593725254</c:v>
                </c:pt>
                <c:pt idx="53">
                  <c:v>296.98153001415074</c:v>
                </c:pt>
                <c:pt idx="54">
                  <c:v>305.60345713341434</c:v>
                </c:pt>
                <c:pt idx="55">
                  <c:v>314.21997727965436</c:v>
                </c:pt>
                <c:pt idx="56">
                  <c:v>275.53274374757081</c:v>
                </c:pt>
                <c:pt idx="57">
                  <c:v>283.90729636220937</c:v>
                </c:pt>
                <c:pt idx="58">
                  <c:v>292.27631779996517</c:v>
                </c:pt>
                <c:pt idx="59">
                  <c:v>300.63998892299378</c:v>
                </c:pt>
                <c:pt idx="60">
                  <c:v>308.99847969979891</c:v>
                </c:pt>
                <c:pt idx="61">
                  <c:v>317.09097866363226</c:v>
                </c:pt>
                <c:pt idx="62">
                  <c:v>325.17890351314634</c:v>
                </c:pt>
                <c:pt idx="63">
                  <c:v>333.26238416035648</c:v>
                </c:pt>
                <c:pt idx="64">
                  <c:v>341.34154369544399</c:v>
                </c:pt>
                <c:pt idx="65">
                  <c:v>349.41649890151626</c:v>
                </c:pt>
                <c:pt idx="66">
                  <c:v>310.0429348758293</c:v>
                </c:pt>
                <c:pt idx="67">
                  <c:v>317.61291687130296</c:v>
                </c:pt>
                <c:pt idx="68">
                  <c:v>325.17890351314628</c:v>
                </c:pt>
                <c:pt idx="69">
                  <c:v>332.7410009619723</c:v>
                </c:pt>
                <c:pt idx="70">
                  <c:v>340.29931015478127</c:v>
                </c:pt>
                <c:pt idx="71">
                  <c:v>347.59348359184906</c:v>
                </c:pt>
                <c:pt idx="72">
                  <c:v>354.88429760392887</c:v>
                </c:pt>
                <c:pt idx="73">
                  <c:v>362.17183100401377</c:v>
                </c:pt>
                <c:pt idx="74">
                  <c:v>369.45615917184483</c:v>
                </c:pt>
                <c:pt idx="75">
                  <c:v>376.73735426970916</c:v>
                </c:pt>
                <c:pt idx="76">
                  <c:v>338.21463211726802</c:v>
                </c:pt>
                <c:pt idx="77">
                  <c:v>345.24929809595687</c:v>
                </c:pt>
                <c:pt idx="78">
                  <c:v>352.28081607499689</c:v>
                </c:pt>
                <c:pt idx="79">
                  <c:v>359.3092578106789</c:v>
                </c:pt>
                <c:pt idx="80">
                  <c:v>366.33469202042028</c:v>
                </c:pt>
                <c:pt idx="81">
                  <c:v>372.83709940910376</c:v>
                </c:pt>
                <c:pt idx="82">
                  <c:v>379.33703505493207</c:v>
                </c:pt>
                <c:pt idx="83">
                  <c:v>385.8345473249787</c:v>
                </c:pt>
                <c:pt idx="84">
                  <c:v>392.32968282292808</c:v>
                </c:pt>
                <c:pt idx="85">
                  <c:v>398.82248648214363</c:v>
                </c:pt>
                <c:pt idx="86">
                  <c:v>361.13095276503697</c:v>
                </c:pt>
                <c:pt idx="87">
                  <c:v>367.63537362097173</c:v>
                </c:pt>
                <c:pt idx="88">
                  <c:v>374.13728270377356</c:v>
                </c:pt>
                <c:pt idx="89">
                  <c:v>380.63672986290254</c:v>
                </c:pt>
                <c:pt idx="90">
                  <c:v>387.13376310498347</c:v>
                </c:pt>
                <c:pt idx="91">
                  <c:v>393.10894151426555</c:v>
                </c:pt>
                <c:pt idx="92">
                  <c:v>399.08215074461037</c:v>
                </c:pt>
                <c:pt idx="93">
                  <c:v>405.05342445485695</c:v>
                </c:pt>
                <c:pt idx="94">
                  <c:v>411.02279522958889</c:v>
                </c:pt>
                <c:pt idx="95">
                  <c:v>416.99029462887216</c:v>
                </c:pt>
                <c:pt idx="96">
                  <c:v>381.41650037906152</c:v>
                </c:pt>
                <c:pt idx="97">
                  <c:v>387.39359488525469</c:v>
                </c:pt>
                <c:pt idx="98">
                  <c:v>393.36868696306874</c:v>
                </c:pt>
                <c:pt idx="99">
                  <c:v>399.34181134841782</c:v>
                </c:pt>
                <c:pt idx="100">
                  <c:v>405.31300165235683</c:v>
                </c:pt>
                <c:pt idx="101">
                  <c:v>410.63354581964501</c:v>
                </c:pt>
                <c:pt idx="102">
                  <c:v>415.95260172468755</c:v>
                </c:pt>
                <c:pt idx="103">
                  <c:v>421.27019110227792</c:v>
                </c:pt>
                <c:pt idx="104">
                  <c:v>426.58633509322271</c:v>
                </c:pt>
                <c:pt idx="105">
                  <c:v>431.90105426794139</c:v>
                </c:pt>
                <c:pt idx="106">
                  <c:v>437.21436864884214</c:v>
                </c:pt>
                <c:pt idx="107">
                  <c:v>442.52629773155223</c:v>
                </c:pt>
                <c:pt idx="108">
                  <c:v>447.83686050507663</c:v>
                </c:pt>
                <c:pt idx="109">
                  <c:v>453.14607547094852</c:v>
                </c:pt>
                <c:pt idx="110">
                  <c:v>458.45396066143644</c:v>
                </c:pt>
                <c:pt idx="111">
                  <c:v>405.18321350307633</c:v>
                </c:pt>
                <c:pt idx="112">
                  <c:v>410.24428844188532</c:v>
                </c:pt>
                <c:pt idx="113">
                  <c:v>415.30401531716183</c:v>
                </c:pt>
                <c:pt idx="114">
                  <c:v>420.36241288637984</c:v>
                </c:pt>
                <c:pt idx="115">
                  <c:v>425.41949941830813</c:v>
                </c:pt>
                <c:pt idx="116">
                  <c:v>430.47529271153138</c:v>
                </c:pt>
                <c:pt idx="117">
                  <c:v>435.52981011205503</c:v>
                </c:pt>
                <c:pt idx="118">
                  <c:v>440.5830685300507</c:v>
                </c:pt>
                <c:pt idx="119">
                  <c:v>445.63508445579214</c:v>
                </c:pt>
                <c:pt idx="120">
                  <c:v>450.68587397483049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88832"/>
        <c:axId val="1459983936"/>
      </c:scatterChart>
      <c:valAx>
        <c:axId val="14599888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3936"/>
        <c:crosses val="autoZero"/>
        <c:crossBetween val="midCat"/>
      </c:valAx>
      <c:valAx>
        <c:axId val="14599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88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3.3043568983948219</c:v>
                </c:pt>
                <c:pt idx="2">
                  <c:v>4.1131513120146055</c:v>
                </c:pt>
                <c:pt idx="3">
                  <c:v>5.1206664109263427</c:v>
                </c:pt>
                <c:pt idx="4">
                  <c:v>6.375902542534404</c:v>
                </c:pt>
                <c:pt idx="5">
                  <c:v>7.9399827670654304</c:v>
                </c:pt>
                <c:pt idx="6">
                  <c:v>9.8891612665776254</c:v>
                </c:pt>
                <c:pt idx="7">
                  <c:v>12.318580445108942</c:v>
                </c:pt>
                <c:pt idx="8">
                  <c:v>15.346963526425172</c:v>
                </c:pt>
                <c:pt idx="9">
                  <c:v>19.122476175830567</c:v>
                </c:pt>
                <c:pt idx="10">
                  <c:v>23.830049102016243</c:v>
                </c:pt>
                <c:pt idx="11">
                  <c:v>29.700526674358532</c:v>
                </c:pt>
                <c:pt idx="12">
                  <c:v>37.022098000505643</c:v>
                </c:pt>
                <c:pt idx="13">
                  <c:v>46.154581254564704</c:v>
                </c:pt>
                <c:pt idx="14">
                  <c:v>57.547275093132022</c:v>
                </c:pt>
                <c:pt idx="15">
                  <c:v>71.761269961795847</c:v>
                </c:pt>
                <c:pt idx="16">
                  <c:v>85.095907314816401</c:v>
                </c:pt>
                <c:pt idx="17">
                  <c:v>98.377811836935564</c:v>
                </c:pt>
                <c:pt idx="18">
                  <c:v>111.61512570313762</c:v>
                </c:pt>
                <c:pt idx="19">
                  <c:v>124.81389250757191</c:v>
                </c:pt>
                <c:pt idx="20">
                  <c:v>137.97876857105169</c:v>
                </c:pt>
                <c:pt idx="21">
                  <c:v>152.8626230482474</c:v>
                </c:pt>
                <c:pt idx="22">
                  <c:v>167.71198305973977</c:v>
                </c:pt>
                <c:pt idx="23">
                  <c:v>182.53033488053475</c:v>
                </c:pt>
                <c:pt idx="24">
                  <c:v>197.32055161106871</c:v>
                </c:pt>
                <c:pt idx="25">
                  <c:v>212.08503993201154</c:v>
                </c:pt>
                <c:pt idx="26">
                  <c:v>227.40345702308142</c:v>
                </c:pt>
                <c:pt idx="27">
                  <c:v>242.69825965817117</c:v>
                </c:pt>
                <c:pt idx="28">
                  <c:v>257.97114577920252</c:v>
                </c:pt>
                <c:pt idx="29">
                  <c:v>273.22359576358815</c:v>
                </c:pt>
                <c:pt idx="30">
                  <c:v>288.45691115019287</c:v>
                </c:pt>
                <c:pt idx="31">
                  <c:v>240.39105366248293</c:v>
                </c:pt>
                <c:pt idx="32">
                  <c:v>255.66714821510956</c:v>
                </c:pt>
                <c:pt idx="33">
                  <c:v>270.92259547869656</c:v>
                </c:pt>
                <c:pt idx="34">
                  <c:v>286.15872187513997</c:v>
                </c:pt>
                <c:pt idx="35">
                  <c:v>301.37670100579004</c:v>
                </c:pt>
                <c:pt idx="36">
                  <c:v>316.00425931230865</c:v>
                </c:pt>
                <c:pt idx="37">
                  <c:v>330.61681894119141</c:v>
                </c:pt>
                <c:pt idx="38">
                  <c:v>345.21513616565261</c:v>
                </c:pt>
                <c:pt idx="39">
                  <c:v>359.79989807187752</c:v>
                </c:pt>
                <c:pt idx="40">
                  <c:v>374.3717314954622</c:v>
                </c:pt>
                <c:pt idx="41">
                  <c:v>338.34706882980078</c:v>
                </c:pt>
                <c:pt idx="42">
                  <c:v>352.36618279610326</c:v>
                </c:pt>
                <c:pt idx="43">
                  <c:v>366.37307423131756</c:v>
                </c:pt>
                <c:pt idx="44">
                  <c:v>380.3682762367792</c:v>
                </c:pt>
                <c:pt idx="45">
                  <c:v>394.35227948231795</c:v>
                </c:pt>
                <c:pt idx="46">
                  <c:v>407.75540484100776</c:v>
                </c:pt>
                <c:pt idx="47">
                  <c:v>421.14901471610159</c:v>
                </c:pt>
                <c:pt idx="48">
                  <c:v>434.53345434246239</c:v>
                </c:pt>
                <c:pt idx="49">
                  <c:v>447.90904595354408</c:v>
                </c:pt>
                <c:pt idx="50">
                  <c:v>461.27609096941552</c:v>
                </c:pt>
                <c:pt idx="51">
                  <c:v>419.72460434236359</c:v>
                </c:pt>
                <c:pt idx="52">
                  <c:v>432.25588530441445</c:v>
                </c:pt>
                <c:pt idx="53">
                  <c:v>444.77936519493966</c:v>
                </c:pt>
                <c:pt idx="54">
                  <c:v>457.2952946141495</c:v>
                </c:pt>
                <c:pt idx="55">
                  <c:v>469.80390932615688</c:v>
                </c:pt>
                <c:pt idx="56">
                  <c:v>481.45327595412624</c:v>
                </c:pt>
                <c:pt idx="57">
                  <c:v>493.09665437546749</c:v>
                </c:pt>
                <c:pt idx="58">
                  <c:v>504.73420591215864</c:v>
                </c:pt>
                <c:pt idx="59">
                  <c:v>516.3660838407244</c:v>
                </c:pt>
                <c:pt idx="60">
                  <c:v>527.99243396951181</c:v>
                </c:pt>
                <c:pt idx="61">
                  <c:v>485.14571936914029</c:v>
                </c:pt>
                <c:pt idx="62">
                  <c:v>496.21948974271317</c:v>
                </c:pt>
                <c:pt idx="63">
                  <c:v>507.28802580021755</c:v>
                </c:pt>
                <c:pt idx="64">
                  <c:v>518.35145784639667</c:v>
                </c:pt>
                <c:pt idx="65">
                  <c:v>529.40991017019905</c:v>
                </c:pt>
                <c:pt idx="66">
                  <c:v>540.18013580779473</c:v>
                </c:pt>
                <c:pt idx="67">
                  <c:v>550.94585148491763</c:v>
                </c:pt>
                <c:pt idx="68">
                  <c:v>561.70715774350776</c:v>
                </c:pt>
                <c:pt idx="69">
                  <c:v>572.4641509593182</c:v>
                </c:pt>
                <c:pt idx="70">
                  <c:v>583.21692359125188</c:v>
                </c:pt>
                <c:pt idx="71">
                  <c:v>542.16362979037569</c:v>
                </c:pt>
                <c:pt idx="72">
                  <c:v>552.07882650510749</c:v>
                </c:pt>
                <c:pt idx="73">
                  <c:v>561.99029135597004</c:v>
                </c:pt>
                <c:pt idx="74">
                  <c:v>571.89809943666535</c:v>
                </c:pt>
                <c:pt idx="75">
                  <c:v>581.80232302690615</c:v>
                </c:pt>
                <c:pt idx="76">
                  <c:v>591.42020251323834</c:v>
                </c:pt>
                <c:pt idx="77">
                  <c:v>601.03482666056914</c:v>
                </c:pt>
                <c:pt idx="78">
                  <c:v>610.64625488100796</c:v>
                </c:pt>
                <c:pt idx="79">
                  <c:v>620.25454456407806</c:v>
                </c:pt>
                <c:pt idx="80">
                  <c:v>629.85975117650617</c:v>
                </c:pt>
                <c:pt idx="81">
                  <c:v>589.15746715790237</c:v>
                </c:pt>
                <c:pt idx="82">
                  <c:v>597.92456551950988</c:v>
                </c:pt>
                <c:pt idx="83">
                  <c:v>606.68899129254567</c:v>
                </c:pt>
                <c:pt idx="84">
                  <c:v>615.45078852910217</c:v>
                </c:pt>
                <c:pt idx="85">
                  <c:v>624.20999992474549</c:v>
                </c:pt>
                <c:pt idx="86">
                  <c:v>632.68423305275508</c:v>
                </c:pt>
                <c:pt idx="87">
                  <c:v>641.15611967114364</c:v>
                </c:pt>
                <c:pt idx="88">
                  <c:v>649.62569515483597</c:v>
                </c:pt>
                <c:pt idx="89">
                  <c:v>658.09299388120962</c:v>
                </c:pt>
                <c:pt idx="90">
                  <c:v>666.5580492709729</c:v>
                </c:pt>
                <c:pt idx="91">
                  <c:v>627.59997706387446</c:v>
                </c:pt>
                <c:pt idx="92">
                  <c:v>635.22604379249128</c:v>
                </c:pt>
                <c:pt idx="93">
                  <c:v>642.8502185444828</c:v>
                </c:pt>
                <c:pt idx="94">
                  <c:v>650.47252692274378</c:v>
                </c:pt>
                <c:pt idx="95">
                  <c:v>658.09299388120962</c:v>
                </c:pt>
                <c:pt idx="96">
                  <c:v>665.71164374879129</c:v>
                </c:pt>
                <c:pt idx="97">
                  <c:v>673.32850025215942</c:v>
                </c:pt>
                <c:pt idx="98">
                  <c:v>680.943586537442</c:v>
                </c:pt>
                <c:pt idx="99">
                  <c:v>688.55692519090269</c:v>
                </c:pt>
                <c:pt idx="100">
                  <c:v>696.16853825865599</c:v>
                </c:pt>
                <c:pt idx="101">
                  <c:v>658.09299388120962</c:v>
                </c:pt>
                <c:pt idx="102">
                  <c:v>665.14736110281672</c:v>
                </c:pt>
                <c:pt idx="103">
                  <c:v>672.20018932008873</c:v>
                </c:pt>
                <c:pt idx="104">
                  <c:v>679.25149695725497</c:v>
                </c:pt>
                <c:pt idx="105">
                  <c:v>686.30130202483861</c:v>
                </c:pt>
                <c:pt idx="106">
                  <c:v>693.34962213319204</c:v>
                </c:pt>
                <c:pt idx="107">
                  <c:v>700.39647450545351</c:v>
                </c:pt>
                <c:pt idx="108">
                  <c:v>707.44187598995484</c:v>
                </c:pt>
                <c:pt idx="109">
                  <c:v>714.48584307211024</c:v>
                </c:pt>
                <c:pt idx="110">
                  <c:v>721.52839188581265</c:v>
                </c:pt>
                <c:pt idx="111">
                  <c:v>685.59638862873953</c:v>
                </c:pt>
                <c:pt idx="112">
                  <c:v>691.94007607607489</c:v>
                </c:pt>
                <c:pt idx="113">
                  <c:v>698.28257189646683</c:v>
                </c:pt>
                <c:pt idx="114">
                  <c:v>704.62388843962435</c:v>
                </c:pt>
                <c:pt idx="115">
                  <c:v>710.96403781484867</c:v>
                </c:pt>
                <c:pt idx="116">
                  <c:v>717.30303189786616</c:v>
                </c:pt>
                <c:pt idx="117">
                  <c:v>723.64088233740028</c:v>
                </c:pt>
                <c:pt idx="118">
                  <c:v>729.97760056150412</c:v>
                </c:pt>
                <c:pt idx="119">
                  <c:v>736.31319778366208</c:v>
                </c:pt>
                <c:pt idx="120">
                  <c:v>742.64768500866955</c:v>
                </c:pt>
                <c:pt idx="121">
                  <c:v>708.99167125142458</c:v>
                </c:pt>
                <c:pt idx="122">
                  <c:v>714.76757214919553</c:v>
                </c:pt>
                <c:pt idx="123">
                  <c:v>720.54251983862753</c:v>
                </c:pt>
                <c:pt idx="124">
                  <c:v>726.31652303665248</c:v>
                </c:pt>
                <c:pt idx="125">
                  <c:v>732.08959031030997</c:v>
                </c:pt>
                <c:pt idx="126">
                  <c:v>737.86173008051219</c:v>
                </c:pt>
                <c:pt idx="127">
                  <c:v>743.63295062568523</c:v>
                </c:pt>
                <c:pt idx="128">
                  <c:v>749.40326008529053</c:v>
                </c:pt>
                <c:pt idx="129">
                  <c:v>755.17266646323208</c:v>
                </c:pt>
                <c:pt idx="130">
                  <c:v>760.94117763115719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991008"/>
        <c:axId val="1841251312"/>
      </c:scatterChart>
      <c:valAx>
        <c:axId val="14599910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1312"/>
        <c:crosses val="autoZero"/>
        <c:crossBetween val="midCat"/>
      </c:valAx>
      <c:valAx>
        <c:axId val="184125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59991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251856"/>
        <c:axId val="1841253488"/>
      </c:scatterChart>
      <c:valAx>
        <c:axId val="18412518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3488"/>
        <c:crosses val="autoZero"/>
        <c:crossBetween val="midCat"/>
      </c:valAx>
      <c:valAx>
        <c:axId val="184125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1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254032"/>
        <c:axId val="1841254576"/>
      </c:scatterChart>
      <c:valAx>
        <c:axId val="18412540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4576"/>
        <c:crosses val="autoZero"/>
        <c:crossBetween val="midCat"/>
      </c:valAx>
      <c:valAx>
        <c:axId val="1841254576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125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A13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0" t="s">
        <v>291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2:13" ht="15" customHeight="1" x14ac:dyDescent="0.3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2:13" ht="15" customHeight="1" x14ac:dyDescent="0.3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2:13" ht="18.75" customHeight="1" x14ac:dyDescent="0.3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2:13" ht="18.75" customHeight="1" x14ac:dyDescent="0.3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8" spans="2:13" ht="12" customHeight="1" x14ac:dyDescent="0.3">
      <c r="B18" s="290" t="s">
        <v>292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2:13" ht="12" customHeight="1" x14ac:dyDescent="0.3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2:13" ht="12" customHeight="1" x14ac:dyDescent="0.3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2:13" ht="12" customHeight="1" x14ac:dyDescent="0.3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2:13" ht="12" customHeight="1" x14ac:dyDescent="0.3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2:13" ht="12" customHeight="1" x14ac:dyDescent="0.3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2:13" ht="12" customHeight="1" x14ac:dyDescent="0.3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2:13" ht="12" customHeight="1" x14ac:dyDescent="0.3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2:13" ht="12" customHeight="1" x14ac:dyDescent="0.3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2:13" ht="12" customHeight="1" x14ac:dyDescent="0.3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2:13" ht="12" customHeight="1" x14ac:dyDescent="0.3"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2:13" ht="12" customHeight="1" x14ac:dyDescent="0.3"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2:13" ht="12" customHeight="1" x14ac:dyDescent="0.3"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2:13" ht="12" customHeight="1" x14ac:dyDescent="0.3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3" zoomScaleNormal="100" workbookViewId="0">
      <selection activeCell="E140" sqref="E140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1" t="s">
        <v>190</v>
      </c>
      <c r="D1" s="291"/>
      <c r="E1" s="29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6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6" t="s">
        <v>192</v>
      </c>
      <c r="C3" s="297"/>
      <c r="D3" s="297"/>
      <c r="E3" s="297"/>
      <c r="F3" s="298"/>
      <c r="G3" s="93"/>
      <c r="I3" s="226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5"/>
      <c r="B4" s="95"/>
      <c r="C4" s="95"/>
      <c r="D4" s="95"/>
      <c r="E4" s="95"/>
      <c r="F4" s="95"/>
      <c r="G4" s="236"/>
      <c r="I4" s="226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2" t="s">
        <v>231</v>
      </c>
      <c r="B5" s="302"/>
      <c r="C5" s="26">
        <v>14</v>
      </c>
      <c r="D5" s="303" t="s">
        <v>229</v>
      </c>
      <c r="E5" s="304"/>
      <c r="F5" s="95"/>
      <c r="G5" s="236"/>
      <c r="H5" s="237"/>
      <c r="I5" s="237"/>
      <c r="J5" s="2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6"/>
      <c r="B6" s="96"/>
      <c r="C6" s="97"/>
      <c r="D6" s="90"/>
      <c r="E6" s="90"/>
      <c r="F6" s="29"/>
      <c r="G6" s="238"/>
      <c r="H6" s="239"/>
      <c r="I6" s="239"/>
      <c r="J6" s="246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5.8" x14ac:dyDescent="0.3">
      <c r="A7" s="300" t="s">
        <v>226</v>
      </c>
      <c r="B7" s="300"/>
      <c r="C7" s="95"/>
      <c r="D7" s="95"/>
      <c r="E7" s="5"/>
      <c r="F7" s="95"/>
      <c r="G7" s="236"/>
      <c r="H7" s="237"/>
      <c r="I7" s="237"/>
      <c r="J7" s="24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1"/>
      <c r="J8" s="24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0.32</v>
      </c>
      <c r="D9" s="36">
        <f t="shared" ref="D9:D18" si="0">C9*$C$5</f>
        <v>4.4800000000000004</v>
      </c>
      <c r="E9" s="37">
        <v>60</v>
      </c>
      <c r="F9" s="38" t="str">
        <f t="array" ref="F9">IF(E9="","",IF(INDEX(A:A,MAX(IF(ISNUMBER($A$36:$A$55),ROW($A$36:$A$55),"")))&lt;&gt;E9,"Corrigez : révolution incorrecte","OK"))</f>
        <v>OK</v>
      </c>
      <c r="G9" s="256" t="s">
        <v>306</v>
      </c>
      <c r="I9" s="252"/>
      <c r="J9" s="24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12</v>
      </c>
      <c r="C10" s="35">
        <v>0.21</v>
      </c>
      <c r="D10" s="36">
        <f t="shared" si="0"/>
        <v>2.94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2"/>
      <c r="J10" s="24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14</v>
      </c>
      <c r="C11" s="35">
        <v>0.15</v>
      </c>
      <c r="D11" s="36">
        <f t="shared" si="0"/>
        <v>2.1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29"/>
      <c r="I11" s="252"/>
      <c r="J11" s="24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156</v>
      </c>
      <c r="C12" s="35">
        <v>0.09</v>
      </c>
      <c r="D12" s="36">
        <f t="shared" si="0"/>
        <v>1.26</v>
      </c>
      <c r="E12" s="37">
        <v>78</v>
      </c>
      <c r="F12" s="38" t="str">
        <f t="array" ref="F12">IF(E12="","",IF(INDEX(A:A,MAX(IF(ISNUMBER($A$114:$A$133),ROW($A$114:$A$133),"")))&lt;&gt;E12,"Corrigez : révolution incorrecte","OK"))</f>
        <v>OK</v>
      </c>
      <c r="H12" s="229"/>
      <c r="I12" s="252"/>
      <c r="J12" s="24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35</v>
      </c>
      <c r="C13" s="35">
        <v>0.09</v>
      </c>
      <c r="D13" s="36">
        <f t="shared" si="0"/>
        <v>1.26</v>
      </c>
      <c r="E13" s="37">
        <v>80</v>
      </c>
      <c r="F13" s="38" t="str">
        <f t="array" ref="F13">IF(E13="","",IF(INDEX(A:A,MAX(IF(ISNUMBER($A$140:$A$159),ROW($A$140:$A$159),"")))&lt;&gt;E13,"Corrigez : révolution incorrecte","OK"))</f>
        <v>OK</v>
      </c>
      <c r="H13" s="229"/>
      <c r="I13" s="252"/>
      <c r="J13" s="24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6</v>
      </c>
      <c r="C14" s="35">
        <v>0.08</v>
      </c>
      <c r="D14" s="36">
        <f t="shared" si="0"/>
        <v>1.1200000000000001</v>
      </c>
      <c r="E14" s="37">
        <v>120</v>
      </c>
      <c r="F14" s="38" t="str">
        <f t="array" ref="F14">IF(E14="","",IF(INDEX(A:A,MAX(IF(ISNUMBER($A$166:$A$185),ROW($A$166:$A$185),"")))&lt;&gt;E14,"Corrigez : révolution incorrecte","OK"))</f>
        <v>OK</v>
      </c>
      <c r="H14" s="229"/>
      <c r="I14" s="252"/>
      <c r="J14" s="24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9</v>
      </c>
      <c r="C15" s="35">
        <v>0.05</v>
      </c>
      <c r="D15" s="36">
        <f t="shared" si="0"/>
        <v>0.70000000000000007</v>
      </c>
      <c r="E15" s="37">
        <v>130</v>
      </c>
      <c r="F15" s="38" t="str">
        <f t="array" ref="F15">IF(E15="","",IF(INDEX(A:A,MAX(IF(ISNUMBER($A$192:$A$211),ROW($A$192:$A$211),"")))&lt;&gt;E15,"Corrigez : révolution incorrecte","OK"))</f>
        <v>OK</v>
      </c>
      <c r="H15" s="229"/>
      <c r="I15" s="252"/>
      <c r="J15" s="24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29"/>
      <c r="I16" s="252"/>
      <c r="J16" s="24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29"/>
      <c r="I17" s="252"/>
      <c r="J17" s="24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9"/>
      <c r="I18" s="252"/>
      <c r="J18" s="24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8"/>
      <c r="B19" s="39" t="s">
        <v>175</v>
      </c>
      <c r="C19" s="40">
        <f>SUM(C9:C18)</f>
        <v>0.99</v>
      </c>
      <c r="D19" s="41">
        <f>SUM(D9:D18)</f>
        <v>13.86</v>
      </c>
      <c r="E19" s="5"/>
      <c r="F19" s="99"/>
      <c r="G19" s="240"/>
      <c r="H19" s="241"/>
      <c r="I19" s="240"/>
      <c r="J19" s="24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8"/>
      <c r="B20" s="42" t="s">
        <v>230</v>
      </c>
      <c r="C20" s="43" t="str">
        <f>IF(C19&gt;100%,"Erreur : corrigez","OK")</f>
        <v>OK</v>
      </c>
      <c r="D20" s="247"/>
      <c r="F20" s="239"/>
      <c r="G20" s="239"/>
      <c r="H20" s="241"/>
      <c r="I20" s="240"/>
      <c r="J20" s="24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2"/>
      <c r="I21" s="253"/>
      <c r="J21" s="24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9" t="s">
        <v>232</v>
      </c>
      <c r="B22" s="299"/>
      <c r="C22" s="97"/>
      <c r="H22" s="228"/>
      <c r="I22" s="246"/>
      <c r="J22" s="246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3">
      <c r="A23" s="5"/>
      <c r="B23" s="5"/>
      <c r="C23" s="5"/>
      <c r="H23" s="219"/>
      <c r="I23" s="245"/>
      <c r="J23" s="24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3"/>
      <c r="H24" s="229"/>
      <c r="I24" s="243"/>
      <c r="J24" s="244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4"/>
      <c r="H25" s="229"/>
      <c r="I25" s="244"/>
      <c r="J25" s="244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0"/>
      <c r="F26" s="100"/>
      <c r="G26" s="243"/>
      <c r="I26" s="243"/>
      <c r="J26" s="243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3"/>
      <c r="I27" s="243"/>
      <c r="J27" s="243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5"/>
      <c r="I28" s="245"/>
      <c r="J28" s="24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5"/>
      <c r="I29" s="245"/>
      <c r="J29" s="24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1" t="s">
        <v>227</v>
      </c>
      <c r="B30" s="301"/>
      <c r="D30" s="248"/>
      <c r="H30" s="246"/>
      <c r="I30" s="246"/>
      <c r="J30" s="246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3">
      <c r="A31" s="5"/>
      <c r="B31" s="5"/>
      <c r="H31" s="245"/>
      <c r="I31" s="245"/>
      <c r="J31" s="245"/>
      <c r="K31" s="248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7" t="s">
        <v>307</v>
      </c>
      <c r="K32" s="24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89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2"/>
      <c r="J34" s="249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17</v>
      </c>
      <c r="B36" s="61">
        <f>164.23/1.3</f>
        <v>126.33076923076922</v>
      </c>
      <c r="C36" s="61">
        <v>1</v>
      </c>
      <c r="D36" s="61">
        <f>(164.23-109.52)/1.3</f>
        <v>42.084615384615375</v>
      </c>
      <c r="E36" s="54"/>
      <c r="F36" s="54">
        <v>0.5</v>
      </c>
      <c r="G36" s="54">
        <v>0.5</v>
      </c>
      <c r="H36" s="54"/>
      <c r="I36" s="52">
        <f>IFERROR(B36/A36,"")</f>
        <v>7.4312217194570129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23</v>
      </c>
      <c r="B37" s="61">
        <f>225.95/1.3</f>
        <v>173.80769230769229</v>
      </c>
      <c r="C37" s="61">
        <v>2</v>
      </c>
      <c r="D37" s="61">
        <f>(225.95-155.62)/1.3</f>
        <v>54.099999999999987</v>
      </c>
      <c r="E37" s="54"/>
      <c r="F37" s="54">
        <v>0.5</v>
      </c>
      <c r="G37" s="54">
        <v>0.5</v>
      </c>
      <c r="H37" s="54"/>
      <c r="I37" s="56">
        <f t="shared" ref="I37:I55" si="1">IF(A37&lt;&gt;0,(B37-(B36-D36))/(A37-A36),"")</f>
        <v>14.926923076923075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29</v>
      </c>
      <c r="B38" s="61">
        <f>273.19/1.3</f>
        <v>210.14615384615385</v>
      </c>
      <c r="C38" s="61">
        <v>3</v>
      </c>
      <c r="D38" s="61">
        <f>(273.19-211.23)/1.3</f>
        <v>47.661538461538463</v>
      </c>
      <c r="E38" s="54">
        <v>0.6</v>
      </c>
      <c r="F38" s="54">
        <v>0.2</v>
      </c>
      <c r="G38" s="54">
        <v>0.2</v>
      </c>
      <c r="H38" s="54"/>
      <c r="I38" s="56">
        <f t="shared" si="1"/>
        <v>15.073076923076925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36</v>
      </c>
      <c r="B39" s="61">
        <f>341.35/1.3</f>
        <v>262.57692307692309</v>
      </c>
      <c r="C39" s="61">
        <v>4</v>
      </c>
      <c r="D39" s="61">
        <f>(341.35-257.43)/1.3</f>
        <v>64.553846153846166</v>
      </c>
      <c r="E39" s="54"/>
      <c r="F39" s="54"/>
      <c r="G39" s="54"/>
      <c r="H39" s="54"/>
      <c r="I39" s="52">
        <f t="shared" si="1"/>
        <v>14.298901098901101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44</v>
      </c>
      <c r="B40" s="61">
        <f>394.1/1.3</f>
        <v>303.15384615384619</v>
      </c>
      <c r="C40" s="61">
        <v>5</v>
      </c>
      <c r="D40" s="61">
        <f>(394.1-310.28)/1.3</f>
        <v>64.476923076923114</v>
      </c>
      <c r="E40" s="54"/>
      <c r="F40" s="54"/>
      <c r="G40" s="54"/>
      <c r="H40" s="54"/>
      <c r="I40" s="52">
        <f t="shared" si="1"/>
        <v>13.141346153846158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52</v>
      </c>
      <c r="B41" s="61">
        <f>431.04/1.3</f>
        <v>331.56923076923078</v>
      </c>
      <c r="C41" s="61">
        <v>6</v>
      </c>
      <c r="D41" s="61">
        <f>(431.36-351.04)/1.3</f>
        <v>61.784615384615378</v>
      </c>
      <c r="E41" s="54"/>
      <c r="F41" s="54"/>
      <c r="G41" s="54"/>
      <c r="H41" s="54"/>
      <c r="I41" s="56">
        <f t="shared" si="1"/>
        <v>11.611538461538466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60</v>
      </c>
      <c r="B42" s="61">
        <f>459.55/1.3</f>
        <v>353.5</v>
      </c>
      <c r="C42" s="61">
        <v>7</v>
      </c>
      <c r="D42" s="61">
        <f>B42</f>
        <v>353.5</v>
      </c>
      <c r="E42" s="54"/>
      <c r="F42" s="54"/>
      <c r="G42" s="54"/>
      <c r="H42" s="54"/>
      <c r="I42" s="56">
        <f t="shared" si="1"/>
        <v>10.464423076923076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/>
      <c r="B43" s="61"/>
      <c r="C43" s="61"/>
      <c r="D43" s="61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/>
      <c r="B44" s="61"/>
      <c r="C44" s="61"/>
      <c r="D44" s="61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3"/>
      <c r="B45" s="61"/>
      <c r="C45" s="61"/>
      <c r="D45" s="61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/>
      <c r="B46" s="61"/>
      <c r="C46" s="61"/>
      <c r="D46" s="61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/>
      <c r="B47" s="61"/>
      <c r="C47" s="61"/>
      <c r="D47" s="61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/>
      <c r="B48" s="61"/>
      <c r="C48" s="61"/>
      <c r="D48" s="61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/>
      <c r="B49" s="61"/>
      <c r="C49" s="61"/>
      <c r="D49" s="61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/>
      <c r="B50" s="61"/>
      <c r="C50" s="61"/>
      <c r="D50" s="61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/>
      <c r="B51" s="61"/>
      <c r="C51" s="61"/>
      <c r="D51" s="61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/>
      <c r="B52" s="61"/>
      <c r="C52" s="61"/>
      <c r="D52" s="61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3"/>
      <c r="B53" s="61"/>
      <c r="C53" s="61"/>
      <c r="D53" s="61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53"/>
      <c r="B54" s="61"/>
      <c r="C54" s="61"/>
      <c r="D54" s="61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53"/>
      <c r="B55" s="61"/>
      <c r="C55" s="61"/>
      <c r="D55" s="61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pubescent</v>
      </c>
      <c r="D58" s="257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89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2"/>
      <c r="J60" s="249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0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1">
        <v>42</v>
      </c>
      <c r="C62" s="61"/>
      <c r="D62" s="61"/>
      <c r="E62" s="54"/>
      <c r="F62" s="54"/>
      <c r="G62" s="54"/>
      <c r="H62" s="54"/>
      <c r="I62" s="56">
        <f>IFERROR(B62/A62,"")</f>
        <v>2.1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1">
        <f>62+8</f>
        <v>70</v>
      </c>
      <c r="C63" s="61"/>
      <c r="D63" s="61"/>
      <c r="E63" s="54"/>
      <c r="F63" s="54"/>
      <c r="G63" s="54"/>
      <c r="H63" s="54"/>
      <c r="I63" s="52">
        <f>IF(A63&lt;&gt;0,(B63-(B62-D62))/(A63-A62),"")</f>
        <v>5.6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1">
        <f>76+8+21</f>
        <v>105</v>
      </c>
      <c r="C64" s="61">
        <v>1</v>
      </c>
      <c r="D64" s="61">
        <f>8+21</f>
        <v>29</v>
      </c>
      <c r="E64" s="54"/>
      <c r="F64" s="54"/>
      <c r="G64" s="54"/>
      <c r="H64" s="54">
        <v>1</v>
      </c>
      <c r="I64" s="52">
        <f>IF(A64&lt;&gt;0,(B64-(B63-D63))/(A64-A63),"")</f>
        <v>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1">
        <f>95+21</f>
        <v>116</v>
      </c>
      <c r="C65" s="61"/>
      <c r="D65" s="61"/>
      <c r="E65" s="54"/>
      <c r="F65" s="54"/>
      <c r="G65" s="54"/>
      <c r="H65" s="54"/>
      <c r="I65" s="52">
        <f>IF(A65&lt;&gt;0,(B65-(B64-D64))/(A65-A64),"")</f>
        <v>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1">
        <f>116+21+21</f>
        <v>158</v>
      </c>
      <c r="C66" s="61">
        <v>2</v>
      </c>
      <c r="D66" s="61">
        <f>21+21</f>
        <v>42</v>
      </c>
      <c r="E66" s="54"/>
      <c r="F66" s="54"/>
      <c r="G66" s="54"/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1">
        <f>137+21</f>
        <v>158</v>
      </c>
      <c r="C67" s="61"/>
      <c r="D67" s="61"/>
      <c r="E67" s="54"/>
      <c r="F67" s="54"/>
      <c r="G67" s="54"/>
      <c r="H67" s="54"/>
      <c r="I67" s="52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1">
        <f>157+21+21</f>
        <v>199</v>
      </c>
      <c r="C68" s="61">
        <v>3</v>
      </c>
      <c r="D68" s="61">
        <f>21+21</f>
        <v>42</v>
      </c>
      <c r="E68" s="54"/>
      <c r="F68" s="54"/>
      <c r="G68" s="54"/>
      <c r="H68" s="54"/>
      <c r="I68" s="52">
        <f t="shared" si="2"/>
        <v>8.1999999999999993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55</v>
      </c>
      <c r="B69" s="61">
        <f>176+21</f>
        <v>197</v>
      </c>
      <c r="C69" s="61"/>
      <c r="D69" s="61"/>
      <c r="E69" s="54"/>
      <c r="F69" s="54"/>
      <c r="G69" s="54"/>
      <c r="H69" s="54"/>
      <c r="I69" s="52">
        <f t="shared" si="2"/>
        <v>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60</v>
      </c>
      <c r="B70" s="61">
        <v>235</v>
      </c>
      <c r="C70" s="61">
        <v>4</v>
      </c>
      <c r="D70" s="61">
        <v>42</v>
      </c>
      <c r="E70" s="54"/>
      <c r="F70" s="54"/>
      <c r="G70" s="54"/>
      <c r="H70" s="54"/>
      <c r="I70" s="52">
        <f t="shared" si="2"/>
        <v>7.6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65</v>
      </c>
      <c r="B71" s="61">
        <v>229</v>
      </c>
      <c r="C71" s="61"/>
      <c r="D71" s="61"/>
      <c r="E71" s="54"/>
      <c r="F71" s="54"/>
      <c r="G71" s="54"/>
      <c r="H71" s="54"/>
      <c r="I71" s="52">
        <f t="shared" si="2"/>
        <v>7.2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70</v>
      </c>
      <c r="B72" s="61">
        <v>263</v>
      </c>
      <c r="C72" s="61">
        <v>5</v>
      </c>
      <c r="D72" s="61">
        <v>42</v>
      </c>
      <c r="E72" s="54"/>
      <c r="F72" s="54"/>
      <c r="G72" s="54"/>
      <c r="H72" s="54"/>
      <c r="I72" s="52">
        <f t="shared" si="2"/>
        <v>6.8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75</v>
      </c>
      <c r="B73" s="61">
        <v>252</v>
      </c>
      <c r="C73" s="61"/>
      <c r="D73" s="61"/>
      <c r="E73" s="54"/>
      <c r="F73" s="54"/>
      <c r="G73" s="54"/>
      <c r="H73" s="54"/>
      <c r="I73" s="52">
        <f t="shared" si="2"/>
        <v>6.2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80</v>
      </c>
      <c r="B74" s="61">
        <v>282</v>
      </c>
      <c r="C74" s="61">
        <v>6</v>
      </c>
      <c r="D74" s="61">
        <v>42</v>
      </c>
      <c r="E74" s="54"/>
      <c r="F74" s="54"/>
      <c r="G74" s="54"/>
      <c r="H74" s="54"/>
      <c r="I74" s="52">
        <f t="shared" si="2"/>
        <v>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90</v>
      </c>
      <c r="B75" s="61">
        <v>296</v>
      </c>
      <c r="C75" s="61">
        <v>7</v>
      </c>
      <c r="D75" s="61">
        <v>42</v>
      </c>
      <c r="E75" s="54"/>
      <c r="F75" s="54"/>
      <c r="G75" s="54"/>
      <c r="H75" s="54"/>
      <c r="I75" s="52">
        <f t="shared" si="2"/>
        <v>5.6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100</v>
      </c>
      <c r="B76" s="61">
        <v>303</v>
      </c>
      <c r="C76" s="61">
        <v>8</v>
      </c>
      <c r="D76" s="61">
        <v>42</v>
      </c>
      <c r="E76" s="54"/>
      <c r="F76" s="54"/>
      <c r="G76" s="54"/>
      <c r="H76" s="54"/>
      <c r="I76" s="52">
        <f t="shared" si="2"/>
        <v>4.9000000000000004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110</v>
      </c>
      <c r="B77" s="61">
        <v>305</v>
      </c>
      <c r="C77" s="61">
        <v>9</v>
      </c>
      <c r="D77" s="61">
        <v>39</v>
      </c>
      <c r="E77" s="54"/>
      <c r="F77" s="54"/>
      <c r="G77" s="54"/>
      <c r="H77" s="54"/>
      <c r="I77" s="52">
        <f t="shared" si="2"/>
        <v>4.4000000000000004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120</v>
      </c>
      <c r="B78" s="61">
        <v>303</v>
      </c>
      <c r="C78" s="61">
        <v>10</v>
      </c>
      <c r="D78" s="61">
        <v>35</v>
      </c>
      <c r="E78" s="54"/>
      <c r="F78" s="54"/>
      <c r="G78" s="54"/>
      <c r="H78" s="54"/>
      <c r="I78" s="52">
        <f t="shared" si="2"/>
        <v>3.7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>
        <v>130</v>
      </c>
      <c r="B79" s="61">
        <v>300</v>
      </c>
      <c r="C79" s="61">
        <v>11</v>
      </c>
      <c r="D79" s="61">
        <v>31</v>
      </c>
      <c r="E79" s="54"/>
      <c r="F79" s="54"/>
      <c r="G79" s="54"/>
      <c r="H79" s="54"/>
      <c r="I79" s="52">
        <f t="shared" si="2"/>
        <v>3.2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>
        <v>140</v>
      </c>
      <c r="B80" s="61">
        <v>296</v>
      </c>
      <c r="C80" s="61">
        <v>12</v>
      </c>
      <c r="D80" s="61">
        <v>27</v>
      </c>
      <c r="E80" s="54"/>
      <c r="F80" s="54"/>
      <c r="G80" s="54"/>
      <c r="H80" s="54"/>
      <c r="I80" s="52">
        <f t="shared" si="2"/>
        <v>2.7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>
        <v>150</v>
      </c>
      <c r="B81" s="61">
        <v>293</v>
      </c>
      <c r="C81" s="61">
        <v>13</v>
      </c>
      <c r="D81" s="61">
        <v>293</v>
      </c>
      <c r="E81" s="54"/>
      <c r="F81" s="54"/>
      <c r="G81" s="54"/>
      <c r="H81" s="54"/>
      <c r="I81" s="52">
        <f t="shared" si="2"/>
        <v>2.4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Chêne sessile</v>
      </c>
      <c r="D84" s="257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89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30</v>
      </c>
      <c r="B88" s="61">
        <f>0 + 54 + 0</f>
        <v>54</v>
      </c>
      <c r="C88" s="61">
        <v>1</v>
      </c>
      <c r="D88" s="61">
        <f>0 + 0</f>
        <v>0</v>
      </c>
      <c r="E88" s="54"/>
      <c r="F88" s="54"/>
      <c r="G88" s="54"/>
      <c r="H88" s="54">
        <v>1</v>
      </c>
      <c r="I88" s="56">
        <f>IFERROR(B88/A88,"")</f>
        <v>1.8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40</v>
      </c>
      <c r="B89" s="61">
        <f>13 + 79 + 14</f>
        <v>106</v>
      </c>
      <c r="C89" s="61">
        <v>2</v>
      </c>
      <c r="D89" s="61">
        <f>14 + 13</f>
        <v>27</v>
      </c>
      <c r="E89" s="54"/>
      <c r="F89" s="54"/>
      <c r="G89" s="54"/>
      <c r="H89" s="54"/>
      <c r="I89" s="56">
        <f t="shared" ref="I89:I107" si="3">IF(A89&lt;&gt;0,(B89-(B88-D88))/(A89-A88),"")</f>
        <v>5.2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50</v>
      </c>
      <c r="B90" s="61">
        <f>14 + 107 + 14</f>
        <v>135</v>
      </c>
      <c r="C90" s="61">
        <v>3</v>
      </c>
      <c r="D90" s="61">
        <f t="shared" ref="D90:D95" si="4">14 + 14</f>
        <v>28</v>
      </c>
      <c r="E90" s="54"/>
      <c r="F90" s="54"/>
      <c r="G90" s="54"/>
      <c r="H90" s="54"/>
      <c r="I90" s="56">
        <f t="shared" si="3"/>
        <v>5.6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60</v>
      </c>
      <c r="B91" s="61">
        <f>14 + 134 + 14</f>
        <v>162</v>
      </c>
      <c r="C91" s="61">
        <v>4</v>
      </c>
      <c r="D91" s="61">
        <f t="shared" si="4"/>
        <v>28</v>
      </c>
      <c r="E91" s="54"/>
      <c r="F91" s="54"/>
      <c r="G91" s="54"/>
      <c r="H91" s="54"/>
      <c r="I91" s="56">
        <f t="shared" si="3"/>
        <v>5.5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70</v>
      </c>
      <c r="B92" s="61">
        <f>14 + 158 + 14</f>
        <v>186</v>
      </c>
      <c r="C92" s="61">
        <v>5</v>
      </c>
      <c r="D92" s="61">
        <f t="shared" si="4"/>
        <v>28</v>
      </c>
      <c r="E92" s="54"/>
      <c r="F92" s="54"/>
      <c r="G92" s="54"/>
      <c r="H92" s="54"/>
      <c r="I92" s="56">
        <f t="shared" si="3"/>
        <v>5.2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80</v>
      </c>
      <c r="B93" s="61">
        <f>14 + 178 + 14</f>
        <v>206</v>
      </c>
      <c r="C93" s="61">
        <v>6</v>
      </c>
      <c r="D93" s="61">
        <f t="shared" si="4"/>
        <v>28</v>
      </c>
      <c r="E93" s="54"/>
      <c r="F93" s="54"/>
      <c r="G93" s="54"/>
      <c r="H93" s="54"/>
      <c r="I93" s="56">
        <f t="shared" si="3"/>
        <v>4.8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90</v>
      </c>
      <c r="B94" s="61">
        <f>14 + 193 + 14</f>
        <v>221</v>
      </c>
      <c r="C94" s="61">
        <v>7</v>
      </c>
      <c r="D94" s="61">
        <f t="shared" si="4"/>
        <v>28</v>
      </c>
      <c r="E94" s="54"/>
      <c r="F94" s="54"/>
      <c r="G94" s="54"/>
      <c r="H94" s="54"/>
      <c r="I94" s="56">
        <f t="shared" si="3"/>
        <v>4.3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100</v>
      </c>
      <c r="B95" s="61">
        <f>14 + 202 + 14</f>
        <v>230</v>
      </c>
      <c r="C95" s="61">
        <v>8</v>
      </c>
      <c r="D95" s="61">
        <f t="shared" si="4"/>
        <v>28</v>
      </c>
      <c r="E95" s="54"/>
      <c r="F95" s="54"/>
      <c r="G95" s="54"/>
      <c r="H95" s="54"/>
      <c r="I95" s="56">
        <f t="shared" si="3"/>
        <v>3.7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110</v>
      </c>
      <c r="B96" s="61">
        <f>14 + 206 + 13</f>
        <v>233</v>
      </c>
      <c r="C96" s="61">
        <v>9</v>
      </c>
      <c r="D96" s="61">
        <f>13 + 14</f>
        <v>27</v>
      </c>
      <c r="E96" s="54"/>
      <c r="F96" s="54"/>
      <c r="G96" s="54"/>
      <c r="H96" s="54"/>
      <c r="I96" s="56">
        <f t="shared" si="3"/>
        <v>3.1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120</v>
      </c>
      <c r="B97" s="61">
        <f>13 + 209 + 12</f>
        <v>234</v>
      </c>
      <c r="C97" s="61">
        <v>10</v>
      </c>
      <c r="D97" s="61">
        <f>12 + 13</f>
        <v>25</v>
      </c>
      <c r="E97" s="54"/>
      <c r="F97" s="54"/>
      <c r="G97" s="54"/>
      <c r="H97" s="54"/>
      <c r="I97" s="56">
        <f t="shared" si="3"/>
        <v>2.8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130</v>
      </c>
      <c r="B98" s="61">
        <f>11 + 210 + 10</f>
        <v>231</v>
      </c>
      <c r="C98" s="61">
        <v>11</v>
      </c>
      <c r="D98" s="61">
        <f>10 + 11</f>
        <v>21</v>
      </c>
      <c r="E98" s="54"/>
      <c r="F98" s="54"/>
      <c r="G98" s="54"/>
      <c r="H98" s="54"/>
      <c r="I98" s="56">
        <f t="shared" si="3"/>
        <v>2.2000000000000002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140</v>
      </c>
      <c r="B99" s="61">
        <f>9 + 210 + 8</f>
        <v>227</v>
      </c>
      <c r="C99" s="61">
        <v>12</v>
      </c>
      <c r="D99" s="61">
        <f>8 + 9</f>
        <v>17</v>
      </c>
      <c r="E99" s="54"/>
      <c r="F99" s="54"/>
      <c r="G99" s="54"/>
      <c r="H99" s="54"/>
      <c r="I99" s="56">
        <f t="shared" si="3"/>
        <v>1.7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150</v>
      </c>
      <c r="B100" s="61">
        <f>7 + 211 + 6</f>
        <v>224</v>
      </c>
      <c r="C100" s="61">
        <v>13</v>
      </c>
      <c r="D100" s="61">
        <f>B100</f>
        <v>224</v>
      </c>
      <c r="E100" s="54"/>
      <c r="F100" s="54"/>
      <c r="G100" s="54"/>
      <c r="H100" s="54"/>
      <c r="I100" s="56">
        <f t="shared" si="3"/>
        <v>1.4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/>
      <c r="B101" s="61"/>
      <c r="C101" s="61"/>
      <c r="D101" s="61"/>
      <c r="E101" s="54"/>
      <c r="F101" s="54"/>
      <c r="G101" s="54"/>
      <c r="H101" s="54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/>
      <c r="B102" s="61"/>
      <c r="C102" s="61"/>
      <c r="D102" s="61"/>
      <c r="E102" s="54"/>
      <c r="F102" s="54"/>
      <c r="G102" s="54"/>
      <c r="H102" s="54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/>
      <c r="B103" s="61"/>
      <c r="C103" s="61"/>
      <c r="D103" s="61"/>
      <c r="E103" s="54"/>
      <c r="F103" s="54"/>
      <c r="G103" s="54"/>
      <c r="H103" s="54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/>
      <c r="B104" s="61"/>
      <c r="C104" s="61"/>
      <c r="D104" s="61"/>
      <c r="E104" s="54"/>
      <c r="F104" s="54"/>
      <c r="G104" s="54"/>
      <c r="H104" s="54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61"/>
      <c r="C105" s="61"/>
      <c r="D105" s="61"/>
      <c r="E105" s="54"/>
      <c r="F105" s="54"/>
      <c r="G105" s="54"/>
      <c r="H105" s="54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61"/>
      <c r="C106" s="61"/>
      <c r="D106" s="61"/>
      <c r="E106" s="54"/>
      <c r="F106" s="54"/>
      <c r="G106" s="54"/>
      <c r="H106" s="54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61"/>
      <c r="C107" s="61"/>
      <c r="D107" s="61"/>
      <c r="E107" s="54"/>
      <c r="F107" s="54"/>
      <c r="G107" s="54"/>
      <c r="H107" s="54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Séquoia toujours vert</v>
      </c>
      <c r="D110" s="257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89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18</v>
      </c>
      <c r="B114" s="61">
        <f>79</f>
        <v>79</v>
      </c>
      <c r="C114" s="53"/>
      <c r="D114" s="61"/>
      <c r="E114" s="54"/>
      <c r="F114" s="54"/>
      <c r="G114" s="54"/>
      <c r="H114" s="54"/>
      <c r="I114" s="56">
        <f>IFERROR(B114/A114,"")</f>
        <v>4.3888888888888893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23</v>
      </c>
      <c r="B115" s="61">
        <f>194+0</f>
        <v>194</v>
      </c>
      <c r="C115" s="53">
        <v>1</v>
      </c>
      <c r="D115" s="61">
        <f>63</f>
        <v>63</v>
      </c>
      <c r="E115" s="54"/>
      <c r="F115" s="54">
        <v>0.5</v>
      </c>
      <c r="G115" s="54">
        <v>0.5</v>
      </c>
      <c r="H115" s="54"/>
      <c r="I115" s="56">
        <f t="shared" ref="I115:I133" si="5">IF(A115&lt;&gt;0,(B115-(B114-D114))/(A115-A114),"")</f>
        <v>23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28</v>
      </c>
      <c r="B116" s="61">
        <f>267</f>
        <v>267</v>
      </c>
      <c r="C116" s="53"/>
      <c r="D116" s="61"/>
      <c r="E116" s="54"/>
      <c r="F116" s="54"/>
      <c r="G116" s="54"/>
      <c r="H116" s="54"/>
      <c r="I116" s="56">
        <f t="shared" si="5"/>
        <v>27.2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33</v>
      </c>
      <c r="B117" s="61">
        <f>346+63</f>
        <v>409</v>
      </c>
      <c r="C117" s="53">
        <v>2</v>
      </c>
      <c r="D117" s="61">
        <f>63+63</f>
        <v>126</v>
      </c>
      <c r="E117" s="54"/>
      <c r="F117" s="54"/>
      <c r="G117" s="54"/>
      <c r="H117" s="54"/>
      <c r="I117" s="56">
        <f t="shared" si="5"/>
        <v>28.4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38</v>
      </c>
      <c r="B118" s="61">
        <f>422</f>
        <v>422</v>
      </c>
      <c r="C118" s="53"/>
      <c r="D118" s="61"/>
      <c r="E118" s="54"/>
      <c r="F118" s="54"/>
      <c r="G118" s="54"/>
      <c r="H118" s="54"/>
      <c r="I118" s="56">
        <f t="shared" si="5"/>
        <v>27.8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43</v>
      </c>
      <c r="B119" s="61">
        <f>485+63</f>
        <v>548</v>
      </c>
      <c r="C119" s="53">
        <v>3</v>
      </c>
      <c r="D119" s="61">
        <f>63+63</f>
        <v>126</v>
      </c>
      <c r="E119" s="54"/>
      <c r="F119" s="54"/>
      <c r="G119" s="54"/>
      <c r="H119" s="54"/>
      <c r="I119" s="56">
        <f t="shared" si="5"/>
        <v>25.2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48</v>
      </c>
      <c r="B120" s="61">
        <f>537</f>
        <v>537</v>
      </c>
      <c r="C120" s="53"/>
      <c r="D120" s="61"/>
      <c r="E120" s="54"/>
      <c r="F120" s="54"/>
      <c r="G120" s="54"/>
      <c r="H120" s="54"/>
      <c r="I120" s="56">
        <f t="shared" si="5"/>
        <v>23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53</v>
      </c>
      <c r="B121" s="61">
        <f>587+51</f>
        <v>638</v>
      </c>
      <c r="C121" s="53">
        <v>4</v>
      </c>
      <c r="D121" s="61">
        <f>43+51</f>
        <v>94</v>
      </c>
      <c r="E121" s="54"/>
      <c r="F121" s="54"/>
      <c r="G121" s="54"/>
      <c r="H121" s="54"/>
      <c r="I121" s="56">
        <f t="shared" si="5"/>
        <v>20.2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58</v>
      </c>
      <c r="B122" s="61">
        <f>632</f>
        <v>632</v>
      </c>
      <c r="C122" s="53"/>
      <c r="D122" s="61"/>
      <c r="E122" s="54"/>
      <c r="F122" s="54"/>
      <c r="G122" s="54"/>
      <c r="H122" s="54"/>
      <c r="I122" s="56">
        <f t="shared" si="5"/>
        <v>17.600000000000001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63</v>
      </c>
      <c r="B123" s="61">
        <f>670+38</f>
        <v>708</v>
      </c>
      <c r="C123" s="53">
        <v>5</v>
      </c>
      <c r="D123" s="61">
        <f>33+38</f>
        <v>71</v>
      </c>
      <c r="E123" s="54"/>
      <c r="F123" s="54"/>
      <c r="G123" s="54"/>
      <c r="H123" s="54"/>
      <c r="I123" s="56">
        <f t="shared" si="5"/>
        <v>15.2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68</v>
      </c>
      <c r="B124" s="61">
        <f>700</f>
        <v>700</v>
      </c>
      <c r="C124" s="53"/>
      <c r="D124" s="61"/>
      <c r="E124" s="54"/>
      <c r="F124" s="54"/>
      <c r="G124" s="54"/>
      <c r="H124" s="54"/>
      <c r="I124" s="56">
        <f t="shared" si="5"/>
        <v>12.6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73</v>
      </c>
      <c r="B125" s="61">
        <f>723+28</f>
        <v>751</v>
      </c>
      <c r="C125" s="53">
        <v>6</v>
      </c>
      <c r="D125" s="61">
        <f>24+28</f>
        <v>52</v>
      </c>
      <c r="E125" s="54"/>
      <c r="F125" s="54"/>
      <c r="G125" s="54"/>
      <c r="H125" s="54"/>
      <c r="I125" s="56">
        <f t="shared" si="5"/>
        <v>10.199999999999999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78</v>
      </c>
      <c r="B126" s="61">
        <f>740</f>
        <v>740</v>
      </c>
      <c r="C126" s="53">
        <v>7</v>
      </c>
      <c r="D126" s="61">
        <f>740</f>
        <v>740</v>
      </c>
      <c r="E126" s="57"/>
      <c r="F126" s="57"/>
      <c r="G126" s="57"/>
      <c r="H126" s="57"/>
      <c r="I126" s="56">
        <f t="shared" si="5"/>
        <v>8.1999999999999993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/>
      <c r="B127" s="61"/>
      <c r="C127" s="61"/>
      <c r="D127" s="61"/>
      <c r="E127" s="54"/>
      <c r="F127" s="54"/>
      <c r="G127" s="54"/>
      <c r="H127" s="54"/>
      <c r="I127" s="56" t="str">
        <f t="shared" si="5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61"/>
      <c r="C128" s="61"/>
      <c r="D128" s="61"/>
      <c r="E128" s="54"/>
      <c r="F128" s="54"/>
      <c r="G128" s="54"/>
      <c r="H128" s="54"/>
      <c r="I128" s="56" t="str">
        <f t="shared" si="5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61"/>
      <c r="C129" s="61"/>
      <c r="D129" s="61"/>
      <c r="E129" s="54"/>
      <c r="F129" s="54"/>
      <c r="G129" s="54"/>
      <c r="H129" s="54"/>
      <c r="I129" s="56" t="str">
        <f t="shared" si="5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61"/>
      <c r="C130" s="61"/>
      <c r="D130" s="61"/>
      <c r="E130" s="54"/>
      <c r="F130" s="54"/>
      <c r="G130" s="54"/>
      <c r="H130" s="54"/>
      <c r="I130" s="56" t="str">
        <f t="shared" si="5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61"/>
      <c r="C131" s="61"/>
      <c r="D131" s="61"/>
      <c r="E131" s="54"/>
      <c r="F131" s="54"/>
      <c r="G131" s="54"/>
      <c r="H131" s="54"/>
      <c r="I131" s="56" t="str">
        <f t="shared" si="5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61"/>
      <c r="C132" s="61"/>
      <c r="D132" s="61"/>
      <c r="E132" s="54"/>
      <c r="F132" s="54"/>
      <c r="G132" s="54"/>
      <c r="H132" s="54"/>
      <c r="I132" s="56" t="str">
        <f t="shared" si="5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61"/>
      <c r="C133" s="61"/>
      <c r="D133" s="61"/>
      <c r="E133" s="54"/>
      <c r="F133" s="54"/>
      <c r="G133" s="54"/>
      <c r="H133" s="54"/>
      <c r="I133" s="56" t="str">
        <f t="shared" si="5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Pin laricio</v>
      </c>
      <c r="D136" s="257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89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25</v>
      </c>
      <c r="B140" s="61">
        <f>157.88/1.3</f>
        <v>121.44615384615383</v>
      </c>
      <c r="C140" s="53">
        <v>1</v>
      </c>
      <c r="D140" s="61">
        <f>66.88/1.3</f>
        <v>51.446153846153841</v>
      </c>
      <c r="E140" s="64"/>
      <c r="F140" s="64">
        <v>0.5</v>
      </c>
      <c r="G140" s="64">
        <v>0.5</v>
      </c>
      <c r="H140" s="64"/>
      <c r="I140" s="59">
        <f>IFERROR(B140/A140,"")</f>
        <v>4.857846153846153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32</v>
      </c>
      <c r="B141" s="61">
        <f>188.1/1.3</f>
        <v>144.69230769230768</v>
      </c>
      <c r="C141" s="53">
        <v>2</v>
      </c>
      <c r="D141" s="61">
        <f>53.91/1.3</f>
        <v>41.469230769230762</v>
      </c>
      <c r="E141" s="64"/>
      <c r="F141" s="64"/>
      <c r="G141" s="64"/>
      <c r="H141" s="64"/>
      <c r="I141" s="59">
        <f t="shared" ref="I141:I159" si="6">IF(A141&lt;&gt;0,(B141-(B140-D140))/(A141-A140),"")</f>
        <v>10.670329670329668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40</v>
      </c>
      <c r="B142" s="61">
        <f>245.59/1.3</f>
        <v>188.91538461538462</v>
      </c>
      <c r="C142" s="53">
        <v>3</v>
      </c>
      <c r="D142" s="61">
        <f>62.82/1.3</f>
        <v>48.323076923076918</v>
      </c>
      <c r="E142" s="64"/>
      <c r="F142" s="64"/>
      <c r="G142" s="64"/>
      <c r="H142" s="64"/>
      <c r="I142" s="59">
        <f t="shared" si="6"/>
        <v>10.711538461538463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50</v>
      </c>
      <c r="B143" s="61">
        <f>314.09/1.3</f>
        <v>241.60769230769228</v>
      </c>
      <c r="C143" s="53">
        <v>4</v>
      </c>
      <c r="D143" s="61">
        <f>72.38/1.3</f>
        <v>55.676923076923075</v>
      </c>
      <c r="E143" s="64"/>
      <c r="F143" s="64"/>
      <c r="G143" s="64"/>
      <c r="H143" s="64"/>
      <c r="I143" s="59">
        <f t="shared" si="6"/>
        <v>10.101538461538457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60</v>
      </c>
      <c r="B144" s="61">
        <f>357.9/1.3</f>
        <v>275.30769230769226</v>
      </c>
      <c r="C144" s="53">
        <v>5</v>
      </c>
      <c r="D144" s="61">
        <f>65.1/1.3</f>
        <v>50.076923076923073</v>
      </c>
      <c r="E144" s="64"/>
      <c r="F144" s="64"/>
      <c r="G144" s="64"/>
      <c r="H144" s="64"/>
      <c r="I144" s="59">
        <f t="shared" si="6"/>
        <v>8.9376923076923056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70</v>
      </c>
      <c r="B145" s="61">
        <f>393.02/1.3</f>
        <v>302.32307692307688</v>
      </c>
      <c r="C145" s="53">
        <v>6</v>
      </c>
      <c r="D145" s="61">
        <f>70.48/1.3</f>
        <v>54.215384615384615</v>
      </c>
      <c r="E145" s="64"/>
      <c r="F145" s="64"/>
      <c r="G145" s="64"/>
      <c r="H145" s="64"/>
      <c r="I145" s="59">
        <f t="shared" si="6"/>
        <v>7.7092307692307687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80</v>
      </c>
      <c r="B146" s="61">
        <f>403.22/1.3</f>
        <v>310.16923076923081</v>
      </c>
      <c r="C146" s="53">
        <v>7</v>
      </c>
      <c r="D146" s="61">
        <f>403.22/1.3</f>
        <v>310.16923076923081</v>
      </c>
      <c r="E146" s="64"/>
      <c r="F146" s="64"/>
      <c r="G146" s="64"/>
      <c r="H146" s="64"/>
      <c r="I146" s="59">
        <f t="shared" si="6"/>
        <v>6.2061538461538532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1"/>
      <c r="C147" s="53"/>
      <c r="D147" s="61"/>
      <c r="E147" s="64"/>
      <c r="F147" s="64"/>
      <c r="G147" s="64"/>
      <c r="H147" s="64"/>
      <c r="I147" s="59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61"/>
      <c r="B148" s="61"/>
      <c r="C148" s="61"/>
      <c r="D148" s="61"/>
      <c r="E148" s="91"/>
      <c r="F148" s="91"/>
      <c r="G148" s="91"/>
      <c r="H148" s="91"/>
      <c r="I148" s="59" t="str">
        <f t="shared" si="6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61"/>
      <c r="B149" s="61"/>
      <c r="C149" s="61"/>
      <c r="D149" s="61"/>
      <c r="E149" s="91"/>
      <c r="F149" s="91"/>
      <c r="G149" s="91"/>
      <c r="H149" s="91"/>
      <c r="I149" s="59" t="str">
        <f t="shared" si="6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61"/>
      <c r="B150" s="61"/>
      <c r="C150" s="61"/>
      <c r="D150" s="61"/>
      <c r="E150" s="91"/>
      <c r="F150" s="91"/>
      <c r="G150" s="91"/>
      <c r="H150" s="91"/>
      <c r="I150" s="59" t="str">
        <f t="shared" si="6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61"/>
      <c r="B151" s="61"/>
      <c r="C151" s="61"/>
      <c r="D151" s="61"/>
      <c r="E151" s="91"/>
      <c r="F151" s="91"/>
      <c r="G151" s="91"/>
      <c r="H151" s="91"/>
      <c r="I151" s="59" t="str">
        <f t="shared" si="6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61"/>
      <c r="B152" s="61"/>
      <c r="C152" s="61"/>
      <c r="D152" s="61"/>
      <c r="E152" s="66"/>
      <c r="F152" s="66"/>
      <c r="G152" s="66"/>
      <c r="H152" s="66"/>
      <c r="I152" s="59" t="str">
        <f t="shared" si="6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61"/>
      <c r="B153" s="61"/>
      <c r="C153" s="61"/>
      <c r="D153" s="61"/>
      <c r="E153" s="66"/>
      <c r="F153" s="66"/>
      <c r="G153" s="66"/>
      <c r="H153" s="66"/>
      <c r="I153" s="59" t="str">
        <f t="shared" si="6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61"/>
      <c r="B154" s="61"/>
      <c r="C154" s="53"/>
      <c r="D154" s="61"/>
      <c r="E154" s="57"/>
      <c r="F154" s="57"/>
      <c r="G154" s="57"/>
      <c r="H154" s="57"/>
      <c r="I154" s="59" t="str">
        <f t="shared" si="6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61"/>
      <c r="B155" s="61"/>
      <c r="C155" s="53"/>
      <c r="D155" s="61"/>
      <c r="E155" s="57"/>
      <c r="F155" s="57"/>
      <c r="G155" s="57"/>
      <c r="H155" s="57"/>
      <c r="I155" s="59" t="str">
        <f t="shared" si="6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61"/>
      <c r="B156" s="61"/>
      <c r="C156" s="53"/>
      <c r="D156" s="61"/>
      <c r="E156" s="57"/>
      <c r="F156" s="57"/>
      <c r="G156" s="57"/>
      <c r="H156" s="57"/>
      <c r="I156" s="59" t="str">
        <f t="shared" si="6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3"/>
      <c r="B157" s="61"/>
      <c r="C157" s="53"/>
      <c r="D157" s="61"/>
      <c r="E157" s="57"/>
      <c r="F157" s="57"/>
      <c r="G157" s="57"/>
      <c r="H157" s="57"/>
      <c r="I157" s="59" t="str">
        <f t="shared" si="6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3"/>
      <c r="B158" s="61"/>
      <c r="C158" s="53"/>
      <c r="D158" s="61"/>
      <c r="E158" s="57"/>
      <c r="F158" s="57"/>
      <c r="G158" s="57"/>
      <c r="H158" s="57"/>
      <c r="I158" s="59" t="str">
        <f t="shared" si="6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3"/>
      <c r="B159" s="61"/>
      <c r="C159" s="53"/>
      <c r="D159" s="61"/>
      <c r="E159" s="57"/>
      <c r="F159" s="57"/>
      <c r="G159" s="57"/>
      <c r="H159" s="57"/>
      <c r="I159" s="59" t="str">
        <f t="shared" si="6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Charme</v>
      </c>
      <c r="D162" s="257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89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15</v>
      </c>
      <c r="B166" s="61">
        <f>35/1.56</f>
        <v>22.435897435897434</v>
      </c>
      <c r="C166" s="61"/>
      <c r="D166" s="61"/>
      <c r="E166" s="64"/>
      <c r="F166" s="64"/>
      <c r="G166" s="64"/>
      <c r="H166" s="64"/>
      <c r="I166" s="52">
        <f>IFERROR(B166/A166,"")</f>
        <v>1.4957264957264955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20</v>
      </c>
      <c r="B167" s="61">
        <f>(63+7)/1.56</f>
        <v>44.871794871794869</v>
      </c>
      <c r="C167" s="61"/>
      <c r="D167" s="61"/>
      <c r="E167" s="64"/>
      <c r="F167" s="64"/>
      <c r="G167" s="64"/>
      <c r="H167" s="64"/>
      <c r="I167" s="52">
        <f t="shared" ref="I167:I185" si="7">IF(A167&lt;&gt;0,(B167-(B166-D166))/(A167-A166),"")</f>
        <v>4.4871794871794872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25</v>
      </c>
      <c r="B168" s="61">
        <f>(91+7+10)/1.56</f>
        <v>69.230769230769226</v>
      </c>
      <c r="C168" s="61">
        <v>1</v>
      </c>
      <c r="D168" s="61">
        <f>(7+10+13)/1.56</f>
        <v>19.23076923076923</v>
      </c>
      <c r="E168" s="64"/>
      <c r="F168" s="64"/>
      <c r="G168" s="64"/>
      <c r="H168" s="64">
        <v>1</v>
      </c>
      <c r="I168" s="52">
        <f t="shared" si="7"/>
        <v>4.8717948717948714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30</v>
      </c>
      <c r="B169" s="61">
        <f>118/1.56</f>
        <v>75.641025641025635</v>
      </c>
      <c r="C169" s="61"/>
      <c r="D169" s="61"/>
      <c r="E169" s="64"/>
      <c r="F169" s="64"/>
      <c r="G169" s="64"/>
      <c r="H169" s="64"/>
      <c r="I169" s="52">
        <f t="shared" si="7"/>
        <v>5.1282051282051269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35</v>
      </c>
      <c r="B170" s="61">
        <f>(143+15)/1.56</f>
        <v>101.28205128205128</v>
      </c>
      <c r="C170" s="61">
        <v>2</v>
      </c>
      <c r="D170" s="61">
        <f>(15+16)/1.56</f>
        <v>19.871794871794872</v>
      </c>
      <c r="E170" s="64"/>
      <c r="F170" s="64"/>
      <c r="G170" s="64"/>
      <c r="H170" s="64"/>
      <c r="I170" s="52">
        <f t="shared" si="7"/>
        <v>5.1282051282051295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40</v>
      </c>
      <c r="B171" s="61">
        <f>165/1.56</f>
        <v>105.76923076923076</v>
      </c>
      <c r="C171" s="61"/>
      <c r="D171" s="61"/>
      <c r="E171" s="64"/>
      <c r="F171" s="64"/>
      <c r="G171" s="64"/>
      <c r="H171" s="64"/>
      <c r="I171" s="52">
        <f t="shared" si="7"/>
        <v>4.8717948717948705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45</v>
      </c>
      <c r="B172" s="61">
        <f>(184+17)/1.56</f>
        <v>128.84615384615384</v>
      </c>
      <c r="C172" s="61">
        <v>3</v>
      </c>
      <c r="D172" s="61">
        <f>(17+18)/1.56</f>
        <v>22.435897435897434</v>
      </c>
      <c r="E172" s="64"/>
      <c r="F172" s="64"/>
      <c r="G172" s="64"/>
      <c r="H172" s="64"/>
      <c r="I172" s="52">
        <f t="shared" si="7"/>
        <v>4.6153846153846159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50</v>
      </c>
      <c r="B173" s="61">
        <f>202/1.56</f>
        <v>129.48717948717947</v>
      </c>
      <c r="C173" s="61"/>
      <c r="D173" s="61"/>
      <c r="E173" s="64"/>
      <c r="F173" s="64"/>
      <c r="G173" s="64"/>
      <c r="H173" s="64"/>
      <c r="I173" s="52">
        <f t="shared" si="7"/>
        <v>4.6153846153846132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55</v>
      </c>
      <c r="B174" s="61">
        <f>(217+18)/1.56</f>
        <v>150.64102564102564</v>
      </c>
      <c r="C174" s="61">
        <v>4</v>
      </c>
      <c r="D174" s="61">
        <f>(18+18)/1.56</f>
        <v>23.076923076923077</v>
      </c>
      <c r="E174" s="64"/>
      <c r="F174" s="64"/>
      <c r="G174" s="64"/>
      <c r="H174" s="64"/>
      <c r="I174" s="52">
        <f t="shared" si="7"/>
        <v>4.2307692307692317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>
        <v>60</v>
      </c>
      <c r="B175" s="61">
        <f>231/1.56</f>
        <v>148.07692307692307</v>
      </c>
      <c r="C175" s="61"/>
      <c r="D175" s="61"/>
      <c r="E175" s="64"/>
      <c r="F175" s="64"/>
      <c r="G175" s="64"/>
      <c r="H175" s="64"/>
      <c r="I175" s="52">
        <f t="shared" si="7"/>
        <v>4.1025641025641022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65</v>
      </c>
      <c r="B176" s="61">
        <f>(244+18)/1.56</f>
        <v>167.94871794871796</v>
      </c>
      <c r="C176" s="61">
        <v>5</v>
      </c>
      <c r="D176" s="61">
        <f>(18+18)/1.56</f>
        <v>23.076923076923077</v>
      </c>
      <c r="E176" s="64"/>
      <c r="F176" s="64"/>
      <c r="G176" s="64"/>
      <c r="H176" s="64"/>
      <c r="I176" s="52">
        <f t="shared" si="7"/>
        <v>3.974358974358978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70</v>
      </c>
      <c r="B177" s="61">
        <f>255/1.56</f>
        <v>163.46153846153845</v>
      </c>
      <c r="C177" s="61"/>
      <c r="D177" s="61"/>
      <c r="E177" s="64"/>
      <c r="F177" s="64"/>
      <c r="G177" s="64"/>
      <c r="H177" s="64"/>
      <c r="I177" s="52">
        <f t="shared" si="7"/>
        <v>3.7179487179487127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75</v>
      </c>
      <c r="B178" s="61">
        <f>(265+18)/1.56</f>
        <v>181.41025641025641</v>
      </c>
      <c r="C178" s="61">
        <v>6</v>
      </c>
      <c r="D178" s="61">
        <f>(17+18)/1.56</f>
        <v>22.435897435897434</v>
      </c>
      <c r="E178" s="64"/>
      <c r="F178" s="64"/>
      <c r="G178" s="64"/>
      <c r="H178" s="64"/>
      <c r="I178" s="52">
        <f t="shared" si="7"/>
        <v>3.5897435897435912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>
        <v>80</v>
      </c>
      <c r="B179" s="61">
        <f>275/1.56</f>
        <v>176.28205128205127</v>
      </c>
      <c r="C179" s="61"/>
      <c r="D179" s="61"/>
      <c r="E179" s="64"/>
      <c r="F179" s="64"/>
      <c r="G179" s="64"/>
      <c r="H179" s="64"/>
      <c r="I179" s="52">
        <f t="shared" si="7"/>
        <v>3.4615384615384586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85</v>
      </c>
      <c r="B180" s="61">
        <f>(283+17)/1.56</f>
        <v>192.30769230769229</v>
      </c>
      <c r="C180" s="61">
        <v>7</v>
      </c>
      <c r="D180" s="61">
        <f>(17+17)/1.56</f>
        <v>21.794871794871796</v>
      </c>
      <c r="E180" s="64"/>
      <c r="F180" s="64"/>
      <c r="G180" s="64"/>
      <c r="H180" s="64"/>
      <c r="I180" s="52">
        <f t="shared" si="7"/>
        <v>3.2051282051282044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>
        <v>90</v>
      </c>
      <c r="B181" s="61">
        <f>291/1.56</f>
        <v>186.53846153846152</v>
      </c>
      <c r="C181" s="61"/>
      <c r="D181" s="61"/>
      <c r="E181" s="64"/>
      <c r="F181" s="64"/>
      <c r="G181" s="64"/>
      <c r="H181" s="64"/>
      <c r="I181" s="52">
        <f t="shared" si="7"/>
        <v>3.2051282051282044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>
        <v>95</v>
      </c>
      <c r="B182" s="61">
        <f>(298+16)/1.56</f>
        <v>201.28205128205127</v>
      </c>
      <c r="C182" s="61">
        <v>8</v>
      </c>
      <c r="D182" s="61">
        <f>(16+16)/1.56</f>
        <v>20.512820512820511</v>
      </c>
      <c r="E182" s="64"/>
      <c r="F182" s="64"/>
      <c r="G182" s="64"/>
      <c r="H182" s="64"/>
      <c r="I182" s="52">
        <f t="shared" si="7"/>
        <v>2.9487179487179502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>
        <v>100</v>
      </c>
      <c r="B183" s="61">
        <f>305/1.56</f>
        <v>195.5128205128205</v>
      </c>
      <c r="C183" s="61"/>
      <c r="D183" s="61"/>
      <c r="E183" s="64"/>
      <c r="F183" s="64"/>
      <c r="G183" s="64"/>
      <c r="H183" s="64"/>
      <c r="I183" s="52">
        <f t="shared" si="7"/>
        <v>2.9487179487179445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>
        <v>110</v>
      </c>
      <c r="B184" s="61">
        <f>(316+15+15)/1.56</f>
        <v>221.7948717948718</v>
      </c>
      <c r="C184" s="61">
        <v>9</v>
      </c>
      <c r="D184" s="61">
        <f>(15+15+15)/1.56</f>
        <v>28.846153846153847</v>
      </c>
      <c r="E184" s="64"/>
      <c r="F184" s="64"/>
      <c r="G184" s="64"/>
      <c r="H184" s="64"/>
      <c r="I184" s="52">
        <f t="shared" si="7"/>
        <v>2.62820512820513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>
        <v>120</v>
      </c>
      <c r="B185" s="61">
        <f>(326+14)/1.56</f>
        <v>217.94871794871793</v>
      </c>
      <c r="C185" s="61">
        <v>10</v>
      </c>
      <c r="D185" s="61">
        <f>B185</f>
        <v>217.94871794871793</v>
      </c>
      <c r="E185" s="64"/>
      <c r="F185" s="64"/>
      <c r="G185" s="64"/>
      <c r="H185" s="64"/>
      <c r="I185" s="52">
        <f t="shared" si="7"/>
        <v>2.4999999999999973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Chêne chevelu</v>
      </c>
      <c r="D188" s="257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89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15</v>
      </c>
      <c r="B192" s="61">
        <f>(47)/1.56</f>
        <v>30.128205128205128</v>
      </c>
      <c r="C192" s="54"/>
      <c r="D192" s="61"/>
      <c r="E192" s="61"/>
      <c r="F192" s="54"/>
      <c r="G192" s="54"/>
      <c r="H192" s="54"/>
      <c r="I192" s="52">
        <f>IFERROR(B192/A192,"")</f>
        <v>2.0085470085470085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20</v>
      </c>
      <c r="B193" s="61">
        <f>(86+6)/1.56</f>
        <v>58.974358974358971</v>
      </c>
      <c r="C193" s="61"/>
      <c r="D193" s="61"/>
      <c r="E193" s="61"/>
      <c r="F193" s="54"/>
      <c r="G193" s="54"/>
      <c r="H193" s="54"/>
      <c r="I193" s="52">
        <f t="shared" ref="I193:I211" si="8">IF(A193&lt;&gt;0,(B193-(B192-D192))/(A193-A192),"")</f>
        <v>5.7692307692307683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25</v>
      </c>
      <c r="B194" s="61">
        <f>(127+6+10)/1.56</f>
        <v>91.666666666666657</v>
      </c>
      <c r="C194" s="61"/>
      <c r="D194" s="61"/>
      <c r="E194" s="61"/>
      <c r="F194" s="54"/>
      <c r="G194" s="54"/>
      <c r="H194" s="54"/>
      <c r="I194" s="52">
        <f t="shared" si="8"/>
        <v>6.5384615384615374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30</v>
      </c>
      <c r="B195" s="61">
        <f>(167+6+10+13)/1.56</f>
        <v>125.64102564102564</v>
      </c>
      <c r="C195" s="61">
        <v>1</v>
      </c>
      <c r="D195" s="61">
        <f>(6+10+13+15)/1.56</f>
        <v>28.205128205128204</v>
      </c>
      <c r="E195" s="61"/>
      <c r="F195" s="54"/>
      <c r="G195" s="54"/>
      <c r="H195" s="54">
        <v>1</v>
      </c>
      <c r="I195" s="52">
        <f t="shared" si="8"/>
        <v>6.7948717948717956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35</v>
      </c>
      <c r="B196" s="61">
        <f>(205)/1.56</f>
        <v>131.41025641025641</v>
      </c>
      <c r="C196" s="61"/>
      <c r="D196" s="61"/>
      <c r="E196" s="61"/>
      <c r="F196" s="54"/>
      <c r="G196" s="54"/>
      <c r="H196" s="54"/>
      <c r="I196" s="52">
        <f t="shared" si="8"/>
        <v>6.7948717948717956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40</v>
      </c>
      <c r="B197" s="61">
        <f>(239+17)/1.56</f>
        <v>164.10256410256409</v>
      </c>
      <c r="C197" s="61">
        <v>2</v>
      </c>
      <c r="D197" s="61">
        <f>(17+18)/1.56</f>
        <v>22.435897435897434</v>
      </c>
      <c r="E197" s="61"/>
      <c r="F197" s="54"/>
      <c r="G197" s="54"/>
      <c r="H197" s="54"/>
      <c r="I197" s="52">
        <f t="shared" si="8"/>
        <v>6.5384615384615357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45</v>
      </c>
      <c r="B198" s="61">
        <f>(270)/1.56</f>
        <v>173.07692307692307</v>
      </c>
      <c r="C198" s="61"/>
      <c r="D198" s="61"/>
      <c r="E198" s="61"/>
      <c r="F198" s="54"/>
      <c r="G198" s="54"/>
      <c r="H198" s="54"/>
      <c r="I198" s="52">
        <f t="shared" si="8"/>
        <v>6.2820512820512819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281">
        <v>50</v>
      </c>
      <c r="B199" s="61">
        <f>(298+19)/1.56</f>
        <v>203.2051282051282</v>
      </c>
      <c r="C199" s="61">
        <v>3</v>
      </c>
      <c r="D199" s="61">
        <f>(19+19)/1.56</f>
        <v>24.358974358974358</v>
      </c>
      <c r="E199" s="61"/>
      <c r="F199" s="54"/>
      <c r="G199" s="54"/>
      <c r="H199" s="54"/>
      <c r="I199" s="52">
        <f t="shared" si="8"/>
        <v>6.0256410256410273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281">
        <v>55</v>
      </c>
      <c r="B200" s="61">
        <f>(323)/1.56</f>
        <v>207.05128205128204</v>
      </c>
      <c r="C200" s="61"/>
      <c r="D200" s="61"/>
      <c r="E200" s="61"/>
      <c r="F200" s="54"/>
      <c r="G200" s="54"/>
      <c r="H200" s="54"/>
      <c r="I200" s="52">
        <f t="shared" si="8"/>
        <v>5.6410256410256405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281">
        <v>60</v>
      </c>
      <c r="B201" s="61">
        <f>(345+19)/1.56</f>
        <v>233.33333333333331</v>
      </c>
      <c r="C201" s="61">
        <v>4</v>
      </c>
      <c r="D201" s="61">
        <f>(19+19)/1.56</f>
        <v>24.358974358974358</v>
      </c>
      <c r="E201" s="61"/>
      <c r="F201" s="54"/>
      <c r="G201" s="54"/>
      <c r="H201" s="54"/>
      <c r="I201" s="52">
        <f t="shared" si="8"/>
        <v>5.2564102564102537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281">
        <v>65</v>
      </c>
      <c r="B202" s="61">
        <f>(365)/1.56</f>
        <v>233.97435897435898</v>
      </c>
      <c r="C202" s="61"/>
      <c r="D202" s="61"/>
      <c r="E202" s="61"/>
      <c r="F202" s="54"/>
      <c r="G202" s="54"/>
      <c r="H202" s="54"/>
      <c r="I202" s="52">
        <f t="shared" si="8"/>
        <v>5.0000000000000053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281">
        <v>70</v>
      </c>
      <c r="B203" s="61">
        <f>(385+18)/1.56</f>
        <v>258.33333333333331</v>
      </c>
      <c r="C203" s="61">
        <v>5</v>
      </c>
      <c r="D203" s="61">
        <f>(18+18)/1.56</f>
        <v>23.076923076923077</v>
      </c>
      <c r="E203" s="61"/>
      <c r="F203" s="54"/>
      <c r="G203" s="54"/>
      <c r="H203" s="54"/>
      <c r="I203" s="52">
        <f t="shared" si="8"/>
        <v>4.8717948717948669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281">
        <v>75</v>
      </c>
      <c r="B204" s="61">
        <f>(402)/1.56</f>
        <v>257.69230769230768</v>
      </c>
      <c r="C204" s="61"/>
      <c r="D204" s="61"/>
      <c r="E204" s="61"/>
      <c r="F204" s="54"/>
      <c r="G204" s="54"/>
      <c r="H204" s="54"/>
      <c r="I204" s="52">
        <f t="shared" si="8"/>
        <v>4.4871794871794863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281">
        <v>80</v>
      </c>
      <c r="B205" s="61">
        <f>(418+18)/1.56</f>
        <v>279.4871794871795</v>
      </c>
      <c r="C205" s="61">
        <v>6</v>
      </c>
      <c r="D205" s="61">
        <f>(18+17)/1.56</f>
        <v>22.435897435897434</v>
      </c>
      <c r="E205" s="61"/>
      <c r="F205" s="54"/>
      <c r="G205" s="54"/>
      <c r="H205" s="54"/>
      <c r="I205" s="52">
        <f t="shared" si="8"/>
        <v>4.3589743589743648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281">
        <v>85</v>
      </c>
      <c r="B206" s="61">
        <f>(432)/1.56</f>
        <v>276.92307692307691</v>
      </c>
      <c r="C206" s="53"/>
      <c r="D206" s="61"/>
      <c r="E206" s="61"/>
      <c r="F206" s="54"/>
      <c r="G206" s="54"/>
      <c r="H206" s="54"/>
      <c r="I206" s="52">
        <f t="shared" si="8"/>
        <v>3.9743589743589722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281">
        <v>90</v>
      </c>
      <c r="B207" s="61">
        <f>(445+17)/1.56</f>
        <v>296.15384615384613</v>
      </c>
      <c r="C207" s="53">
        <v>7</v>
      </c>
      <c r="D207" s="61">
        <f>(17+16)/1.56</f>
        <v>21.153846153846153</v>
      </c>
      <c r="E207" s="61"/>
      <c r="F207" s="54"/>
      <c r="G207" s="54"/>
      <c r="H207" s="54"/>
      <c r="I207" s="52">
        <f t="shared" si="8"/>
        <v>3.8461538461538454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281">
        <v>100</v>
      </c>
      <c r="B208" s="61">
        <f>(467+16)/1.56</f>
        <v>309.61538461538458</v>
      </c>
      <c r="C208" s="53">
        <v>8</v>
      </c>
      <c r="D208" s="61">
        <f>(16+16)/1.56</f>
        <v>20.512820512820511</v>
      </c>
      <c r="E208" s="61"/>
      <c r="F208" s="54"/>
      <c r="G208" s="54"/>
      <c r="H208" s="54"/>
      <c r="I208" s="52">
        <f t="shared" si="8"/>
        <v>3.4615384615384586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281">
        <v>110</v>
      </c>
      <c r="B209" s="61">
        <f>(486+15)/1.56</f>
        <v>321.15384615384613</v>
      </c>
      <c r="C209" s="53">
        <v>9</v>
      </c>
      <c r="D209" s="61">
        <f>(15+15)/1.56</f>
        <v>19.23076923076923</v>
      </c>
      <c r="E209" s="61"/>
      <c r="F209" s="54"/>
      <c r="G209" s="54"/>
      <c r="H209" s="54"/>
      <c r="I209" s="52">
        <f t="shared" si="8"/>
        <v>3.2051282051282044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281">
        <v>120</v>
      </c>
      <c r="B210" s="61">
        <f>(502+14)/1.56</f>
        <v>330.76923076923077</v>
      </c>
      <c r="C210" s="53">
        <v>10</v>
      </c>
      <c r="D210" s="61">
        <f>(14+14)/1.56</f>
        <v>17.948717948717949</v>
      </c>
      <c r="E210" s="61"/>
      <c r="F210" s="54"/>
      <c r="G210" s="54"/>
      <c r="H210" s="54"/>
      <c r="I210" s="52">
        <f t="shared" si="8"/>
        <v>2.8846153846153868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281">
        <v>130</v>
      </c>
      <c r="B211" s="61">
        <f>(516+13)/1.56</f>
        <v>339.10256410256409</v>
      </c>
      <c r="C211" s="53">
        <v>11</v>
      </c>
      <c r="D211" s="61">
        <f>B211</f>
        <v>339.10256410256409</v>
      </c>
      <c r="E211" s="61"/>
      <c r="F211" s="54"/>
      <c r="G211" s="54"/>
      <c r="H211" s="54"/>
      <c r="I211" s="52">
        <f t="shared" si="8"/>
        <v>2.6282051282051269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7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89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1"/>
      <c r="C218" s="54"/>
      <c r="D218" s="61"/>
      <c r="E218" s="61"/>
      <c r="F218" s="54"/>
      <c r="G218" s="54"/>
      <c r="H218" s="54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1"/>
      <c r="C219" s="61"/>
      <c r="D219" s="61"/>
      <c r="E219" s="61"/>
      <c r="F219" s="54"/>
      <c r="G219" s="54"/>
      <c r="H219" s="54"/>
      <c r="I219" s="56" t="str">
        <f t="shared" ref="I219:I237" si="9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1"/>
      <c r="C220" s="61"/>
      <c r="D220" s="61"/>
      <c r="E220" s="61"/>
      <c r="F220" s="54"/>
      <c r="G220" s="54"/>
      <c r="H220" s="54"/>
      <c r="I220" s="56" t="str">
        <f t="shared" si="9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/>
      <c r="B221" s="61"/>
      <c r="C221" s="61"/>
      <c r="D221" s="61"/>
      <c r="E221" s="61"/>
      <c r="F221" s="54"/>
      <c r="G221" s="54"/>
      <c r="H221" s="54"/>
      <c r="I221" s="56" t="str">
        <f t="shared" si="9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/>
      <c r="B222" s="61"/>
      <c r="C222" s="61"/>
      <c r="D222" s="61"/>
      <c r="E222" s="61"/>
      <c r="F222" s="54"/>
      <c r="G222" s="54"/>
      <c r="H222" s="54"/>
      <c r="I222" s="56" t="str">
        <f t="shared" si="9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/>
      <c r="B223" s="61"/>
      <c r="C223" s="61"/>
      <c r="D223" s="61"/>
      <c r="E223" s="61"/>
      <c r="F223" s="54"/>
      <c r="G223" s="54"/>
      <c r="H223" s="54"/>
      <c r="I223" s="56" t="str">
        <f t="shared" si="9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/>
      <c r="B224" s="61"/>
      <c r="C224" s="61"/>
      <c r="D224" s="61"/>
      <c r="E224" s="61"/>
      <c r="F224" s="54"/>
      <c r="G224" s="54"/>
      <c r="H224" s="54"/>
      <c r="I224" s="56" t="str">
        <f t="shared" si="9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281"/>
      <c r="B225" s="61"/>
      <c r="C225" s="61"/>
      <c r="D225" s="61"/>
      <c r="E225" s="61"/>
      <c r="F225" s="54"/>
      <c r="G225" s="54"/>
      <c r="H225" s="54"/>
      <c r="I225" s="56" t="str">
        <f t="shared" si="9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281"/>
      <c r="B226" s="61"/>
      <c r="C226" s="61"/>
      <c r="D226" s="61"/>
      <c r="E226" s="61"/>
      <c r="F226" s="54"/>
      <c r="G226" s="54"/>
      <c r="H226" s="54"/>
      <c r="I226" s="56" t="str">
        <f t="shared" si="9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281"/>
      <c r="B227" s="61"/>
      <c r="C227" s="61"/>
      <c r="D227" s="61"/>
      <c r="E227" s="61"/>
      <c r="F227" s="54"/>
      <c r="G227" s="54"/>
      <c r="H227" s="54"/>
      <c r="I227" s="56" t="str">
        <f t="shared" si="9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281"/>
      <c r="B228" s="61"/>
      <c r="C228" s="61"/>
      <c r="D228" s="61"/>
      <c r="E228" s="61"/>
      <c r="F228" s="54"/>
      <c r="G228" s="54"/>
      <c r="H228" s="54"/>
      <c r="I228" s="56" t="str">
        <f t="shared" si="9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281"/>
      <c r="B229" s="61"/>
      <c r="C229" s="61"/>
      <c r="D229" s="61"/>
      <c r="E229" s="61"/>
      <c r="F229" s="54"/>
      <c r="G229" s="54"/>
      <c r="H229" s="54"/>
      <c r="I229" s="56" t="str">
        <f t="shared" si="9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281"/>
      <c r="B230" s="61"/>
      <c r="C230" s="61"/>
      <c r="D230" s="61"/>
      <c r="E230" s="61"/>
      <c r="F230" s="54"/>
      <c r="G230" s="54"/>
      <c r="H230" s="54"/>
      <c r="I230" s="56" t="str">
        <f t="shared" si="9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281"/>
      <c r="B231" s="61"/>
      <c r="C231" s="61"/>
      <c r="D231" s="61"/>
      <c r="E231" s="61"/>
      <c r="F231" s="54"/>
      <c r="G231" s="54"/>
      <c r="H231" s="54"/>
      <c r="I231" s="56" t="str">
        <f t="shared" si="9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281"/>
      <c r="B232" s="61"/>
      <c r="C232" s="53"/>
      <c r="D232" s="61"/>
      <c r="E232" s="61"/>
      <c r="F232" s="54"/>
      <c r="G232" s="54"/>
      <c r="H232" s="54"/>
      <c r="I232" s="56" t="str">
        <f t="shared" si="9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281"/>
      <c r="B233" s="61"/>
      <c r="C233" s="53"/>
      <c r="D233" s="61"/>
      <c r="E233" s="61"/>
      <c r="F233" s="54"/>
      <c r="G233" s="54"/>
      <c r="H233" s="54"/>
      <c r="I233" s="56" t="str">
        <f t="shared" si="9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281"/>
      <c r="B234" s="61"/>
      <c r="C234" s="53"/>
      <c r="D234" s="61"/>
      <c r="E234" s="61"/>
      <c r="F234" s="54"/>
      <c r="G234" s="54"/>
      <c r="H234" s="54"/>
      <c r="I234" s="56" t="str">
        <f t="shared" si="9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281"/>
      <c r="B235" s="61"/>
      <c r="C235" s="53"/>
      <c r="D235" s="61"/>
      <c r="E235" s="61"/>
      <c r="F235" s="54"/>
      <c r="G235" s="54"/>
      <c r="H235" s="54"/>
      <c r="I235" s="56" t="str">
        <f t="shared" si="9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281"/>
      <c r="B236" s="61"/>
      <c r="C236" s="53"/>
      <c r="D236" s="61"/>
      <c r="E236" s="61"/>
      <c r="F236" s="54"/>
      <c r="G236" s="54"/>
      <c r="H236" s="54"/>
      <c r="I236" s="56" t="str">
        <f t="shared" si="9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281"/>
      <c r="B237" s="61"/>
      <c r="C237" s="53"/>
      <c r="D237" s="61"/>
      <c r="E237" s="61"/>
      <c r="F237" s="54"/>
      <c r="G237" s="54"/>
      <c r="H237" s="54"/>
      <c r="I237" s="56" t="str">
        <f t="shared" si="9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7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89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1"/>
      <c r="C244" s="61"/>
      <c r="D244" s="61"/>
      <c r="E244" s="54"/>
      <c r="F244" s="54"/>
      <c r="G244" s="54"/>
      <c r="H244" s="64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1"/>
      <c r="C245" s="61"/>
      <c r="D245" s="61"/>
      <c r="E245" s="64"/>
      <c r="F245" s="64"/>
      <c r="G245" s="64"/>
      <c r="H245" s="64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1"/>
      <c r="C246" s="61"/>
      <c r="D246" s="61"/>
      <c r="E246" s="64"/>
      <c r="F246" s="64"/>
      <c r="G246" s="64"/>
      <c r="H246" s="64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1"/>
      <c r="C247" s="61"/>
      <c r="D247" s="61"/>
      <c r="E247" s="64"/>
      <c r="F247" s="64"/>
      <c r="G247" s="64"/>
      <c r="H247" s="64"/>
      <c r="I247" s="56" t="str">
        <f t="shared" ref="I247:I263" si="10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1"/>
      <c r="C248" s="61"/>
      <c r="D248" s="61"/>
      <c r="E248" s="64"/>
      <c r="F248" s="64"/>
      <c r="G248" s="64"/>
      <c r="H248" s="64"/>
      <c r="I248" s="56" t="str">
        <f t="shared" si="10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1"/>
      <c r="C249" s="61"/>
      <c r="D249" s="61"/>
      <c r="E249" s="64"/>
      <c r="F249" s="64"/>
      <c r="G249" s="64"/>
      <c r="H249" s="64"/>
      <c r="I249" s="56" t="str">
        <f t="shared" si="10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1"/>
      <c r="C250" s="61"/>
      <c r="D250" s="61"/>
      <c r="E250" s="64"/>
      <c r="F250" s="64"/>
      <c r="G250" s="64"/>
      <c r="H250" s="64"/>
      <c r="I250" s="56" t="str">
        <f t="shared" si="10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4"/>
      <c r="F251" s="64"/>
      <c r="G251" s="64"/>
      <c r="H251" s="64"/>
      <c r="I251" s="56" t="str">
        <f t="shared" si="10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4"/>
      <c r="F252" s="64"/>
      <c r="G252" s="64"/>
      <c r="H252" s="64"/>
      <c r="I252" s="56" t="str">
        <f t="shared" si="10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4"/>
      <c r="F253" s="64"/>
      <c r="G253" s="64"/>
      <c r="H253" s="64"/>
      <c r="I253" s="56" t="str">
        <f t="shared" si="10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4"/>
      <c r="F254" s="64"/>
      <c r="G254" s="64"/>
      <c r="H254" s="64"/>
      <c r="I254" s="56" t="str">
        <f t="shared" si="10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4"/>
      <c r="F255" s="64"/>
      <c r="G255" s="64"/>
      <c r="H255" s="64"/>
      <c r="I255" s="56" t="str">
        <f t="shared" si="10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5"/>
      <c r="F256" s="65"/>
      <c r="G256" s="65"/>
      <c r="H256" s="65"/>
      <c r="I256" s="56" t="str">
        <f t="shared" si="10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2"/>
      <c r="B257" s="61"/>
      <c r="C257" s="92"/>
      <c r="D257" s="61"/>
      <c r="E257" s="57"/>
      <c r="F257" s="57"/>
      <c r="G257" s="57"/>
      <c r="H257" s="57"/>
      <c r="I257" s="56" t="str">
        <f t="shared" si="10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10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10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10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10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10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10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7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89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1"/>
      <c r="C270" s="53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1"/>
      <c r="C271" s="53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1"/>
      <c r="C272" s="53"/>
      <c r="D272" s="61"/>
      <c r="E272" s="54"/>
      <c r="F272" s="54"/>
      <c r="G272" s="54"/>
      <c r="H272" s="54"/>
      <c r="I272" s="56" t="str">
        <f t="shared" ref="I272:I289" si="11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1"/>
      <c r="C273" s="53"/>
      <c r="D273" s="61"/>
      <c r="E273" s="54"/>
      <c r="F273" s="54"/>
      <c r="G273" s="54"/>
      <c r="H273" s="54"/>
      <c r="I273" s="56" t="str">
        <f t="shared" si="11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1"/>
      <c r="C274" s="53"/>
      <c r="D274" s="61"/>
      <c r="E274" s="54"/>
      <c r="F274" s="54"/>
      <c r="G274" s="54"/>
      <c r="H274" s="54"/>
      <c r="I274" s="56" t="str">
        <f t="shared" si="11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1"/>
      <c r="C275" s="53"/>
      <c r="D275" s="61"/>
      <c r="E275" s="64"/>
      <c r="F275" s="64"/>
      <c r="G275" s="64"/>
      <c r="H275" s="64"/>
      <c r="I275" s="56" t="str">
        <f t="shared" si="11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1"/>
      <c r="C276" s="53"/>
      <c r="D276" s="61"/>
      <c r="E276" s="64"/>
      <c r="F276" s="64"/>
      <c r="G276" s="64"/>
      <c r="H276" s="64"/>
      <c r="I276" s="56" t="str">
        <f t="shared" si="11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4"/>
      <c r="F277" s="64"/>
      <c r="G277" s="64"/>
      <c r="H277" s="64"/>
      <c r="I277" s="56" t="str">
        <f t="shared" si="11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4"/>
      <c r="F278" s="64"/>
      <c r="G278" s="64"/>
      <c r="H278" s="64"/>
      <c r="I278" s="56" t="str">
        <f t="shared" si="11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4"/>
      <c r="F279" s="64"/>
      <c r="G279" s="64"/>
      <c r="H279" s="64"/>
      <c r="I279" s="56" t="str">
        <f t="shared" si="11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4"/>
      <c r="F280" s="64"/>
      <c r="G280" s="64"/>
      <c r="H280" s="64"/>
      <c r="I280" s="56" t="str">
        <f t="shared" si="11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4"/>
      <c r="F281" s="64"/>
      <c r="G281" s="64"/>
      <c r="H281" s="64"/>
      <c r="I281" s="56" t="str">
        <f t="shared" si="11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5"/>
      <c r="F282" s="65"/>
      <c r="G282" s="65"/>
      <c r="H282" s="65"/>
      <c r="I282" s="56" t="str">
        <f t="shared" si="11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2"/>
      <c r="B283" s="61"/>
      <c r="C283" s="92"/>
      <c r="D283" s="61"/>
      <c r="E283" s="57"/>
      <c r="F283" s="57"/>
      <c r="G283" s="57"/>
      <c r="H283" s="57"/>
      <c r="I283" s="56" t="str">
        <f t="shared" si="11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1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1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1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1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1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1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D17" sqref="D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6" t="s">
        <v>191</v>
      </c>
      <c r="C2" s="307"/>
      <c r="D2" s="307"/>
      <c r="E2" s="307"/>
      <c r="F2" s="307"/>
      <c r="G2" s="30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5"/>
      <c r="C4" s="305"/>
      <c r="D4" s="305"/>
      <c r="E4" s="305"/>
      <c r="F4" s="305"/>
      <c r="G4" s="30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5"/>
      <c r="C6" s="235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6"/>
      <c r="B7" s="29" t="s">
        <v>295</v>
      </c>
      <c r="C7" s="107" t="s">
        <v>214</v>
      </c>
      <c r="D7" s="233"/>
      <c r="E7" s="108"/>
      <c r="F7" s="29" t="s">
        <v>295</v>
      </c>
      <c r="G7" s="107" t="s">
        <v>215</v>
      </c>
      <c r="H7" s="234"/>
      <c r="I7" s="234"/>
      <c r="J7" s="234"/>
      <c r="K7" s="23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3">
      <c r="A8" s="112">
        <v>1</v>
      </c>
      <c r="B8" s="62">
        <v>1</v>
      </c>
      <c r="C8" s="52" t="s">
        <v>177</v>
      </c>
      <c r="D8" s="25"/>
      <c r="E8" s="112">
        <v>4</v>
      </c>
      <c r="F8" s="62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2">
        <v>2</v>
      </c>
      <c r="B9" s="62">
        <v>0</v>
      </c>
      <c r="C9" s="115" t="s">
        <v>216</v>
      </c>
      <c r="D9" s="25"/>
      <c r="E9" s="112">
        <v>5</v>
      </c>
      <c r="F9" s="62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2">
        <v>3</v>
      </c>
      <c r="B10" s="62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4"/>
      <c r="B13" s="114"/>
      <c r="C13" s="105" t="s">
        <v>273</v>
      </c>
      <c r="D13" s="234"/>
      <c r="E13" s="106"/>
      <c r="F13" s="114"/>
      <c r="G13" s="105" t="s">
        <v>301</v>
      </c>
      <c r="H13" s="234"/>
      <c r="I13" s="234"/>
      <c r="J13" s="234"/>
      <c r="K13" s="23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3">
      <c r="A14" s="234"/>
      <c r="B14" s="114"/>
      <c r="C14" s="105" t="s">
        <v>309</v>
      </c>
      <c r="D14" s="234"/>
      <c r="E14" s="106"/>
      <c r="F14" s="114"/>
      <c r="G14" s="105" t="s">
        <v>294</v>
      </c>
      <c r="H14" s="234"/>
      <c r="I14" s="234"/>
      <c r="J14" s="234"/>
      <c r="K14" s="23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2">
        <v>0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2">
        <v>1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2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69" bestFit="1" customWidth="1"/>
    <col min="2" max="4" width="11.44140625" style="69"/>
    <col min="5" max="5" width="9.5546875" style="69" customWidth="1"/>
    <col min="6" max="7" width="11.44140625" style="69"/>
    <col min="8" max="8" width="10.6640625" style="69" customWidth="1"/>
    <col min="9" max="9" width="9.44140625" style="69" customWidth="1"/>
    <col min="10" max="11" width="10.5546875" style="69" bestFit="1" customWidth="1"/>
    <col min="12" max="12" width="14" style="69" bestFit="1" customWidth="1"/>
    <col min="13" max="13" width="14" style="69" customWidth="1"/>
    <col min="14" max="23" width="11.44140625" style="69"/>
    <col min="24" max="24" width="11.6640625" style="69" bestFit="1" customWidth="1"/>
    <col min="25" max="25" width="14.5546875" style="69" bestFit="1" customWidth="1"/>
    <col min="26" max="26" width="12.44140625" style="69" bestFit="1" customWidth="1"/>
    <col min="27" max="27" width="9.6640625" style="69" bestFit="1" customWidth="1"/>
    <col min="28" max="28" width="11" style="69" bestFit="1" customWidth="1"/>
    <col min="29" max="29" width="9.44140625" style="69" bestFit="1" customWidth="1"/>
    <col min="30" max="31" width="9.44140625" style="69" customWidth="1"/>
    <col min="32" max="32" width="11.44140625" style="69"/>
    <col min="33" max="34" width="14" style="69" bestFit="1" customWidth="1"/>
    <col min="35" max="35" width="10.5546875" style="69" bestFit="1" customWidth="1"/>
    <col min="36" max="36" width="9.44140625" style="69" bestFit="1" customWidth="1"/>
    <col min="37" max="38" width="10.5546875" style="69" bestFit="1" customWidth="1"/>
    <col min="39" max="41" width="10.5546875" style="69" customWidth="1"/>
    <col min="42" max="42" width="9" style="69" bestFit="1" customWidth="1"/>
    <col min="43" max="43" width="10.5546875" style="69" bestFit="1" customWidth="1"/>
    <col min="44" max="44" width="9.33203125" style="69" bestFit="1" customWidth="1"/>
    <col min="45" max="45" width="11.6640625" style="69" bestFit="1" customWidth="1"/>
    <col min="46" max="46" width="8.44140625" style="69" bestFit="1" customWidth="1"/>
    <col min="47" max="47" width="9.44140625" style="69" bestFit="1" customWidth="1"/>
    <col min="48" max="48" width="9.6640625" style="69" bestFit="1" customWidth="1"/>
    <col min="49" max="49" width="11" style="69" bestFit="1" customWidth="1"/>
    <col min="50" max="50" width="9.44140625" style="69" bestFit="1" customWidth="1"/>
    <col min="51" max="52" width="9.44140625" style="69" customWidth="1"/>
    <col min="53" max="53" width="10.5546875" style="69" bestFit="1" customWidth="1"/>
    <col min="54" max="54" width="14.33203125" style="69" customWidth="1"/>
    <col min="55" max="55" width="14" style="69" customWidth="1"/>
    <col min="56" max="56" width="10.5546875" style="69" bestFit="1" customWidth="1"/>
    <col min="57" max="57" width="9.44140625" style="69" bestFit="1" customWidth="1"/>
    <col min="58" max="59" width="10.5546875" style="69" bestFit="1" customWidth="1"/>
    <col min="60" max="62" width="10.5546875" style="69" customWidth="1"/>
    <col min="63" max="63" width="9" style="69" bestFit="1" customWidth="1"/>
    <col min="64" max="64" width="10.5546875" style="69" bestFit="1" customWidth="1"/>
    <col min="65" max="65" width="9.33203125" style="69" bestFit="1" customWidth="1"/>
    <col min="66" max="66" width="11.6640625" style="69" bestFit="1" customWidth="1"/>
    <col min="67" max="67" width="8.44140625" style="69" bestFit="1" customWidth="1"/>
    <col min="68" max="68" width="9.44140625" style="69" bestFit="1" customWidth="1"/>
    <col min="69" max="69" width="9.6640625" style="69" bestFit="1" customWidth="1"/>
    <col min="70" max="70" width="11" style="69" bestFit="1" customWidth="1"/>
    <col min="71" max="71" width="9.44140625" style="69" bestFit="1" customWidth="1"/>
    <col min="72" max="73" width="9.44140625" style="69" customWidth="1"/>
    <col min="74" max="74" width="10.5546875" style="69" bestFit="1" customWidth="1"/>
    <col min="75" max="75" width="14" style="69" bestFit="1" customWidth="1"/>
    <col min="76" max="76" width="13.88671875" style="69" customWidth="1"/>
    <col min="77" max="77" width="10.5546875" style="69" bestFit="1" customWidth="1"/>
    <col min="78" max="78" width="9.44140625" style="69" bestFit="1" customWidth="1"/>
    <col min="79" max="80" width="10.5546875" style="69" bestFit="1" customWidth="1"/>
    <col min="81" max="83" width="10.5546875" style="69" customWidth="1"/>
    <col min="84" max="84" width="11.44140625" style="69"/>
    <col min="85" max="85" width="10.5546875" style="69" bestFit="1" customWidth="1"/>
    <col min="86" max="86" width="9.33203125" style="69" bestFit="1" customWidth="1"/>
    <col min="87" max="87" width="11.6640625" style="69" bestFit="1" customWidth="1"/>
    <col min="88" max="88" width="8.44140625" style="69" bestFit="1" customWidth="1"/>
    <col min="89" max="89" width="9.44140625" style="69" bestFit="1" customWidth="1"/>
    <col min="90" max="90" width="9.6640625" style="69" bestFit="1" customWidth="1"/>
    <col min="91" max="91" width="11" style="69" bestFit="1" customWidth="1"/>
    <col min="92" max="92" width="9.44140625" style="69" bestFit="1" customWidth="1"/>
    <col min="93" max="94" width="9.44140625" style="69" customWidth="1"/>
    <col min="95" max="95" width="11.44140625" style="69"/>
    <col min="96" max="97" width="14" style="69" customWidth="1"/>
    <col min="98" max="98" width="10.5546875" style="69" bestFit="1" customWidth="1"/>
    <col min="99" max="99" width="9.44140625" style="69" bestFit="1" customWidth="1"/>
    <col min="100" max="101" width="10.5546875" style="69" bestFit="1" customWidth="1"/>
    <col min="102" max="104" width="10.5546875" style="69" customWidth="1"/>
    <col min="105" max="105" width="9" style="69" bestFit="1" customWidth="1"/>
    <col min="106" max="106" width="10.5546875" style="69" bestFit="1" customWidth="1"/>
    <col min="107" max="107" width="9.33203125" style="69" bestFit="1" customWidth="1"/>
    <col min="108" max="108" width="11.6640625" style="69" bestFit="1" customWidth="1"/>
    <col min="109" max="109" width="8.44140625" style="69" bestFit="1" customWidth="1"/>
    <col min="110" max="110" width="9.44140625" style="69" bestFit="1" customWidth="1"/>
    <col min="111" max="111" width="9.6640625" style="69" bestFit="1" customWidth="1"/>
    <col min="112" max="112" width="11" style="69" bestFit="1" customWidth="1"/>
    <col min="113" max="113" width="9.44140625" style="69" bestFit="1" customWidth="1"/>
    <col min="114" max="115" width="9.44140625" style="69" customWidth="1"/>
    <col min="116" max="116" width="10.5546875" style="69" bestFit="1" customWidth="1"/>
    <col min="117" max="117" width="14.33203125" style="69" customWidth="1"/>
    <col min="118" max="118" width="14" style="69" bestFit="1" customWidth="1"/>
    <col min="119" max="119" width="10.5546875" style="69" bestFit="1" customWidth="1"/>
    <col min="120" max="120" width="9.44140625" style="69" bestFit="1" customWidth="1"/>
    <col min="121" max="122" width="10.5546875" style="69" bestFit="1" customWidth="1"/>
    <col min="123" max="125" width="10.5546875" style="69" customWidth="1"/>
    <col min="126" max="126" width="9" style="69" bestFit="1" customWidth="1"/>
    <col min="127" max="127" width="10.5546875" style="69" bestFit="1" customWidth="1"/>
    <col min="128" max="128" width="9.33203125" style="69" bestFit="1" customWidth="1"/>
    <col min="129" max="129" width="11.6640625" style="69" bestFit="1" customWidth="1"/>
    <col min="130" max="130" width="8.44140625" style="69" bestFit="1" customWidth="1"/>
    <col min="131" max="131" width="9.44140625" style="69" bestFit="1" customWidth="1"/>
    <col min="132" max="132" width="9.6640625" style="69" bestFit="1" customWidth="1"/>
    <col min="133" max="133" width="11" style="69" bestFit="1" customWidth="1"/>
    <col min="134" max="134" width="9.44140625" style="69" bestFit="1" customWidth="1"/>
    <col min="135" max="136" width="9.44140625" style="69" customWidth="1"/>
    <col min="137" max="137" width="10.5546875" style="69" bestFit="1" customWidth="1"/>
    <col min="138" max="139" width="14" style="69" customWidth="1"/>
    <col min="140" max="140" width="10.5546875" style="69" bestFit="1" customWidth="1"/>
    <col min="141" max="141" width="9.44140625" style="69" bestFit="1" customWidth="1"/>
    <col min="142" max="143" width="10.5546875" style="69" bestFit="1" customWidth="1"/>
    <col min="144" max="146" width="10.5546875" style="69" customWidth="1"/>
    <col min="147" max="147" width="9" style="69" bestFit="1" customWidth="1"/>
    <col min="148" max="148" width="10.5546875" style="69" bestFit="1" customWidth="1"/>
    <col min="149" max="149" width="9.33203125" style="69" bestFit="1" customWidth="1"/>
    <col min="150" max="150" width="11.6640625" style="69" bestFit="1" customWidth="1"/>
    <col min="151" max="151" width="8.44140625" style="69" bestFit="1" customWidth="1"/>
    <col min="152" max="152" width="9.44140625" style="69" bestFit="1" customWidth="1"/>
    <col min="153" max="153" width="9.6640625" style="69" bestFit="1" customWidth="1"/>
    <col min="154" max="154" width="11" style="69" bestFit="1" customWidth="1"/>
    <col min="155" max="155" width="9.44140625" style="69" bestFit="1" customWidth="1"/>
    <col min="156" max="157" width="9.44140625" style="69" customWidth="1"/>
    <col min="158" max="158" width="11.44140625" style="69"/>
    <col min="159" max="160" width="14" style="69" bestFit="1" customWidth="1"/>
    <col min="161" max="161" width="10.5546875" style="69" bestFit="1" customWidth="1"/>
    <col min="162" max="162" width="9.44140625" style="69" bestFit="1" customWidth="1"/>
    <col min="163" max="164" width="10.5546875" style="69" bestFit="1" customWidth="1"/>
    <col min="165" max="167" width="10.5546875" style="69" customWidth="1"/>
    <col min="168" max="168" width="9" style="69" bestFit="1" customWidth="1"/>
    <col min="169" max="169" width="10.5546875" style="69" bestFit="1" customWidth="1"/>
    <col min="170" max="170" width="9.33203125" style="69" bestFit="1" customWidth="1"/>
    <col min="171" max="171" width="11.6640625" style="69" bestFit="1" customWidth="1"/>
    <col min="172" max="172" width="8.109375" style="69" bestFit="1" customWidth="1"/>
    <col min="173" max="173" width="9.44140625" style="69" bestFit="1" customWidth="1"/>
    <col min="174" max="174" width="9.6640625" style="69" bestFit="1" customWidth="1"/>
    <col min="175" max="175" width="11" style="69" bestFit="1" customWidth="1"/>
    <col min="176" max="176" width="9.44140625" style="69" bestFit="1" customWidth="1"/>
    <col min="177" max="178" width="9.44140625" style="69" customWidth="1"/>
    <col min="179" max="179" width="10.5546875" style="69" bestFit="1" customWidth="1"/>
    <col min="180" max="181" width="14" style="69" bestFit="1" customWidth="1"/>
    <col min="182" max="182" width="10.5546875" style="69" bestFit="1" customWidth="1"/>
    <col min="183" max="183" width="9.44140625" style="69" bestFit="1" customWidth="1"/>
    <col min="184" max="185" width="10.5546875" style="69" bestFit="1" customWidth="1"/>
    <col min="186" max="188" width="10.5546875" style="69" customWidth="1"/>
    <col min="189" max="189" width="9" style="69" bestFit="1" customWidth="1"/>
    <col min="190" max="190" width="10.5546875" style="69" bestFit="1" customWidth="1"/>
    <col min="191" max="191" width="9.33203125" style="69" bestFit="1" customWidth="1"/>
    <col min="192" max="192" width="11.44140625" style="69"/>
    <col min="193" max="193" width="8.44140625" style="69" bestFit="1" customWidth="1"/>
    <col min="194" max="194" width="9.44140625" style="69" bestFit="1" customWidth="1"/>
    <col min="195" max="195" width="9.6640625" style="69" bestFit="1" customWidth="1"/>
    <col min="196" max="196" width="11" style="69" bestFit="1" customWidth="1"/>
    <col min="197" max="197" width="9.44140625" style="69" bestFit="1" customWidth="1"/>
    <col min="198" max="199" width="9.44140625" style="69" customWidth="1"/>
    <col min="200" max="200" width="10.5546875" style="69" bestFit="1" customWidth="1"/>
    <col min="201" max="201" width="14" style="69" customWidth="1"/>
    <col min="202" max="202" width="14.33203125" style="69" customWidth="1"/>
    <col min="203" max="203" width="10.5546875" style="69" bestFit="1" customWidth="1"/>
    <col min="204" max="204" width="9.44140625" style="69" bestFit="1" customWidth="1"/>
    <col min="205" max="206" width="10.5546875" style="69" bestFit="1" customWidth="1"/>
    <col min="207" max="209" width="10.5546875" style="69" customWidth="1"/>
    <col min="210" max="210" width="9" style="69" bestFit="1" customWidth="1"/>
    <col min="211" max="211" width="10.5546875" style="69" bestFit="1" customWidth="1"/>
    <col min="212" max="212" width="9.33203125" style="69" bestFit="1" customWidth="1"/>
    <col min="213" max="213" width="11.6640625" style="69" bestFit="1" customWidth="1"/>
    <col min="214" max="214" width="8.44140625" style="69" bestFit="1" customWidth="1"/>
    <col min="215" max="215" width="9.44140625" style="69" bestFit="1" customWidth="1"/>
    <col min="216" max="216" width="9.6640625" style="69" bestFit="1" customWidth="1"/>
    <col min="217" max="217" width="11" style="69" bestFit="1" customWidth="1"/>
    <col min="218" max="218" width="9.44140625" style="69" bestFit="1" customWidth="1"/>
    <col min="219" max="16384" width="11.44140625" style="69"/>
  </cols>
  <sheetData>
    <row r="1" spans="1:218" s="5" customFormat="1" ht="26.4" thickBot="1" x14ac:dyDescent="0.55000000000000004">
      <c r="B1" s="312" t="s">
        <v>176</v>
      </c>
      <c r="C1" s="313"/>
      <c r="D1" s="313"/>
      <c r="E1" s="313"/>
      <c r="F1" s="313"/>
      <c r="G1" s="313"/>
      <c r="H1" s="314"/>
      <c r="I1" s="309" t="str">
        <f>IF('Données projet'!$B$9="","",'Données projet'!$B$9)</f>
        <v>Pin maritime</v>
      </c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1"/>
      <c r="AD1" s="310" t="str">
        <f>IF('Données projet'!$B$10="","",'Données projet'!$B$10)</f>
        <v>Chêne pubescent</v>
      </c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1"/>
      <c r="AY1" s="309" t="str">
        <f>IF('Données projet'!$B$11="","",'Données projet'!$B$11)</f>
        <v>Chêne sessile</v>
      </c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1"/>
      <c r="BT1" s="309" t="str">
        <f>IF('Données projet'!$B$12="","",'Données projet'!$B$12)</f>
        <v>Séquoia toujours vert</v>
      </c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1"/>
      <c r="CO1" s="309" t="str">
        <f>IF('Données projet'!$B$13="","",'Données projet'!$B$13)</f>
        <v>Pin laricio</v>
      </c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1"/>
      <c r="DJ1" s="309" t="str">
        <f>IF('Données projet'!$B$14="","",'Données projet'!$B$14)</f>
        <v>Charme</v>
      </c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1"/>
      <c r="EE1" s="309" t="str">
        <f>IF('Données projet'!$B$15="","",'Données projet'!$B$15)</f>
        <v>Chêne chevelu</v>
      </c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  <c r="EQ1" s="310"/>
      <c r="ER1" s="310"/>
      <c r="ES1" s="310"/>
      <c r="ET1" s="310"/>
      <c r="EU1" s="310"/>
      <c r="EV1" s="310"/>
      <c r="EW1" s="310"/>
      <c r="EX1" s="310"/>
      <c r="EY1" s="311"/>
      <c r="EZ1" s="309" t="str">
        <f>IF('Données projet'!$B$16="","",'Données projet'!$B$16)</f>
        <v/>
      </c>
      <c r="FA1" s="310"/>
      <c r="FB1" s="310"/>
      <c r="FC1" s="310"/>
      <c r="FD1" s="310"/>
      <c r="FE1" s="310"/>
      <c r="FF1" s="310"/>
      <c r="FG1" s="310"/>
      <c r="FH1" s="310"/>
      <c r="FI1" s="310"/>
      <c r="FJ1" s="310"/>
      <c r="FK1" s="310"/>
      <c r="FL1" s="310"/>
      <c r="FM1" s="310"/>
      <c r="FN1" s="310"/>
      <c r="FO1" s="310"/>
      <c r="FP1" s="310"/>
      <c r="FQ1" s="310"/>
      <c r="FR1" s="310"/>
      <c r="FS1" s="310"/>
      <c r="FT1" s="311"/>
      <c r="FU1" s="309" t="str">
        <f>IF('Données projet'!$B$17="","",'Données projet'!$B$17)</f>
        <v/>
      </c>
      <c r="FV1" s="310"/>
      <c r="FW1" s="310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1"/>
      <c r="GP1" s="309" t="str">
        <f>IF('Données projet'!$B$18="","",'Données projet'!$B$18)</f>
        <v/>
      </c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1"/>
    </row>
    <row r="2" spans="1:218" s="5" customFormat="1" ht="58.2" thickBot="1" x14ac:dyDescent="0.35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5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8">
        <f>(B3+E3+F3)*44/12+(C3+D3)*0.475*44/12</f>
        <v>256.66666666666669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256.66666666666669</v>
      </c>
      <c r="S3" s="60">
        <f ca="1">AVERAGE(OFFSET($R$3,0,0,'Données projet'!$E$9+1,1))-AVERAGE(OFFSET($H$3,0,0,'Données projet'!$E$9+1,1))</f>
        <v>260.02504691866199</v>
      </c>
      <c r="T3" s="60">
        <f>IF('Données projet'!E9&gt;30,$R$33-$H$33,LOOKUP('Données projet'!$E$9,$A$3:$A$203,R3:R203)-LOOKUP('Données projet'!$E$9,$A$3:$A$203,$H$3:$H$203))</f>
        <v>270.11268336406368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256.66666666666669</v>
      </c>
      <c r="AN3" s="60">
        <f ca="1">AVERAGE(OFFSET($AM$3,0,0,'Données projet'!$E$10+1,1))-AVERAGE(OFFSET($H$3,0,0,'Données projet'!$E$10+1,1))</f>
        <v>475.47920969424894</v>
      </c>
      <c r="AO3" s="60">
        <f>IF('Données projet'!E10&gt;30,$AM$33-$H$33,LOOKUP('Données projet'!$E$10,$A$3:$A$203,AM3:AM203)-LOOKUP('Données projet'!$E$10,$A$3:$A$203,$H$3:$H$203))</f>
        <v>271.73544012419364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256.66666666666669</v>
      </c>
      <c r="BI3" s="60">
        <f ca="1">AVERAGE(OFFSET($BH$3,0,0,'Données projet'!$E$11+1,1))-AVERAGE(OFFSET($H$3,0,0,'Données projet'!$E$11+1,1))</f>
        <v>325.2649384779973</v>
      </c>
      <c r="BJ3" s="60">
        <f>IF('Données projet'!E11&gt;30,$BH$33-$H$33,LOOKUP('Données projet'!$E$11,$A$3:$A$203,BH3:BH203)-LOOKUP('Données projet'!$E$11,$A$3:$A$203,$H$3:$H$203))</f>
        <v>146.70159365068315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256.66666666666669</v>
      </c>
      <c r="CD3" s="60">
        <f ca="1">AVERAGE(OFFSET($CC$3,0,0,'Données projet'!$E$12+1,1))-AVERAGE(OFFSET($H$3,0,0,'Données projet'!$E$12+1,1))</f>
        <v>401.84375324751227</v>
      </c>
      <c r="CE3" s="60">
        <f>IF('Données projet'!E12&gt;30,$CC$33-$H$33,LOOKUP('Données projet'!$E$12,$A$3:$A$203,CC3:CC203)-LOOKUP('Données projet'!$E$12,$A$3:$A$203,$H$3:$H$203))</f>
        <v>350.39368043404164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256.66666666666669</v>
      </c>
      <c r="CY3" s="60">
        <f ca="1">AVERAGE(OFFSET($CX$3,0,0,'Données projet'!$E$13+1,1))-AVERAGE(OFFSET($H$3,0,0,'Données projet'!$E$13+1,1))</f>
        <v>232.73140429491525</v>
      </c>
      <c r="CZ3" s="60">
        <f>IF('Données projet'!E13&gt;30,$CX$33-$H$33,LOOKUP('Données projet'!$E$13,$A$3:$A$203,CX3:CX203)-LOOKUP('Données projet'!$E$13,$A$3:$A$203,$H$3:$H$203))</f>
        <v>201.02719152328638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256.66666666666669</v>
      </c>
      <c r="DT3" s="60">
        <f ca="1">AVERAGE(OFFSET($DS$3,0,0,'Données projet'!$E$14+1,1))-AVERAGE(OFFSET($H$3,0,0,'Données projet'!$E$14+1,1))</f>
        <v>302.15577364214136</v>
      </c>
      <c r="DU3" s="60">
        <f>IF('Données projet'!E14&gt;30,$DS$33-$H$33,LOOKUP('Données projet'!$E$14,$A$3:$A$203,DS3:DS203)-LOOKUP('Données projet'!$E$14,$A$3:$A$203,$H$3:$H$203))</f>
        <v>197.15142751137051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0">
        <f>EM3+(EE3+EF3)*44/12</f>
        <v>256.66666666666669</v>
      </c>
      <c r="EO3" s="60">
        <f ca="1">AVERAGE(OFFSET($EN$3,0,0,'Données projet'!$E$15+1,1))-AVERAGE(OFFSET($H$3,0,0,'Données projet'!$E$15+1,1))</f>
        <v>493.70175665335978</v>
      </c>
      <c r="EP3" s="60">
        <f>IF('Données projet'!E15&gt;30,$EN$33-$H$33,LOOKUP('Données projet'!$E$15,$A$3:$A$203,EN3:EN203)-LOOKUP('Données projet'!$E$15,$A$3:$A$203,$H$3:$H$203))</f>
        <v>325.12357781685949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0" t="e">
        <f>FH3+(EZ3+FA3)*44/12</f>
        <v>#N/A</v>
      </c>
      <c r="FJ3" s="60" t="e">
        <f ca="1">AVERAGE(OFFSET($FI$3,0,0,'Données projet'!$E$16+1,1))-AVERAGE(OFFSET($H$3,0,0,'Données projet'!$E$16+1,1))</f>
        <v>#N/A</v>
      </c>
      <c r="FK3" s="60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0" t="e">
        <f>GC3+(FU3+FV3)*44/12</f>
        <v>#N/A</v>
      </c>
      <c r="GE3" s="60" t="e">
        <f ca="1">AVERAGE(OFFSET($GD$3,0,0,'Données projet'!$E$17+1,1))-AVERAGE(OFFSET($H$3,0,0,'Données projet'!$E$17+1,1))</f>
        <v>#N/A</v>
      </c>
      <c r="GF3" s="60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5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8">
        <f t="shared" ref="H4:H67" si="1">(B4+E4+F4)*44/12+(C4+D4)*0.475*44/12</f>
        <v>256.66666666666669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7.4312217194570129</v>
      </c>
      <c r="N4" s="14">
        <f>IF('Données projet'!$A$36&gt;35,N3+M4-V3,IF(A4&lt;'Données projet'!$A$36,$K$205^A4,IF(A4='Données projet'!$A$36,'Données projet'!$B$36,N3+M4-V3)))</f>
        <v>1.3292852468636394</v>
      </c>
      <c r="O4" s="14">
        <f>N4*VLOOKUP('Données projet'!$B$9,Paramètres!$A$1:$I$89,3,0)*VLOOKUP('Données projet'!$B$9,Paramètres!$A$1:$I$89,5,0)</f>
        <v>0.79491257762445644</v>
      </c>
      <c r="P4" s="14">
        <f>EXP(-1.0587+0.8836*LN(O4)+0.284)</f>
        <v>0.37624805113513943</v>
      </c>
      <c r="Q4" s="22">
        <f t="shared" ref="Q4:Q34" si="2">(O4+P4)*0.475*44/12</f>
        <v>2.0397714284229629</v>
      </c>
      <c r="R4" s="60">
        <f t="shared" si="0"/>
        <v>259.92866031731182</v>
      </c>
      <c r="S4" s="60">
        <f ca="1">AVERAGE(OFFSET($R$3,0,0,'Données projet'!$E$9+1,1))-AVERAGE(OFFSET($H$3,0,0,'Données projet'!$E$9+1,1))</f>
        <v>260.02504691866199</v>
      </c>
      <c r="T4" s="60">
        <f>$T$3</f>
        <v>270.11268336406368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2.1</v>
      </c>
      <c r="AI4" s="14">
        <f>IF('Données projet'!$A$62&gt;35,AI3+AH4-AQ3,IF(A4&lt;'Données projet'!$A$62,$AF$205^A4,IF(A4='Données projet'!$A$62,'Données projet'!$B$62,AI3+AH4-AQ3)))</f>
        <v>1.2054868146447177</v>
      </c>
      <c r="AJ4" s="14">
        <f>AI4*VLOOKUP('Données projet'!$B$10,Paramètres!$A$1:$I$89,3,0)*VLOOKUP('Données projet'!$B$10,Paramètres!$A$1:$I$89,5,0)</f>
        <v>1.2223636300497438</v>
      </c>
      <c r="AK4" s="14">
        <f>EXP(-1.0587+0.8836*LN(AJ4)+0.284)</f>
        <v>0.55030360208821416</v>
      </c>
      <c r="AL4" s="22">
        <f t="shared" ref="AL4:AL67" si="4">(AJ4+AK4)*0.475*44/12</f>
        <v>3.0873954293069432</v>
      </c>
      <c r="AM4" s="60">
        <f t="shared" ref="AM4:AM67" si="5">AL4+(AD4+AE4)*44/12</f>
        <v>260.97628431819578</v>
      </c>
      <c r="AN4" s="60">
        <f ca="1">AVERAGE(OFFSET($AM$3,0,0,'Données projet'!$E$10+1,1))-AVERAGE(OFFSET($H$3,0,0,'Données projet'!$E$10+1,1))</f>
        <v>475.47920969424894</v>
      </c>
      <c r="AO4" s="60">
        <f>$AO$3</f>
        <v>271.73544012419364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1.8</v>
      </c>
      <c r="BD4" s="13">
        <f>IF('Données projet'!$A$88&gt;35,BD3+BC4-BL3,IF(A4&lt;'Données projet'!$A$88,$BA$205^A4,IF(A4='Données projet'!$A$88,'Données projet'!$B$88,BD3+BC4-BL3)))</f>
        <v>1.1422113165588705</v>
      </c>
      <c r="BE4" s="14">
        <f>BD4*VLOOKUP('Données projet'!$B$11,Paramètres!$A$1:$I$89,3,0)*VLOOKUP('Données projet'!$B$11,Paramètres!$A$1:$I$89,5,0)</f>
        <v>1.0334727992224659</v>
      </c>
      <c r="BF4" s="14">
        <f>EXP(-1.0587+0.8836*LN(BE4)+0.284)</f>
        <v>0.47444590873732928</v>
      </c>
      <c r="BG4" s="22">
        <f t="shared" ref="BG4:BG67" si="7">(BE4+BF4)*0.475*44/12</f>
        <v>2.6262917496966431</v>
      </c>
      <c r="BH4" s="60">
        <f t="shared" ref="BH4:BH67" si="8">BG4+(AY4+AZ4)*44/12</f>
        <v>260.51518063858549</v>
      </c>
      <c r="BI4" s="60">
        <f ca="1">AVERAGE(OFFSET($BH$3,0,0,'Données projet'!$E$11+1,1))-AVERAGE(OFFSET($H$3,0,0,'Données projet'!$E$11+1,1))</f>
        <v>325.2649384779973</v>
      </c>
      <c r="BJ4" s="60">
        <f>$BJ$3</f>
        <v>146.70159365068315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4.3888888888888893</v>
      </c>
      <c r="BY4" s="13">
        <f>IF('Données projet'!$A$114&gt;35,BY3+BX4-CG3,IF(A4&lt;'Données projet'!$A$114,$BV$205^A4,IF(A4='Données projet'!$A$114,'Données projet'!$B$114,BY3+BX4-CG3)))</f>
        <v>1.274746203751338</v>
      </c>
      <c r="BZ4" s="14">
        <f>BY4*VLOOKUP('Données projet'!$B$12,Paramètres!$A$1:$I$89,3,0)*VLOOKUP('Données projet'!$B$12,Paramètres!$A$1:$I$89,5,0)</f>
        <v>0.56343782205809145</v>
      </c>
      <c r="CA4" s="14">
        <f>EXP(-1.0587+0.8836*LN(BZ4)+0.284)</f>
        <v>0.27758729669847171</v>
      </c>
      <c r="CB4" s="22">
        <f t="shared" ref="CB4:CB67" si="10">(BZ4+CA4)*0.475*44/12</f>
        <v>1.4647854151676807</v>
      </c>
      <c r="CC4" s="60">
        <f t="shared" ref="CC4:CC67" si="11">CB4+(BT4+BU4)*44/12</f>
        <v>259.35367430405654</v>
      </c>
      <c r="CD4" s="60">
        <f ca="1">AVERAGE(OFFSET($CC$3,0,0,'Données projet'!$E$12+1,1))-AVERAGE(OFFSET($H$3,0,0,'Données projet'!$E$12+1,1))</f>
        <v>401.84375324751227</v>
      </c>
      <c r="CE4" s="60">
        <f>$CE$3</f>
        <v>350.39368043404164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4.857846153846153</v>
      </c>
      <c r="CT4" s="13">
        <f>IF('Données projet'!$A$140&gt;35,CT3+CS4-DB3,IF(A4&lt;'Données projet'!$A$140,$CQ$205^A4,IF(A4='Données projet'!$A$140,'Données projet'!$B$140,CT3+CS4-DB3)))</f>
        <v>1.2116448776253546</v>
      </c>
      <c r="CU4" s="18">
        <f>CT4*VLOOKUP('Données projet'!$B$13,Paramètres!$A$1:$I$89,3,0)*VLOOKUP('Données projet'!$B$13,Paramètres!$A$1:$I$89,5,0)</f>
        <v>0.72456363681996205</v>
      </c>
      <c r="CV4" s="14">
        <f>EXP(-1.0587+0.8836*LN(CU4)+0.284)</f>
        <v>0.34666954530770067</v>
      </c>
      <c r="CW4" s="22">
        <f t="shared" ref="CW4:CW67" si="13">(CU4+CV4)*0.475*44/12</f>
        <v>1.8657311255390123</v>
      </c>
      <c r="CX4" s="60">
        <f t="shared" ref="CX4:CX67" si="14">CW4+(CO4+CP4)*44/12</f>
        <v>259.75462001442787</v>
      </c>
      <c r="CY4" s="60">
        <f ca="1">AVERAGE(OFFSET($CX$3,0,0,'Données projet'!$E$13+1,1))-AVERAGE(OFFSET($H$3,0,0,'Données projet'!$E$13+1,1))</f>
        <v>232.73140429491525</v>
      </c>
      <c r="CZ4" s="60">
        <f>$CZ$3</f>
        <v>201.02719152328638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1.4957264957264955</v>
      </c>
      <c r="DO4" s="13">
        <f>IF('Données projet'!$A$166&gt;35,DO3+DN4-DW3,IF(A4&lt;'Données projet'!$A$166,$DL$205^A4,IF(A4='Données projet'!$A$166,'Données projet'!$B$166,DO3+DN4-DW3)))</f>
        <v>1.2304469565436837</v>
      </c>
      <c r="DP4" s="18">
        <f>DO4*VLOOKUP('Données projet'!$B$14,Paramètres!$A$1:$I$89,3,0)*VLOOKUP('Données projet'!$B$14,Paramètres!$A$1:$I$89,5,0)</f>
        <v>1.1708933238469694</v>
      </c>
      <c r="DQ4" s="14">
        <f>EXP(-1.0587+0.8836*LN(DP4)+0.284)</f>
        <v>0.52977807073540206</v>
      </c>
      <c r="DR4" s="22">
        <f t="shared" ref="DR4:DR67" si="16">(DP4+DQ4)*0.475*44/12</f>
        <v>2.9620026788976301</v>
      </c>
      <c r="DS4" s="60">
        <f t="shared" ref="DS4:DS67" si="17">DR4+(DJ4+DK4)*44/12</f>
        <v>260.8508915677865</v>
      </c>
      <c r="DT4" s="60">
        <f ca="1">AVERAGE(OFFSET($DS$3,0,0,'Données projet'!$E$14+1,1))-AVERAGE(OFFSET($H$3,0,0,'Données projet'!$E$14+1,1))</f>
        <v>302.15577364214136</v>
      </c>
      <c r="DU4" s="60">
        <f>$DU$3</f>
        <v>197.15142751137051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2.0085470085470085</v>
      </c>
      <c r="EJ4" s="13">
        <f>IF('Données projet'!$A$192&gt;35,EJ3+EI4-ER3,IF(A4&lt;'Données projet'!$A$192,$EG$205^A4,IF(A4='Données projet'!$A$192,'Données projet'!$B$192,EJ3+EI4-ER3)))</f>
        <v>1.2548684989282006</v>
      </c>
      <c r="EK4" s="18">
        <f>EJ4*VLOOKUP('Données projet'!$B$15,Paramètres!$A$1:$I$89,3,0)*VLOOKUP('Données projet'!$B$15,Paramètres!$A$1:$I$89,5,0)</f>
        <v>1.3115885550797555</v>
      </c>
      <c r="EL4" s="14">
        <f>EXP(-1.0587+0.8836*LN(EK4)+0.284)</f>
        <v>0.5856498554818651</v>
      </c>
      <c r="EM4" s="22">
        <f t="shared" ref="EM4:EM67" si="19">(EK4+EL4)*0.475*44/12</f>
        <v>3.3043568983948219</v>
      </c>
      <c r="EN4" s="60">
        <f t="shared" ref="EN4:EN67" si="20">EM4+(EE4+EF4)*44/12</f>
        <v>261.19324578728367</v>
      </c>
      <c r="EO4" s="60">
        <f ca="1">AVERAGE(OFFSET($EN$3,0,0,'Données projet'!$E$15+1,1))-AVERAGE(OFFSET($H$3,0,0,'Données projet'!$E$15+1,1))</f>
        <v>493.70175665335978</v>
      </c>
      <c r="EP4" s="60">
        <f>$EP$3</f>
        <v>325.12357781685949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0" t="e">
        <f t="shared" ref="FI4:FI67" si="23">FH4+(EZ4+FA4)*44/12</f>
        <v>#N/A</v>
      </c>
      <c r="FJ4" s="60" t="e">
        <f ca="1">AVERAGE(OFFSET($FI$3,0,0,'Données projet'!$E$16+1,1))-AVERAGE(OFFSET($H$3,0,0,'Données projet'!$E$16+1,1))</f>
        <v>#N/A</v>
      </c>
      <c r="FK4" s="60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0" t="e">
        <f t="shared" ref="GD4:GD67" si="26">GC4+(FU4+FV4)*44/12</f>
        <v>#N/A</v>
      </c>
      <c r="GE4" s="60" t="e">
        <f ca="1">AVERAGE(OFFSET($GD$3,0,0,'Données projet'!$E$17+1,1))-AVERAGE(OFFSET($H$3,0,0,'Données projet'!$E$17+1,1))</f>
        <v>#N/A</v>
      </c>
      <c r="GF4" s="60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5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8">
        <f t="shared" si="1"/>
        <v>256.66666666666669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7.4312217194570129</v>
      </c>
      <c r="N5" s="14">
        <f>IF('Données projet'!$A$36&gt;35,N4+M5-V4,IF(A5&lt;'Données projet'!$A$36,$K$205^A5,IF(A5='Données projet'!$A$36,'Données projet'!$B$36,N4+M5-V4)))</f>
        <v>1.7669992675293267</v>
      </c>
      <c r="O5" s="14">
        <f>N5*VLOOKUP('Données projet'!$B$9,Paramètres!$A$1:$I$89,3,0)*VLOOKUP('Données projet'!$B$9,Paramètres!$A$1:$I$89,5,0)</f>
        <v>1.0566655619825374</v>
      </c>
      <c r="P5" s="14">
        <f t="shared" ref="P5:P68" si="33">EXP(-1.0587+0.8836*LN(O5)+0.284)</f>
        <v>0.48384169076702271</v>
      </c>
      <c r="Q5" s="22">
        <f t="shared" si="2"/>
        <v>2.6830501318721502</v>
      </c>
      <c r="R5" s="60">
        <f t="shared" si="0"/>
        <v>261.79416124298331</v>
      </c>
      <c r="S5" s="60">
        <f ca="1">AVERAGE(OFFSET($R$3,0,0,'Données projet'!$E$9+1,1))-AVERAGE(OFFSET($H$3,0,0,'Données projet'!$E$9+1,1))</f>
        <v>260.02504691866199</v>
      </c>
      <c r="T5" s="60">
        <f t="shared" ref="T5:T68" si="34">$T$3</f>
        <v>270.11268336406368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2.1</v>
      </c>
      <c r="AI5" s="14">
        <f>IF('Données projet'!$A$62&gt;35,AI4+AH5-AQ4,IF(A5&lt;'Données projet'!$A$62,$AF$205^A5,IF(A5='Données projet'!$A$62,'Données projet'!$B$62,AI4+AH5-AQ4)))</f>
        <v>1.4531984602822681</v>
      </c>
      <c r="AJ5" s="14">
        <f>AI5*VLOOKUP('Données projet'!$B$10,Paramètres!$A$1:$I$89,3,0)*VLOOKUP('Données projet'!$B$10,Paramètres!$A$1:$I$89,5,0)</f>
        <v>1.47354323872622</v>
      </c>
      <c r="AK5" s="14">
        <f t="shared" ref="AK5:AK68" si="35">EXP(-1.0587+0.8836*LN(AJ5)+0.284)</f>
        <v>0.64910881835703094</v>
      </c>
      <c r="AL5" s="22">
        <f t="shared" si="4"/>
        <v>3.6969523327533285</v>
      </c>
      <c r="AM5" s="60">
        <f t="shared" si="5"/>
        <v>262.80806344386446</v>
      </c>
      <c r="AN5" s="60">
        <f ca="1">AVERAGE(OFFSET($AM$3,0,0,'Données projet'!$E$10+1,1))-AVERAGE(OFFSET($H$3,0,0,'Données projet'!$E$10+1,1))</f>
        <v>475.47920969424894</v>
      </c>
      <c r="AO5" s="60">
        <f t="shared" ref="AO5:AO68" si="36">$AO$3</f>
        <v>271.73544012419364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1.8</v>
      </c>
      <c r="BD5" s="13">
        <f>IF('Données projet'!$A$88&gt;35,BD4+BC5-BL4,IF(A5&lt;'Données projet'!$A$88,$BA$205^A5,IF(A5='Données projet'!$A$88,'Données projet'!$B$88,BD4+BC5-BL4)))</f>
        <v>1.3046466916751485</v>
      </c>
      <c r="BE5" s="14">
        <f>BD5*VLOOKUP('Données projet'!$B$11,Paramètres!$A$1:$I$89,3,0)*VLOOKUP('Données projet'!$B$11,Paramètres!$A$1:$I$89,5,0)</f>
        <v>1.1804443266276743</v>
      </c>
      <c r="BF5" s="14">
        <f t="shared" ref="BF5:BF68" si="37">EXP(-1.0587+0.8836*LN(BE5)+0.284)</f>
        <v>0.53359466263756661</v>
      </c>
      <c r="BG5" s="22">
        <f t="shared" si="7"/>
        <v>2.9852845729702948</v>
      </c>
      <c r="BH5" s="60">
        <f t="shared" si="8"/>
        <v>262.09639568408141</v>
      </c>
      <c r="BI5" s="60">
        <f ca="1">AVERAGE(OFFSET($BH$3,0,0,'Données projet'!$E$11+1,1))-AVERAGE(OFFSET($H$3,0,0,'Données projet'!$E$11+1,1))</f>
        <v>325.2649384779973</v>
      </c>
      <c r="BJ5" s="60">
        <f t="shared" ref="BJ5:BJ68" si="38">$BJ$3</f>
        <v>146.70159365068315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4.3888888888888893</v>
      </c>
      <c r="BY5" s="13">
        <f>IF('Données projet'!$A$114&gt;35,BY4+BX5-CG4,IF(A5&lt;'Données projet'!$A$114,$BV$205^A5,IF(A5='Données projet'!$A$114,'Données projet'!$B$114,BY4+BX5-CG4)))</f>
        <v>1.6249778839784477</v>
      </c>
      <c r="BZ5" s="14">
        <f>BY5*VLOOKUP('Données projet'!$B$12,Paramètres!$A$1:$I$89,3,0)*VLOOKUP('Données projet'!$B$12,Paramètres!$A$1:$I$89,5,0)</f>
        <v>0.71824022471847393</v>
      </c>
      <c r="CA5" s="14">
        <f t="shared" ref="CA5:CA68" si="39">EXP(-1.0587+0.8836*LN(BZ5)+0.284)</f>
        <v>0.34399489135415873</v>
      </c>
      <c r="CB5" s="22">
        <f t="shared" si="10"/>
        <v>1.850059493826502</v>
      </c>
      <c r="CC5" s="60">
        <f t="shared" si="11"/>
        <v>260.96117060493765</v>
      </c>
      <c r="CD5" s="60">
        <f ca="1">AVERAGE(OFFSET($CC$3,0,0,'Données projet'!$E$12+1,1))-AVERAGE(OFFSET($H$3,0,0,'Données projet'!$E$12+1,1))</f>
        <v>401.84375324751227</v>
      </c>
      <c r="CE5" s="60">
        <f t="shared" ref="CE5:CE68" si="40">$CE$3</f>
        <v>350.39368043404164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4.857846153846153</v>
      </c>
      <c r="CT5" s="13">
        <f>IF('Données projet'!$A$140&gt;35,CT4+CS5-DB4,IF(A5&lt;'Données projet'!$A$140,$CQ$205^A5,IF(A5='Données projet'!$A$140,'Données projet'!$B$140,CT4+CS5-DB4)))</f>
        <v>1.4680833094757604</v>
      </c>
      <c r="CU5" s="18">
        <f>CT5*VLOOKUP('Données projet'!$B$13,Paramètres!$A$1:$I$89,3,0)*VLOOKUP('Données projet'!$B$13,Paramètres!$A$1:$I$89,5,0)</f>
        <v>0.87791381906650479</v>
      </c>
      <c r="CV5" s="14">
        <f t="shared" ref="CV5:CV68" si="41">EXP(-1.0587+0.8836*LN(CU5)+0.284)</f>
        <v>0.41075811355440428</v>
      </c>
      <c r="CW5" s="22">
        <f t="shared" si="13"/>
        <v>2.2444369493147502</v>
      </c>
      <c r="CX5" s="60">
        <f t="shared" si="14"/>
        <v>261.35554806042592</v>
      </c>
      <c r="CY5" s="60">
        <f ca="1">AVERAGE(OFFSET($CX$3,0,0,'Données projet'!$E$13+1,1))-AVERAGE(OFFSET($H$3,0,0,'Données projet'!$E$13+1,1))</f>
        <v>232.73140429491525</v>
      </c>
      <c r="CZ5" s="60">
        <f t="shared" ref="CZ5:CZ68" si="42">$CZ$3</f>
        <v>201.02719152328638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1.4957264957264955</v>
      </c>
      <c r="DO5" s="13">
        <f>IF('Données projet'!$A$166&gt;35,DO4+DN5-DW4,IF(A5&lt;'Données projet'!$A$166,$DL$205^A5,IF(A5='Données projet'!$A$166,'Données projet'!$B$166,DO4+DN5-DW4)))</f>
        <v>1.5139997128676139</v>
      </c>
      <c r="DP5" s="18">
        <f>DO5*VLOOKUP('Données projet'!$B$14,Paramètres!$A$1:$I$89,3,0)*VLOOKUP('Données projet'!$B$14,Paramètres!$A$1:$I$89,5,0)</f>
        <v>1.4407221267648214</v>
      </c>
      <c r="DQ5" s="14">
        <f t="shared" ref="DQ5:DQ68" si="43">EXP(-1.0587+0.8836*LN(DP5)+0.284)</f>
        <v>0.6363170389739955</v>
      </c>
      <c r="DR5" s="22">
        <f t="shared" si="16"/>
        <v>3.6175098803284391</v>
      </c>
      <c r="DS5" s="60">
        <f t="shared" si="17"/>
        <v>262.72862099143958</v>
      </c>
      <c r="DT5" s="60">
        <f ca="1">AVERAGE(OFFSET($DS$3,0,0,'Données projet'!$E$14+1,1))-AVERAGE(OFFSET($H$3,0,0,'Données projet'!$E$14+1,1))</f>
        <v>302.15577364214136</v>
      </c>
      <c r="DU5" s="60">
        <f t="shared" ref="DU5:DU68" si="44">$DU$3</f>
        <v>197.15142751137051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2.0085470085470085</v>
      </c>
      <c r="EJ5" s="13">
        <f>IF('Données projet'!$A$192&gt;35,EJ4+EI5-ER4,IF(A5&lt;'Données projet'!$A$192,$EG$205^A5,IF(A5='Données projet'!$A$192,'Données projet'!$B$192,EJ4+EI5-ER4)))</f>
        <v>1.5746949496023155</v>
      </c>
      <c r="EK5" s="18">
        <f>EJ5*VLOOKUP('Données projet'!$B$15,Paramètres!$A$1:$I$89,3,0)*VLOOKUP('Données projet'!$B$15,Paramètres!$A$1:$I$89,5,0)</f>
        <v>1.6458711613243404</v>
      </c>
      <c r="EL5" s="14">
        <f t="shared" ref="EL5:EL68" si="45">EXP(-1.0587+0.8836*LN(EK5)+0.284)</f>
        <v>0.71574681686586372</v>
      </c>
      <c r="EM5" s="22">
        <f t="shared" si="19"/>
        <v>4.1131513120146055</v>
      </c>
      <c r="EN5" s="60">
        <f t="shared" si="20"/>
        <v>263.22426242312577</v>
      </c>
      <c r="EO5" s="60">
        <f ca="1">AVERAGE(OFFSET($EN$3,0,0,'Données projet'!$E$15+1,1))-AVERAGE(OFFSET($H$3,0,0,'Données projet'!$E$15+1,1))</f>
        <v>493.70175665335978</v>
      </c>
      <c r="EP5" s="60">
        <f t="shared" ref="EP5:EP68" si="46">$EP$3</f>
        <v>325.12357781685949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0" t="e">
        <f t="shared" si="23"/>
        <v>#N/A</v>
      </c>
      <c r="FJ5" s="60" t="e">
        <f ca="1">AVERAGE(OFFSET($FI$3,0,0,'Données projet'!$E$16+1,1))-AVERAGE(OFFSET($H$3,0,0,'Données projet'!$E$16+1,1))</f>
        <v>#N/A</v>
      </c>
      <c r="FK5" s="60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0" t="e">
        <f t="shared" si="26"/>
        <v>#N/A</v>
      </c>
      <c r="GE5" s="60" t="e">
        <f ca="1">AVERAGE(OFFSET($GD$3,0,0,'Données projet'!$E$17+1,1))-AVERAGE(OFFSET($H$3,0,0,'Données projet'!$E$17+1,1))</f>
        <v>#N/A</v>
      </c>
      <c r="GF5" s="60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5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8">
        <f t="shared" si="1"/>
        <v>256.66666666666669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7.4312217194570129</v>
      </c>
      <c r="N6" s="14">
        <f>IF('Données projet'!$A$36&gt;35,N5+M6-V5,IF(A6&lt;'Données projet'!$A$36,$K$205^A6,IF(A6='Données projet'!$A$36,'Données projet'!$B$36,N5+M6-V5)))</f>
        <v>2.3488460575455909</v>
      </c>
      <c r="O6" s="14">
        <f>N6*VLOOKUP('Données projet'!$B$9,Paramètres!$A$1:$I$89,3,0)*VLOOKUP('Données projet'!$B$9,Paramètres!$A$1:$I$89,5,0)</f>
        <v>1.4046099424122636</v>
      </c>
      <c r="P6" s="14">
        <f t="shared" si="33"/>
        <v>0.62220330714804695</v>
      </c>
      <c r="Q6" s="22">
        <f t="shared" si="2"/>
        <v>3.5300330763175403</v>
      </c>
      <c r="R6" s="60">
        <f t="shared" si="0"/>
        <v>263.86336640965084</v>
      </c>
      <c r="S6" s="60">
        <f ca="1">AVERAGE(OFFSET($R$3,0,0,'Données projet'!$E$9+1,1))-AVERAGE(OFFSET($H$3,0,0,'Données projet'!$E$9+1,1))</f>
        <v>260.02504691866199</v>
      </c>
      <c r="T6" s="60">
        <f t="shared" si="34"/>
        <v>270.11268336406368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2.1</v>
      </c>
      <c r="AI6" s="14">
        <f>IF('Données projet'!$A$62&gt;35,AI5+AH6-AQ5,IF(A6&lt;'Données projet'!$A$62,$AF$205^A6,IF(A6='Données projet'!$A$62,'Données projet'!$B$62,AI5+AH6-AQ5)))</f>
        <v>1.7518115829322798</v>
      </c>
      <c r="AJ6" s="14">
        <f>AI6*VLOOKUP('Données projet'!$B$10,Paramètres!$A$1:$I$89,3,0)*VLOOKUP('Données projet'!$B$10,Paramètres!$A$1:$I$89,5,0)</f>
        <v>1.7763369450933317</v>
      </c>
      <c r="AK6" s="14">
        <f t="shared" si="35"/>
        <v>0.76565418883323866</v>
      </c>
      <c r="AL6" s="22">
        <f t="shared" si="4"/>
        <v>4.4273012249221102</v>
      </c>
      <c r="AM6" s="60">
        <f t="shared" si="5"/>
        <v>264.76063455825545</v>
      </c>
      <c r="AN6" s="60">
        <f ca="1">AVERAGE(OFFSET($AM$3,0,0,'Données projet'!$E$10+1,1))-AVERAGE(OFFSET($H$3,0,0,'Données projet'!$E$10+1,1))</f>
        <v>475.47920969424894</v>
      </c>
      <c r="AO6" s="60">
        <f t="shared" si="36"/>
        <v>271.73544012419364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1.8</v>
      </c>
      <c r="BD6" s="13">
        <f>IF('Données projet'!$A$88&gt;35,BD5+BC6-BL5,IF(A6&lt;'Données projet'!$A$88,$BA$205^A6,IF(A6='Données projet'!$A$88,'Données projet'!$B$88,BD5+BC6-BL5)))</f>
        <v>1.4901822153424462</v>
      </c>
      <c r="BE6" s="14">
        <f>BD6*VLOOKUP('Données projet'!$B$11,Paramètres!$A$1:$I$89,3,0)*VLOOKUP('Données projet'!$B$11,Paramètres!$A$1:$I$89,5,0)</f>
        <v>1.3483168684418452</v>
      </c>
      <c r="BF6" s="14">
        <f t="shared" si="37"/>
        <v>0.60011743963194697</v>
      </c>
      <c r="BG6" s="22">
        <f t="shared" si="7"/>
        <v>3.3935230865618546</v>
      </c>
      <c r="BH6" s="60">
        <f t="shared" si="8"/>
        <v>263.72685641989517</v>
      </c>
      <c r="BI6" s="60">
        <f ca="1">AVERAGE(OFFSET($BH$3,0,0,'Données projet'!$E$11+1,1))-AVERAGE(OFFSET($H$3,0,0,'Données projet'!$E$11+1,1))</f>
        <v>325.2649384779973</v>
      </c>
      <c r="BJ6" s="60">
        <f t="shared" si="38"/>
        <v>146.70159365068315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4.3888888888888893</v>
      </c>
      <c r="BY6" s="13">
        <f>IF('Données projet'!$A$114&gt;35,BY5+BX6-CG5,IF(A6&lt;'Données projet'!$A$114,$BV$205^A6,IF(A6='Données projet'!$A$114,'Données projet'!$B$114,BY5+BX6-CG5)))</f>
        <v>2.0714343887814084</v>
      </c>
      <c r="BZ6" s="14">
        <f>BY6*VLOOKUP('Données projet'!$B$12,Paramètres!$A$1:$I$89,3,0)*VLOOKUP('Données projet'!$B$12,Paramètres!$A$1:$I$89,5,0)</f>
        <v>0.91557399984138255</v>
      </c>
      <c r="CA6" s="14">
        <f t="shared" si="39"/>
        <v>0.42628926714286114</v>
      </c>
      <c r="CB6" s="22">
        <f t="shared" si="10"/>
        <v>2.3370785233308911</v>
      </c>
      <c r="CC6" s="60">
        <f t="shared" si="11"/>
        <v>262.6704118566642</v>
      </c>
      <c r="CD6" s="60">
        <f ca="1">AVERAGE(OFFSET($CC$3,0,0,'Données projet'!$E$12+1,1))-AVERAGE(OFFSET($H$3,0,0,'Données projet'!$E$12+1,1))</f>
        <v>401.84375324751227</v>
      </c>
      <c r="CE6" s="60">
        <f t="shared" si="40"/>
        <v>350.39368043404164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4.857846153846153</v>
      </c>
      <c r="CT6" s="13">
        <f>IF('Données projet'!$A$140&gt;35,CT5+CS6-DB5,IF(A6&lt;'Données projet'!$A$140,$CQ$205^A6,IF(A6='Données projet'!$A$140,'Données projet'!$B$140,CT5+CS6-DB5)))</f>
        <v>1.7787956218535832</v>
      </c>
      <c r="CU6" s="18">
        <f>CT6*VLOOKUP('Données projet'!$B$13,Paramètres!$A$1:$I$89,3,0)*VLOOKUP('Données projet'!$B$13,Paramètres!$A$1:$I$89,5,0)</f>
        <v>1.0637197818684427</v>
      </c>
      <c r="CV6" s="14">
        <f t="shared" si="41"/>
        <v>0.48669469278305533</v>
      </c>
      <c r="CW6" s="22">
        <f t="shared" si="13"/>
        <v>2.7003052100180258</v>
      </c>
      <c r="CX6" s="60">
        <f t="shared" si="14"/>
        <v>263.03363854335134</v>
      </c>
      <c r="CY6" s="60">
        <f ca="1">AVERAGE(OFFSET($CX$3,0,0,'Données projet'!$E$13+1,1))-AVERAGE(OFFSET($H$3,0,0,'Données projet'!$E$13+1,1))</f>
        <v>232.73140429491525</v>
      </c>
      <c r="CZ6" s="60">
        <f t="shared" si="42"/>
        <v>201.02719152328638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1.4957264957264955</v>
      </c>
      <c r="DO6" s="13">
        <f>IF('Données projet'!$A$166&gt;35,DO5+DN6-DW5,IF(A6&lt;'Données projet'!$A$166,$DL$205^A6,IF(A6='Données projet'!$A$166,'Données projet'!$B$166,DO5+DN6-DW5)))</f>
        <v>1.8628963389059665</v>
      </c>
      <c r="DP6" s="18">
        <f>DO6*VLOOKUP('Données projet'!$B$14,Paramètres!$A$1:$I$89,3,0)*VLOOKUP('Données projet'!$B$14,Paramètres!$A$1:$I$89,5,0)</f>
        <v>1.7727321561029179</v>
      </c>
      <c r="DQ6" s="14">
        <f t="shared" si="43"/>
        <v>0.76428111402682142</v>
      </c>
      <c r="DR6" s="22">
        <f t="shared" si="16"/>
        <v>4.4186314454759623</v>
      </c>
      <c r="DS6" s="60">
        <f t="shared" si="17"/>
        <v>264.75196477880928</v>
      </c>
      <c r="DT6" s="60">
        <f ca="1">AVERAGE(OFFSET($DS$3,0,0,'Données projet'!$E$14+1,1))-AVERAGE(OFFSET($H$3,0,0,'Données projet'!$E$14+1,1))</f>
        <v>302.15577364214136</v>
      </c>
      <c r="DU6" s="60">
        <f t="shared" si="44"/>
        <v>197.15142751137051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2.0085470085470085</v>
      </c>
      <c r="EJ6" s="13">
        <f>IF('Données projet'!$A$192&gt;35,EJ5+EI6-ER5,IF(A6&lt;'Données projet'!$A$192,$EG$205^A6,IF(A6='Données projet'!$A$192,'Données projet'!$B$192,EJ5+EI6-ER5)))</f>
        <v>1.9760350876772761</v>
      </c>
      <c r="EK6" s="18">
        <f>EJ6*VLOOKUP('Données projet'!$B$15,Paramètres!$A$1:$I$89,3,0)*VLOOKUP('Données projet'!$B$15,Paramètres!$A$1:$I$89,5,0)</f>
        <v>2.0653518736402892</v>
      </c>
      <c r="EL6" s="14">
        <f t="shared" si="45"/>
        <v>0.87474367330306557</v>
      </c>
      <c r="EM6" s="22">
        <f t="shared" si="19"/>
        <v>5.1206664109263427</v>
      </c>
      <c r="EN6" s="60">
        <f t="shared" si="20"/>
        <v>265.45399974425965</v>
      </c>
      <c r="EO6" s="60">
        <f ca="1">AVERAGE(OFFSET($EN$3,0,0,'Données projet'!$E$15+1,1))-AVERAGE(OFFSET($H$3,0,0,'Données projet'!$E$15+1,1))</f>
        <v>493.70175665335978</v>
      </c>
      <c r="EP6" s="60">
        <f t="shared" si="46"/>
        <v>325.12357781685949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0" t="e">
        <f t="shared" si="23"/>
        <v>#N/A</v>
      </c>
      <c r="FJ6" s="60" t="e">
        <f ca="1">AVERAGE(OFFSET($FI$3,0,0,'Données projet'!$E$16+1,1))-AVERAGE(OFFSET($H$3,0,0,'Données projet'!$E$16+1,1))</f>
        <v>#N/A</v>
      </c>
      <c r="FK6" s="60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0" t="e">
        <f t="shared" si="26"/>
        <v>#N/A</v>
      </c>
      <c r="GE6" s="60" t="e">
        <f ca="1">AVERAGE(OFFSET($GD$3,0,0,'Données projet'!$E$17+1,1))-AVERAGE(OFFSET($H$3,0,0,'Données projet'!$E$17+1,1))</f>
        <v>#N/A</v>
      </c>
      <c r="GF6" s="60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5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8">
        <f t="shared" si="1"/>
        <v>256.66666666666669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7.4312217194570129</v>
      </c>
      <c r="N7" s="14">
        <f>IF('Données projet'!$A$36&gt;35,N6+M7-V6,IF(A7&lt;'Données projet'!$A$36,$K$205^A7,IF(A7='Données projet'!$A$36,'Données projet'!$B$36,N6+M7-V6)))</f>
        <v>3.1222864114491768</v>
      </c>
      <c r="O7" s="14">
        <f>N7*VLOOKUP('Données projet'!$B$9,Paramètres!$A$1:$I$89,3,0)*VLOOKUP('Données projet'!$B$9,Paramètres!$A$1:$I$89,5,0)</f>
        <v>1.8671272740466078</v>
      </c>
      <c r="P7" s="14">
        <f t="shared" si="33"/>
        <v>0.80013145376589556</v>
      </c>
      <c r="Q7" s="22">
        <f t="shared" si="2"/>
        <v>4.6454756176067766</v>
      </c>
      <c r="R7" s="60">
        <f t="shared" si="0"/>
        <v>266.20103117316233</v>
      </c>
      <c r="S7" s="60">
        <f ca="1">AVERAGE(OFFSET($R$3,0,0,'Données projet'!$E$9+1,1))-AVERAGE(OFFSET($H$3,0,0,'Données projet'!$E$9+1,1))</f>
        <v>260.02504691866199</v>
      </c>
      <c r="T7" s="60">
        <f t="shared" si="34"/>
        <v>270.11268336406368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2.1</v>
      </c>
      <c r="AI7" s="14">
        <f>IF('Données projet'!$A$62&gt;35,AI6+AH7-AQ6,IF(A7&lt;'Données projet'!$A$62,$AF$205^A7,IF(A7='Données projet'!$A$62,'Données projet'!$B$62,AI6+AH7-AQ6)))</f>
        <v>2.1117857649667546</v>
      </c>
      <c r="AJ7" s="14">
        <f>AI7*VLOOKUP('Données projet'!$B$10,Paramètres!$A$1:$I$89,3,0)*VLOOKUP('Données projet'!$B$10,Paramètres!$A$1:$I$89,5,0)</f>
        <v>2.1413507656762891</v>
      </c>
      <c r="AK7" s="14">
        <f t="shared" si="35"/>
        <v>0.9031249003236328</v>
      </c>
      <c r="AL7" s="22">
        <f t="shared" si="4"/>
        <v>5.3024617849498643</v>
      </c>
      <c r="AM7" s="60">
        <f t="shared" si="5"/>
        <v>266.8580173405054</v>
      </c>
      <c r="AN7" s="60">
        <f ca="1">AVERAGE(OFFSET($AM$3,0,0,'Données projet'!$E$10+1,1))-AVERAGE(OFFSET($H$3,0,0,'Données projet'!$E$10+1,1))</f>
        <v>475.47920969424894</v>
      </c>
      <c r="AO7" s="60">
        <f t="shared" si="36"/>
        <v>271.73544012419364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1.8</v>
      </c>
      <c r="BD7" s="13">
        <f>IF('Données projet'!$A$88&gt;35,BD6+BC7-BL6,IF(A7&lt;'Données projet'!$A$88,$BA$205^A7,IF(A7='Données projet'!$A$88,'Données projet'!$B$88,BD6+BC7-BL6)))</f>
        <v>1.70210299009891</v>
      </c>
      <c r="BE7" s="14">
        <f>BD7*VLOOKUP('Données projet'!$B$11,Paramètres!$A$1:$I$89,3,0)*VLOOKUP('Données projet'!$B$11,Paramètres!$A$1:$I$89,5,0)</f>
        <v>1.5400627854414937</v>
      </c>
      <c r="BF7" s="14">
        <f t="shared" si="37"/>
        <v>0.67493355269001643</v>
      </c>
      <c r="BG7" s="22">
        <f t="shared" si="7"/>
        <v>3.85778528891238</v>
      </c>
      <c r="BH7" s="60">
        <f t="shared" si="8"/>
        <v>265.41334084446794</v>
      </c>
      <c r="BI7" s="60">
        <f ca="1">AVERAGE(OFFSET($BH$3,0,0,'Données projet'!$E$11+1,1))-AVERAGE(OFFSET($H$3,0,0,'Données projet'!$E$11+1,1))</f>
        <v>325.2649384779973</v>
      </c>
      <c r="BJ7" s="60">
        <f t="shared" si="38"/>
        <v>146.70159365068315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4.3888888888888893</v>
      </c>
      <c r="BY7" s="13">
        <f>IF('Données projet'!$A$114&gt;35,BY6+BX7-CG6,IF(A7&lt;'Données projet'!$A$114,$BV$205^A7,IF(A7='Données projet'!$A$114,'Données projet'!$B$114,BY6+BX7-CG6)))</f>
        <v>2.6405531234190733</v>
      </c>
      <c r="BZ7" s="14">
        <f>BY7*VLOOKUP('Données projet'!$B$12,Paramètres!$A$1:$I$89,3,0)*VLOOKUP('Données projet'!$B$12,Paramètres!$A$1:$I$89,5,0)</f>
        <v>1.1671244805512304</v>
      </c>
      <c r="CA7" s="14">
        <f t="shared" si="39"/>
        <v>0.52827104078736387</v>
      </c>
      <c r="CB7" s="22">
        <f t="shared" si="10"/>
        <v>2.9528138663313848</v>
      </c>
      <c r="CC7" s="60">
        <f t="shared" si="11"/>
        <v>264.50836942188693</v>
      </c>
      <c r="CD7" s="60">
        <f ca="1">AVERAGE(OFFSET($CC$3,0,0,'Données projet'!$E$12+1,1))-AVERAGE(OFFSET($H$3,0,0,'Données projet'!$E$12+1,1))</f>
        <v>401.84375324751227</v>
      </c>
      <c r="CE7" s="60">
        <f t="shared" si="40"/>
        <v>350.39368043404164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4.857846153846153</v>
      </c>
      <c r="CT7" s="13">
        <f>IF('Données projet'!$A$140&gt;35,CT6+CS7-DB6,IF(A7&lt;'Données projet'!$A$140,$CQ$205^A7,IF(A7='Données projet'!$A$140,'Données projet'!$B$140,CT6+CS7-DB6)))</f>
        <v>2.1552686035613013</v>
      </c>
      <c r="CU7" s="18">
        <f>CT7*VLOOKUP('Données projet'!$B$13,Paramètres!$A$1:$I$89,3,0)*VLOOKUP('Données projet'!$B$13,Paramètres!$A$1:$I$89,5,0)</f>
        <v>1.2888506249296583</v>
      </c>
      <c r="CV7" s="14">
        <f t="shared" si="41"/>
        <v>0.57666961690294016</v>
      </c>
      <c r="CW7" s="22">
        <f t="shared" si="13"/>
        <v>3.2491144211917753</v>
      </c>
      <c r="CX7" s="60">
        <f t="shared" si="14"/>
        <v>264.80466997674733</v>
      </c>
      <c r="CY7" s="60">
        <f ca="1">AVERAGE(OFFSET($CX$3,0,0,'Données projet'!$E$13+1,1))-AVERAGE(OFFSET($H$3,0,0,'Données projet'!$E$13+1,1))</f>
        <v>232.73140429491525</v>
      </c>
      <c r="CZ7" s="60">
        <f t="shared" si="42"/>
        <v>201.02719152328638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1.4957264957264955</v>
      </c>
      <c r="DO7" s="13">
        <f>IF('Données projet'!$A$166&gt;35,DO6+DN7-DW6,IF(A7&lt;'Données projet'!$A$166,$DL$205^A7,IF(A7='Données projet'!$A$166,'Données projet'!$B$166,DO6+DN7-DW6)))</f>
        <v>2.2921951305632176</v>
      </c>
      <c r="DP7" s="18">
        <f>DO7*VLOOKUP('Données projet'!$B$14,Paramètres!$A$1:$I$89,3,0)*VLOOKUP('Données projet'!$B$14,Paramètres!$A$1:$I$89,5,0)</f>
        <v>2.181252886243958</v>
      </c>
      <c r="DQ7" s="14">
        <f t="shared" si="43"/>
        <v>0.91797890906697965</v>
      </c>
      <c r="DR7" s="22">
        <f t="shared" si="16"/>
        <v>5.3978287101665492</v>
      </c>
      <c r="DS7" s="60">
        <f t="shared" si="17"/>
        <v>266.95338426572209</v>
      </c>
      <c r="DT7" s="60">
        <f ca="1">AVERAGE(OFFSET($DS$3,0,0,'Données projet'!$E$14+1,1))-AVERAGE(OFFSET($H$3,0,0,'Données projet'!$E$14+1,1))</f>
        <v>302.15577364214136</v>
      </c>
      <c r="DU7" s="60">
        <f t="shared" si="44"/>
        <v>197.15142751137051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2.0085470085470085</v>
      </c>
      <c r="EJ7" s="13">
        <f>IF('Données projet'!$A$192&gt;35,EJ6+EI7-ER6,IF(A7&lt;'Données projet'!$A$192,$EG$205^A7,IF(A7='Données projet'!$A$192,'Données projet'!$B$192,EJ6+EI7-ER6)))</f>
        <v>2.4796641843030387</v>
      </c>
      <c r="EK7" s="18">
        <f>EJ7*VLOOKUP('Données projet'!$B$15,Paramètres!$A$1:$I$89,3,0)*VLOOKUP('Données projet'!$B$15,Paramètres!$A$1:$I$89,5,0)</f>
        <v>2.5917450054335363</v>
      </c>
      <c r="EL7" s="14">
        <f t="shared" si="45"/>
        <v>1.069060282146026</v>
      </c>
      <c r="EM7" s="22">
        <f t="shared" si="19"/>
        <v>6.375902542534404</v>
      </c>
      <c r="EN7" s="60">
        <f t="shared" si="20"/>
        <v>267.93145809808993</v>
      </c>
      <c r="EO7" s="60">
        <f ca="1">AVERAGE(OFFSET($EN$3,0,0,'Données projet'!$E$15+1,1))-AVERAGE(OFFSET($H$3,0,0,'Données projet'!$E$15+1,1))</f>
        <v>493.70175665335978</v>
      </c>
      <c r="EP7" s="60">
        <f t="shared" si="46"/>
        <v>325.12357781685949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0" t="e">
        <f t="shared" si="23"/>
        <v>#N/A</v>
      </c>
      <c r="FJ7" s="60" t="e">
        <f ca="1">AVERAGE(OFFSET($FI$3,0,0,'Données projet'!$E$16+1,1))-AVERAGE(OFFSET($H$3,0,0,'Données projet'!$E$16+1,1))</f>
        <v>#N/A</v>
      </c>
      <c r="FK7" s="60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0" t="e">
        <f t="shared" si="26"/>
        <v>#N/A</v>
      </c>
      <c r="GE7" s="60" t="e">
        <f ca="1">AVERAGE(OFFSET($GD$3,0,0,'Données projet'!$E$17+1,1))-AVERAGE(OFFSET($H$3,0,0,'Données projet'!$E$17+1,1))</f>
        <v>#N/A</v>
      </c>
      <c r="GF7" s="60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5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8">
        <f t="shared" si="1"/>
        <v>256.66666666666669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7.4312217194570129</v>
      </c>
      <c r="N8" s="14">
        <f>IF('Données projet'!$A$36&gt;35,N7+M8-V7,IF(A8&lt;'Données projet'!$A$36,$K$205^A8,IF(A8='Données projet'!$A$36,'Données projet'!$B$36,N7+M8-V7)))</f>
        <v>4.1504092632222056</v>
      </c>
      <c r="O8" s="14">
        <f>N8*VLOOKUP('Données projet'!$B$9,Paramètres!$A$1:$I$89,3,0)*VLOOKUP('Données projet'!$B$9,Paramètres!$A$1:$I$89,5,0)</f>
        <v>2.4819447394068792</v>
      </c>
      <c r="P8" s="14">
        <f t="shared" si="33"/>
        <v>1.0289407593154982</v>
      </c>
      <c r="Q8" s="22">
        <f t="shared" si="2"/>
        <v>6.1147922436081394</v>
      </c>
      <c r="R8" s="60">
        <f t="shared" si="0"/>
        <v>268.89257002138589</v>
      </c>
      <c r="S8" s="60">
        <f ca="1">AVERAGE(OFFSET($R$3,0,0,'Données projet'!$E$9+1,1))-AVERAGE(OFFSET($H$3,0,0,'Données projet'!$E$9+1,1))</f>
        <v>260.02504691866199</v>
      </c>
      <c r="T8" s="60">
        <f t="shared" si="34"/>
        <v>270.11268336406368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2.1</v>
      </c>
      <c r="AI8" s="14">
        <f>IF('Données projet'!$A$62&gt;35,AI7+AH8-AQ7,IF(A8&lt;'Données projet'!$A$62,$AF$205^A8,IF(A8='Données projet'!$A$62,'Données projet'!$B$62,AI7+AH8-AQ7)))</f>
        <v>2.5457298950218314</v>
      </c>
      <c r="AJ8" s="14">
        <f>AI8*VLOOKUP('Données projet'!$B$10,Paramètres!$A$1:$I$89,3,0)*VLOOKUP('Données projet'!$B$10,Paramètres!$A$1:$I$89,5,0)</f>
        <v>2.5813701135521372</v>
      </c>
      <c r="AK8" s="14">
        <f t="shared" si="35"/>
        <v>1.0652780295337991</v>
      </c>
      <c r="AL8" s="22">
        <f t="shared" si="4"/>
        <v>6.3512455158746723</v>
      </c>
      <c r="AM8" s="60">
        <f t="shared" si="5"/>
        <v>269.12902329365244</v>
      </c>
      <c r="AN8" s="60">
        <f ca="1">AVERAGE(OFFSET($AM$3,0,0,'Données projet'!$E$10+1,1))-AVERAGE(OFFSET($H$3,0,0,'Données projet'!$E$10+1,1))</f>
        <v>475.47920969424894</v>
      </c>
      <c r="AO8" s="60">
        <f t="shared" si="36"/>
        <v>271.73544012419364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1.8</v>
      </c>
      <c r="BD8" s="13">
        <f>IF('Données projet'!$A$88&gt;35,BD7+BC8-BL7,IF(A8&lt;'Données projet'!$A$88,$BA$205^A8,IF(A8='Données projet'!$A$88,'Données projet'!$B$88,BD7+BC8-BL7)))</f>
        <v>1.9441612972396662</v>
      </c>
      <c r="BE8" s="14">
        <f>BD8*VLOOKUP('Données projet'!$B$11,Paramètres!$A$1:$I$89,3,0)*VLOOKUP('Données projet'!$B$11,Paramètres!$A$1:$I$89,5,0)</f>
        <v>1.7590771417424498</v>
      </c>
      <c r="BF8" s="14">
        <f t="shared" si="37"/>
        <v>0.75907692472018096</v>
      </c>
      <c r="BG8" s="22">
        <f t="shared" si="7"/>
        <v>4.3857849990890818</v>
      </c>
      <c r="BH8" s="60">
        <f t="shared" si="8"/>
        <v>267.16356277686685</v>
      </c>
      <c r="BI8" s="60">
        <f ca="1">AVERAGE(OFFSET($BH$3,0,0,'Données projet'!$E$11+1,1))-AVERAGE(OFFSET($H$3,0,0,'Données projet'!$E$11+1,1))</f>
        <v>325.2649384779973</v>
      </c>
      <c r="BJ8" s="60">
        <f t="shared" si="38"/>
        <v>146.70159365068315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4.3888888888888893</v>
      </c>
      <c r="BY8" s="13">
        <f>IF('Données projet'!$A$114&gt;35,BY7+BX8-CG7,IF(A8&lt;'Données projet'!$A$114,$BV$205^A8,IF(A8='Données projet'!$A$114,'Données projet'!$B$114,BY7+BX8-CG7)))</f>
        <v>3.3660350698822019</v>
      </c>
      <c r="BZ8" s="14">
        <f>BY8*VLOOKUP('Données projet'!$B$12,Paramètres!$A$1:$I$89,3,0)*VLOOKUP('Données projet'!$B$12,Paramètres!$A$1:$I$89,5,0)</f>
        <v>1.4877875008879333</v>
      </c>
      <c r="CA8" s="14">
        <f t="shared" si="39"/>
        <v>0.65465005582943903</v>
      </c>
      <c r="CB8" s="22">
        <f t="shared" si="10"/>
        <v>3.7314120779494235</v>
      </c>
      <c r="CC8" s="60">
        <f t="shared" si="11"/>
        <v>266.50918985572719</v>
      </c>
      <c r="CD8" s="60">
        <f ca="1">AVERAGE(OFFSET($CC$3,0,0,'Données projet'!$E$12+1,1))-AVERAGE(OFFSET($H$3,0,0,'Données projet'!$E$12+1,1))</f>
        <v>401.84375324751227</v>
      </c>
      <c r="CE8" s="60">
        <f t="shared" si="40"/>
        <v>350.39368043404164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4.857846153846153</v>
      </c>
      <c r="CT8" s="13">
        <f>IF('Données projet'!$A$140&gt;35,CT7+CS8-DB7,IF(A8&lt;'Données projet'!$A$140,$CQ$205^A8,IF(A8='Données projet'!$A$140,'Données projet'!$B$140,CT7+CS8-DB7)))</f>
        <v>2.6114201634118017</v>
      </c>
      <c r="CU8" s="18">
        <f>CT8*VLOOKUP('Données projet'!$B$13,Paramètres!$A$1:$I$89,3,0)*VLOOKUP('Données projet'!$B$13,Paramètres!$A$1:$I$89,5,0)</f>
        <v>1.5616292577202577</v>
      </c>
      <c r="CV8" s="14">
        <f t="shared" si="41"/>
        <v>0.68327814539620879</v>
      </c>
      <c r="CW8" s="22">
        <f t="shared" si="13"/>
        <v>3.909880393761179</v>
      </c>
      <c r="CX8" s="60">
        <f t="shared" si="14"/>
        <v>266.68765817153894</v>
      </c>
      <c r="CY8" s="60">
        <f ca="1">AVERAGE(OFFSET($CX$3,0,0,'Données projet'!$E$13+1,1))-AVERAGE(OFFSET($H$3,0,0,'Données projet'!$E$13+1,1))</f>
        <v>232.73140429491525</v>
      </c>
      <c r="CZ8" s="60">
        <f t="shared" si="42"/>
        <v>201.02719152328638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1.4957264957264955</v>
      </c>
      <c r="DO8" s="13">
        <f>IF('Données projet'!$A$166&gt;35,DO7+DN8-DW7,IF(A8&lt;'Données projet'!$A$166,$DL$205^A8,IF(A8='Données projet'!$A$166,'Données projet'!$B$166,DO7+DN8-DW7)))</f>
        <v>2.8204245222057627</v>
      </c>
      <c r="DP8" s="18">
        <f>DO8*VLOOKUP('Données projet'!$B$14,Paramètres!$A$1:$I$89,3,0)*VLOOKUP('Données projet'!$B$14,Paramètres!$A$1:$I$89,5,0)</f>
        <v>2.6839159753310038</v>
      </c>
      <c r="DQ8" s="14">
        <f t="shared" si="43"/>
        <v>1.1025855042418715</v>
      </c>
      <c r="DR8" s="22">
        <f t="shared" si="16"/>
        <v>6.5948234102560903</v>
      </c>
      <c r="DS8" s="60">
        <f t="shared" si="17"/>
        <v>269.37260118803385</v>
      </c>
      <c r="DT8" s="60">
        <f ca="1">AVERAGE(OFFSET($DS$3,0,0,'Données projet'!$E$14+1,1))-AVERAGE(OFFSET($H$3,0,0,'Données projet'!$E$14+1,1))</f>
        <v>302.15577364214136</v>
      </c>
      <c r="DU8" s="60">
        <f t="shared" si="44"/>
        <v>197.15142751137051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2.0085470085470085</v>
      </c>
      <c r="EJ8" s="13">
        <f>IF('Données projet'!$A$192&gt;35,EJ7+EI8-ER7,IF(A8&lt;'Données projet'!$A$192,$EG$205^A8,IF(A8='Données projet'!$A$192,'Données projet'!$B$192,EJ7+EI8-ER7)))</f>
        <v>3.1116524728023753</v>
      </c>
      <c r="EK8" s="18">
        <f>EJ8*VLOOKUP('Données projet'!$B$15,Paramètres!$A$1:$I$89,3,0)*VLOOKUP('Données projet'!$B$15,Paramètres!$A$1:$I$89,5,0)</f>
        <v>3.2522991645730426</v>
      </c>
      <c r="EL8" s="14">
        <f t="shared" si="45"/>
        <v>1.3065426155602187</v>
      </c>
      <c r="EM8" s="22">
        <f t="shared" si="19"/>
        <v>7.9399827670654304</v>
      </c>
      <c r="EN8" s="60">
        <f t="shared" si="20"/>
        <v>270.7177605448432</v>
      </c>
      <c r="EO8" s="60">
        <f ca="1">AVERAGE(OFFSET($EN$3,0,0,'Données projet'!$E$15+1,1))-AVERAGE(OFFSET($H$3,0,0,'Données projet'!$E$15+1,1))</f>
        <v>493.70175665335978</v>
      </c>
      <c r="EP8" s="60">
        <f t="shared" si="46"/>
        <v>325.12357781685949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0" t="e">
        <f t="shared" si="23"/>
        <v>#N/A</v>
      </c>
      <c r="FJ8" s="60" t="e">
        <f ca="1">AVERAGE(OFFSET($FI$3,0,0,'Données projet'!$E$16+1,1))-AVERAGE(OFFSET($H$3,0,0,'Données projet'!$E$16+1,1))</f>
        <v>#N/A</v>
      </c>
      <c r="FK8" s="60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0" t="e">
        <f t="shared" si="26"/>
        <v>#N/A</v>
      </c>
      <c r="GE8" s="60" t="e">
        <f ca="1">AVERAGE(OFFSET($GD$3,0,0,'Données projet'!$E$17+1,1))-AVERAGE(OFFSET($H$3,0,0,'Données projet'!$E$17+1,1))</f>
        <v>#N/A</v>
      </c>
      <c r="GF8" s="60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5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8">
        <f t="shared" si="1"/>
        <v>256.66666666666669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7.4312217194570129</v>
      </c>
      <c r="N9" s="14">
        <f>IF('Données projet'!$A$36&gt;35,N8+M9-V8,IF(A9&lt;'Données projet'!$A$36,$K$205^A9,IF(A9='Données projet'!$A$36,'Données projet'!$B$36,N8+M9-V8)))</f>
        <v>5.5170778020474653</v>
      </c>
      <c r="O9" s="14">
        <f>N9*VLOOKUP('Données projet'!$B$9,Paramètres!$A$1:$I$89,3,0)*VLOOKUP('Données projet'!$B$9,Paramètres!$A$1:$I$89,5,0)</f>
        <v>3.2992125256243843</v>
      </c>
      <c r="P9" s="14">
        <f t="shared" si="33"/>
        <v>1.3231814362474952</v>
      </c>
      <c r="Q9" s="22">
        <f t="shared" si="2"/>
        <v>8.0506694835935235</v>
      </c>
      <c r="R9" s="60">
        <f t="shared" si="0"/>
        <v>272.05066948359354</v>
      </c>
      <c r="S9" s="60">
        <f ca="1">AVERAGE(OFFSET($R$3,0,0,'Données projet'!$E$9+1,1))-AVERAGE(OFFSET($H$3,0,0,'Données projet'!$E$9+1,1))</f>
        <v>260.02504691866199</v>
      </c>
      <c r="T9" s="60">
        <f t="shared" si="34"/>
        <v>270.11268336406368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2.1</v>
      </c>
      <c r="AI9" s="14">
        <f>IF('Données projet'!$A$62&gt;35,AI8+AH9-AQ8,IF(A9&lt;'Données projet'!$A$62,$AF$205^A9,IF(A9='Données projet'!$A$62,'Données projet'!$B$62,AI8+AH9-AQ8)))</f>
        <v>3.0688438220956993</v>
      </c>
      <c r="AJ9" s="14">
        <f>AI9*VLOOKUP('Données projet'!$B$10,Paramètres!$A$1:$I$89,3,0)*VLOOKUP('Données projet'!$B$10,Paramètres!$A$1:$I$89,5,0)</f>
        <v>3.111807635605039</v>
      </c>
      <c r="AK9" s="14">
        <f t="shared" si="35"/>
        <v>1.2565452240335246</v>
      </c>
      <c r="AL9" s="22">
        <f t="shared" si="4"/>
        <v>7.6082145638704972</v>
      </c>
      <c r="AM9" s="60">
        <f t="shared" si="5"/>
        <v>271.60821456387049</v>
      </c>
      <c r="AN9" s="60">
        <f ca="1">AVERAGE(OFFSET($AM$3,0,0,'Données projet'!$E$10+1,1))-AVERAGE(OFFSET($H$3,0,0,'Données projet'!$E$10+1,1))</f>
        <v>475.47920969424894</v>
      </c>
      <c r="AO9" s="60">
        <f t="shared" si="36"/>
        <v>271.73544012419364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1.8</v>
      </c>
      <c r="BD9" s="13">
        <f>IF('Données projet'!$A$88&gt;35,BD8+BC9-BL8,IF(A9&lt;'Données projet'!$A$88,$BA$205^A9,IF(A9='Données projet'!$A$88,'Données projet'!$B$88,BD8+BC9-BL8)))</f>
        <v>2.2206430349229209</v>
      </c>
      <c r="BE9" s="14">
        <f>BD9*VLOOKUP('Données projet'!$B$11,Paramètres!$A$1:$I$89,3,0)*VLOOKUP('Données projet'!$B$11,Paramètres!$A$1:$I$89,5,0)</f>
        <v>2.0092378179982586</v>
      </c>
      <c r="BF9" s="14">
        <f t="shared" si="37"/>
        <v>0.85371037688992113</v>
      </c>
      <c r="BG9" s="22">
        <f t="shared" si="7"/>
        <v>4.9863014394302461</v>
      </c>
      <c r="BH9" s="60">
        <f t="shared" si="8"/>
        <v>268.98630143943024</v>
      </c>
      <c r="BI9" s="60">
        <f ca="1">AVERAGE(OFFSET($BH$3,0,0,'Données projet'!$E$11+1,1))-AVERAGE(OFFSET($H$3,0,0,'Données projet'!$E$11+1,1))</f>
        <v>325.2649384779973</v>
      </c>
      <c r="BJ9" s="60">
        <f t="shared" si="38"/>
        <v>146.70159365068315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4.3888888888888893</v>
      </c>
      <c r="BY9" s="13">
        <f>IF('Données projet'!$A$114&gt;35,BY8+BX9-CG8,IF(A9&lt;'Données projet'!$A$114,$BV$205^A9,IF(A9='Données projet'!$A$114,'Données projet'!$B$114,BY8+BX9-CG8)))</f>
        <v>4.2908404270262066</v>
      </c>
      <c r="BZ9" s="14">
        <f>BY9*VLOOKUP('Données projet'!$B$12,Paramètres!$A$1:$I$89,3,0)*VLOOKUP('Données projet'!$B$12,Paramètres!$A$1:$I$89,5,0)</f>
        <v>1.8965514687455836</v>
      </c>
      <c r="CA9" s="14">
        <f t="shared" si="39"/>
        <v>0.8112628982249882</v>
      </c>
      <c r="CB9" s="22">
        <f t="shared" si="10"/>
        <v>4.7161100224737451</v>
      </c>
      <c r="CC9" s="60">
        <f t="shared" si="11"/>
        <v>268.71611002247374</v>
      </c>
      <c r="CD9" s="60">
        <f ca="1">AVERAGE(OFFSET($CC$3,0,0,'Données projet'!$E$12+1,1))-AVERAGE(OFFSET($H$3,0,0,'Données projet'!$E$12+1,1))</f>
        <v>401.84375324751227</v>
      </c>
      <c r="CE9" s="60">
        <f t="shared" si="40"/>
        <v>350.39368043404164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4.857846153846153</v>
      </c>
      <c r="CT9" s="13">
        <f>IF('Données projet'!$A$140&gt;35,CT8+CS9-DB8,IF(A9&lt;'Données projet'!$A$140,$CQ$205^A9,IF(A9='Données projet'!$A$140,'Données projet'!$B$140,CT8+CS9-DB8)))</f>
        <v>3.164113864325476</v>
      </c>
      <c r="CU9" s="18">
        <f>CT9*VLOOKUP('Données projet'!$B$13,Paramètres!$A$1:$I$89,3,0)*VLOOKUP('Données projet'!$B$13,Paramètres!$A$1:$I$89,5,0)</f>
        <v>1.8921400908666348</v>
      </c>
      <c r="CV9" s="14">
        <f t="shared" si="41"/>
        <v>0.80959532163918713</v>
      </c>
      <c r="CW9" s="22">
        <f t="shared" si="13"/>
        <v>4.7055225101143057</v>
      </c>
      <c r="CX9" s="60">
        <f t="shared" si="14"/>
        <v>268.70552251011429</v>
      </c>
      <c r="CY9" s="60">
        <f ca="1">AVERAGE(OFFSET($CX$3,0,0,'Données projet'!$E$13+1,1))-AVERAGE(OFFSET($H$3,0,0,'Données projet'!$E$13+1,1))</f>
        <v>232.73140429491525</v>
      </c>
      <c r="CZ9" s="60">
        <f t="shared" si="42"/>
        <v>201.02719152328638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1.4957264957264955</v>
      </c>
      <c r="DO9" s="13">
        <f>IF('Données projet'!$A$166&gt;35,DO8+DN9-DW8,IF(A9&lt;'Données projet'!$A$166,$DL$205^A9,IF(A9='Données projet'!$A$166,'Données projet'!$B$166,DO8+DN9-DW8)))</f>
        <v>3.4703827695092544</v>
      </c>
      <c r="DP9" s="18">
        <f>DO9*VLOOKUP('Données projet'!$B$14,Paramètres!$A$1:$I$89,3,0)*VLOOKUP('Données projet'!$B$14,Paramètres!$A$1:$I$89,5,0)</f>
        <v>3.3024162434650068</v>
      </c>
      <c r="DQ9" s="14">
        <f t="shared" si="43"/>
        <v>1.3243166941601268</v>
      </c>
      <c r="DR9" s="22">
        <f t="shared" si="16"/>
        <v>8.0582265330304406</v>
      </c>
      <c r="DS9" s="60">
        <f t="shared" si="17"/>
        <v>272.05822653303045</v>
      </c>
      <c r="DT9" s="60">
        <f ca="1">AVERAGE(OFFSET($DS$3,0,0,'Données projet'!$E$14+1,1))-AVERAGE(OFFSET($H$3,0,0,'Données projet'!$E$14+1,1))</f>
        <v>302.15577364214136</v>
      </c>
      <c r="DU9" s="60">
        <f t="shared" si="44"/>
        <v>197.15142751137051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2.0085470085470085</v>
      </c>
      <c r="EJ9" s="13">
        <f>IF('Données projet'!$A$192&gt;35,EJ8+EI9-ER8,IF(A9&lt;'Données projet'!$A$192,$EG$205^A9,IF(A9='Données projet'!$A$192,'Données projet'!$B$192,EJ8+EI9-ER8)))</f>
        <v>3.9047146677317404</v>
      </c>
      <c r="EK9" s="18">
        <f>EJ9*VLOOKUP('Données projet'!$B$15,Paramètres!$A$1:$I$89,3,0)*VLOOKUP('Données projet'!$B$15,Paramètres!$A$1:$I$89,5,0)</f>
        <v>4.0812077707132151</v>
      </c>
      <c r="EL9" s="14">
        <f t="shared" si="45"/>
        <v>1.5967795593792025</v>
      </c>
      <c r="EM9" s="22">
        <f t="shared" si="19"/>
        <v>9.8891612665776254</v>
      </c>
      <c r="EN9" s="60">
        <f t="shared" si="20"/>
        <v>273.88916126657762</v>
      </c>
      <c r="EO9" s="60">
        <f ca="1">AVERAGE(OFFSET($EN$3,0,0,'Données projet'!$E$15+1,1))-AVERAGE(OFFSET($H$3,0,0,'Données projet'!$E$15+1,1))</f>
        <v>493.70175665335978</v>
      </c>
      <c r="EP9" s="60">
        <f t="shared" si="46"/>
        <v>325.12357781685949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0" t="e">
        <f t="shared" si="23"/>
        <v>#N/A</v>
      </c>
      <c r="FJ9" s="60" t="e">
        <f ca="1">AVERAGE(OFFSET($FI$3,0,0,'Données projet'!$E$16+1,1))-AVERAGE(OFFSET($H$3,0,0,'Données projet'!$E$16+1,1))</f>
        <v>#N/A</v>
      </c>
      <c r="FK9" s="60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0" t="e">
        <f t="shared" si="26"/>
        <v>#N/A</v>
      </c>
      <c r="GE9" s="60" t="e">
        <f ca="1">AVERAGE(OFFSET($GD$3,0,0,'Données projet'!$E$17+1,1))-AVERAGE(OFFSET($H$3,0,0,'Données projet'!$E$17+1,1))</f>
        <v>#N/A</v>
      </c>
      <c r="GF9" s="60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5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8">
        <f t="shared" si="1"/>
        <v>256.66666666666669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7.4312217194570129</v>
      </c>
      <c r="N10" s="14">
        <f>IF('Données projet'!$A$36&gt;35,N9+M10-V9,IF(A10&lt;'Données projet'!$A$36,$K$205^A10,IF(A10='Données projet'!$A$36,'Données projet'!$B$36,N9+M10-V9)))</f>
        <v>7.3337701280605696</v>
      </c>
      <c r="O10" s="14">
        <f>N10*VLOOKUP('Données projet'!$B$9,Paramètres!$A$1:$I$89,3,0)*VLOOKUP('Données projet'!$B$9,Paramètres!$A$1:$I$89,5,0)</f>
        <v>4.3855945365802205</v>
      </c>
      <c r="P10" s="14">
        <f t="shared" si="33"/>
        <v>1.7015645433219191</v>
      </c>
      <c r="Q10" s="22">
        <f t="shared" si="2"/>
        <v>10.601802064162893</v>
      </c>
      <c r="R10" s="60">
        <f t="shared" si="0"/>
        <v>275.82402428638511</v>
      </c>
      <c r="S10" s="60">
        <f ca="1">AVERAGE(OFFSET($R$3,0,0,'Données projet'!$E$9+1,1))-AVERAGE(OFFSET($H$3,0,0,'Données projet'!$E$9+1,1))</f>
        <v>260.02504691866199</v>
      </c>
      <c r="T10" s="60">
        <f t="shared" si="34"/>
        <v>270.11268336406368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2.1</v>
      </c>
      <c r="AI10" s="14">
        <f>IF('Données projet'!$A$62&gt;35,AI9+AH10-AQ9,IF(A10&lt;'Données projet'!$A$62,$AF$205^A10,IF(A10='Données projet'!$A$62,'Données projet'!$B$62,AI9+AH10-AQ9)))</f>
        <v>3.6994507637402658</v>
      </c>
      <c r="AJ10" s="14">
        <f>AI10*VLOOKUP('Données projet'!$B$10,Paramètres!$A$1:$I$89,3,0)*VLOOKUP('Données projet'!$B$10,Paramètres!$A$1:$I$89,5,0)</f>
        <v>3.7512430744326299</v>
      </c>
      <c r="AK10" s="14">
        <f t="shared" si="35"/>
        <v>1.4821538192545303</v>
      </c>
      <c r="AL10" s="22">
        <f t="shared" si="4"/>
        <v>9.1148329231718037</v>
      </c>
      <c r="AM10" s="60">
        <f t="shared" si="5"/>
        <v>274.33705514539406</v>
      </c>
      <c r="AN10" s="60">
        <f ca="1">AVERAGE(OFFSET($AM$3,0,0,'Données projet'!$E$10+1,1))-AVERAGE(OFFSET($H$3,0,0,'Données projet'!$E$10+1,1))</f>
        <v>475.47920969424894</v>
      </c>
      <c r="AO10" s="60">
        <f t="shared" si="36"/>
        <v>271.73544012419364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1.8</v>
      </c>
      <c r="BD10" s="13">
        <f>IF('Données projet'!$A$88&gt;35,BD9+BC10-BL9,IF(A10&lt;'Données projet'!$A$88,$BA$205^A10,IF(A10='Données projet'!$A$88,'Données projet'!$B$88,BD9+BC10-BL9)))</f>
        <v>2.5364436045265957</v>
      </c>
      <c r="BE10" s="14">
        <f>BD10*VLOOKUP('Données projet'!$B$11,Paramètres!$A$1:$I$89,3,0)*VLOOKUP('Données projet'!$B$11,Paramètres!$A$1:$I$89,5,0)</f>
        <v>2.2949741733756639</v>
      </c>
      <c r="BF10" s="14">
        <f t="shared" si="37"/>
        <v>0.96014169825831175</v>
      </c>
      <c r="BG10" s="22">
        <f t="shared" si="7"/>
        <v>5.6693268097625067</v>
      </c>
      <c r="BH10" s="60">
        <f t="shared" si="8"/>
        <v>270.89154903198471</v>
      </c>
      <c r="BI10" s="60">
        <f ca="1">AVERAGE(OFFSET($BH$3,0,0,'Données projet'!$E$11+1,1))-AVERAGE(OFFSET($H$3,0,0,'Données projet'!$E$11+1,1))</f>
        <v>325.2649384779973</v>
      </c>
      <c r="BJ10" s="60">
        <f t="shared" si="38"/>
        <v>146.70159365068315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4.3888888888888893</v>
      </c>
      <c r="BY10" s="13">
        <f>IF('Données projet'!$A$114&gt;35,BY9+BX10-CG9,IF(A10&lt;'Données projet'!$A$114,$BV$205^A10,IF(A10='Données projet'!$A$114,'Données projet'!$B$114,BY9+BX10-CG9)))</f>
        <v>5.469732545254427</v>
      </c>
      <c r="BZ10" s="14">
        <f>BY10*VLOOKUP('Données projet'!$B$12,Paramètres!$A$1:$I$89,3,0)*VLOOKUP('Données projet'!$B$12,Paramètres!$A$1:$I$89,5,0)</f>
        <v>2.4176217850024573</v>
      </c>
      <c r="CA10" s="14">
        <f t="shared" si="39"/>
        <v>1.005342448497216</v>
      </c>
      <c r="CB10" s="22">
        <f t="shared" si="10"/>
        <v>5.9616627066785979</v>
      </c>
      <c r="CC10" s="60">
        <f t="shared" si="11"/>
        <v>271.18388492890085</v>
      </c>
      <c r="CD10" s="60">
        <f ca="1">AVERAGE(OFFSET($CC$3,0,0,'Données projet'!$E$12+1,1))-AVERAGE(OFFSET($H$3,0,0,'Données projet'!$E$12+1,1))</f>
        <v>401.84375324751227</v>
      </c>
      <c r="CE10" s="60">
        <f t="shared" si="40"/>
        <v>350.39368043404164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4.857846153846153</v>
      </c>
      <c r="CT10" s="13">
        <f>IF('Données projet'!$A$140&gt;35,CT9+CS10-DB9,IF(A10&lt;'Données projet'!$A$140,$CQ$205^A10,IF(A10='Données projet'!$A$140,'Données projet'!$B$140,CT9+CS10-DB9)))</f>
        <v>3.8337823559333288</v>
      </c>
      <c r="CU10" s="18">
        <f>CT10*VLOOKUP('Données projet'!$B$13,Paramètres!$A$1:$I$89,3,0)*VLOOKUP('Données projet'!$B$13,Paramètres!$A$1:$I$89,5,0)</f>
        <v>2.2926018488481308</v>
      </c>
      <c r="CV10" s="14">
        <f t="shared" si="41"/>
        <v>0.95926467023175421</v>
      </c>
      <c r="CW10" s="22">
        <f t="shared" si="13"/>
        <v>5.6636675207308</v>
      </c>
      <c r="CX10" s="60">
        <f t="shared" si="14"/>
        <v>270.88588974295305</v>
      </c>
      <c r="CY10" s="60">
        <f ca="1">AVERAGE(OFFSET($CX$3,0,0,'Données projet'!$E$13+1,1))-AVERAGE(OFFSET($H$3,0,0,'Données projet'!$E$13+1,1))</f>
        <v>232.73140429491525</v>
      </c>
      <c r="CZ10" s="60">
        <f t="shared" si="42"/>
        <v>201.02719152328638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1.4957264957264955</v>
      </c>
      <c r="DO10" s="13">
        <f>IF('Données projet'!$A$166&gt;35,DO9+DN10-DW9,IF(A10&lt;'Données projet'!$A$166,$DL$205^A10,IF(A10='Données projet'!$A$166,'Données projet'!$B$166,DO9+DN10-DW9)))</f>
        <v>4.2701219167843023</v>
      </c>
      <c r="DP10" s="18">
        <f>DO10*VLOOKUP('Données projet'!$B$14,Paramètres!$A$1:$I$89,3,0)*VLOOKUP('Données projet'!$B$14,Paramètres!$A$1:$I$89,5,0)</f>
        <v>4.0634480160119422</v>
      </c>
      <c r="DQ10" s="14">
        <f t="shared" si="43"/>
        <v>1.5906382767449083</v>
      </c>
      <c r="DR10" s="22">
        <f t="shared" si="16"/>
        <v>9.847533626551515</v>
      </c>
      <c r="DS10" s="60">
        <f t="shared" si="17"/>
        <v>275.06975584877375</v>
      </c>
      <c r="DT10" s="60">
        <f ca="1">AVERAGE(OFFSET($DS$3,0,0,'Données projet'!$E$14+1,1))-AVERAGE(OFFSET($H$3,0,0,'Données projet'!$E$14+1,1))</f>
        <v>302.15577364214136</v>
      </c>
      <c r="DU10" s="60">
        <f t="shared" si="44"/>
        <v>197.15142751137051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2.0085470085470085</v>
      </c>
      <c r="EJ10" s="13">
        <f>IF('Données projet'!$A$192&gt;35,EJ9+EI10-ER9,IF(A10&lt;'Données projet'!$A$192,$EG$205^A10,IF(A10='Données projet'!$A$192,'Données projet'!$B$192,EJ9+EI10-ER9)))</f>
        <v>4.899903433839456</v>
      </c>
      <c r="EK10" s="18">
        <f>EJ10*VLOOKUP('Données projet'!$B$15,Paramètres!$A$1:$I$89,3,0)*VLOOKUP('Données projet'!$B$15,Paramètres!$A$1:$I$89,5,0)</f>
        <v>5.1213790690489995</v>
      </c>
      <c r="EL10" s="14">
        <f t="shared" si="45"/>
        <v>1.9514900860374758</v>
      </c>
      <c r="EM10" s="22">
        <f t="shared" si="19"/>
        <v>12.318580445108942</v>
      </c>
      <c r="EN10" s="60">
        <f t="shared" si="20"/>
        <v>277.54080266733115</v>
      </c>
      <c r="EO10" s="60">
        <f ca="1">AVERAGE(OFFSET($EN$3,0,0,'Données projet'!$E$15+1,1))-AVERAGE(OFFSET($H$3,0,0,'Données projet'!$E$15+1,1))</f>
        <v>493.70175665335978</v>
      </c>
      <c r="EP10" s="60">
        <f t="shared" si="46"/>
        <v>325.12357781685949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0" t="e">
        <f t="shared" si="23"/>
        <v>#N/A</v>
      </c>
      <c r="FJ10" s="60" t="e">
        <f ca="1">AVERAGE(OFFSET($FI$3,0,0,'Données projet'!$E$16+1,1))-AVERAGE(OFFSET($H$3,0,0,'Données projet'!$E$16+1,1))</f>
        <v>#N/A</v>
      </c>
      <c r="FK10" s="60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0" t="e">
        <f t="shared" si="26"/>
        <v>#N/A</v>
      </c>
      <c r="GE10" s="60" t="e">
        <f ca="1">AVERAGE(OFFSET($GD$3,0,0,'Données projet'!$E$17+1,1))-AVERAGE(OFFSET($H$3,0,0,'Données projet'!$E$17+1,1))</f>
        <v>#N/A</v>
      </c>
      <c r="GF10" s="60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5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8">
        <f t="shared" si="1"/>
        <v>256.66666666666669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7.4312217194570129</v>
      </c>
      <c r="N11" s="14">
        <f>IF('Données projet'!$A$36&gt;35,N10+M11-V10,IF(A11&lt;'Données projet'!$A$36,$K$205^A11,IF(A11='Données projet'!$A$36,'Données projet'!$B$36,N10+M11-V10)))</f>
        <v>9.748672435120179</v>
      </c>
      <c r="O11" s="14">
        <f>N11*VLOOKUP('Données projet'!$B$9,Paramètres!$A$1:$I$89,3,0)*VLOOKUP('Données projet'!$B$9,Paramètres!$A$1:$I$89,5,0)</f>
        <v>5.8297061162018684</v>
      </c>
      <c r="P11" s="14">
        <f t="shared" si="33"/>
        <v>2.1881518405377438</v>
      </c>
      <c r="Q11" s="22">
        <f t="shared" si="2"/>
        <v>13.96443594132149</v>
      </c>
      <c r="R11" s="60">
        <f t="shared" si="0"/>
        <v>280.40888038576594</v>
      </c>
      <c r="S11" s="60">
        <f ca="1">AVERAGE(OFFSET($R$3,0,0,'Données projet'!$E$9+1,1))-AVERAGE(OFFSET($H$3,0,0,'Données projet'!$E$9+1,1))</f>
        <v>260.02504691866199</v>
      </c>
      <c r="T11" s="60">
        <f t="shared" si="34"/>
        <v>270.11268336406368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2.1</v>
      </c>
      <c r="AI11" s="14">
        <f>IF('Données projet'!$A$62&gt;35,AI10+AH11-AQ10,IF(A11&lt;'Données projet'!$A$62,$AF$205^A11,IF(A11='Données projet'!$A$62,'Données projet'!$B$62,AI10+AH11-AQ10)))</f>
        <v>4.4596391171162209</v>
      </c>
      <c r="AJ11" s="14">
        <f>AI11*VLOOKUP('Données projet'!$B$10,Paramètres!$A$1:$I$89,3,0)*VLOOKUP('Données projet'!$B$10,Paramètres!$A$1:$I$89,5,0)</f>
        <v>4.5220740647558486</v>
      </c>
      <c r="AK11" s="14">
        <f t="shared" si="35"/>
        <v>1.7482697016499746</v>
      </c>
      <c r="AL11" s="22">
        <f t="shared" si="4"/>
        <v>10.92084872649014</v>
      </c>
      <c r="AM11" s="60">
        <f t="shared" si="5"/>
        <v>277.36529317093459</v>
      </c>
      <c r="AN11" s="60">
        <f ca="1">AVERAGE(OFFSET($AM$3,0,0,'Données projet'!$E$10+1,1))-AVERAGE(OFFSET($H$3,0,0,'Données projet'!$E$10+1,1))</f>
        <v>475.47920969424894</v>
      </c>
      <c r="AO11" s="60">
        <f t="shared" si="36"/>
        <v>271.73544012419364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1.8</v>
      </c>
      <c r="BD11" s="13">
        <f>IF('Données projet'!$A$88&gt;35,BD10+BC11-BL10,IF(A11&lt;'Données projet'!$A$88,$BA$205^A11,IF(A11='Données projet'!$A$88,'Données projet'!$B$88,BD10+BC11-BL10)))</f>
        <v>2.8971545889036499</v>
      </c>
      <c r="BE11" s="14">
        <f>BD11*VLOOKUP('Données projet'!$B$11,Paramètres!$A$1:$I$89,3,0)*VLOOKUP('Données projet'!$B$11,Paramètres!$A$1:$I$89,5,0)</f>
        <v>2.621345472040022</v>
      </c>
      <c r="BF11" s="14">
        <f t="shared" si="37"/>
        <v>1.0798417187954861</v>
      </c>
      <c r="BG11" s="22">
        <f t="shared" si="7"/>
        <v>6.4462343573718428</v>
      </c>
      <c r="BH11" s="60">
        <f t="shared" si="8"/>
        <v>272.89067880181631</v>
      </c>
      <c r="BI11" s="60">
        <f ca="1">AVERAGE(OFFSET($BH$3,0,0,'Données projet'!$E$11+1,1))-AVERAGE(OFFSET($H$3,0,0,'Données projet'!$E$11+1,1))</f>
        <v>325.2649384779973</v>
      </c>
      <c r="BJ11" s="60">
        <f t="shared" si="38"/>
        <v>146.70159365068315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4.3888888888888893</v>
      </c>
      <c r="BY11" s="13">
        <f>IF('Données projet'!$A$114&gt;35,BY10+BX11-CG10,IF(A11&lt;'Données projet'!$A$114,$BV$205^A11,IF(A11='Données projet'!$A$114,'Données projet'!$B$114,BY10+BX11-CG10)))</f>
        <v>6.9725207975982242</v>
      </c>
      <c r="BZ11" s="14">
        <f>BY11*VLOOKUP('Données projet'!$B$12,Paramètres!$A$1:$I$89,3,0)*VLOOKUP('Données projet'!$B$12,Paramètres!$A$1:$I$89,5,0)</f>
        <v>3.0818541925384157</v>
      </c>
      <c r="CA11" s="14">
        <f t="shared" si="39"/>
        <v>1.2458519192259123</v>
      </c>
      <c r="CB11" s="22">
        <f t="shared" si="10"/>
        <v>7.5374214779895388</v>
      </c>
      <c r="CC11" s="60">
        <f t="shared" si="11"/>
        <v>273.981865922434</v>
      </c>
      <c r="CD11" s="60">
        <f ca="1">AVERAGE(OFFSET($CC$3,0,0,'Données projet'!$E$12+1,1))-AVERAGE(OFFSET($H$3,0,0,'Données projet'!$E$12+1,1))</f>
        <v>401.84375324751227</v>
      </c>
      <c r="CE11" s="60">
        <f t="shared" si="40"/>
        <v>350.39368043404164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4.857846153846153</v>
      </c>
      <c r="CT11" s="13">
        <f>IF('Données projet'!$A$140&gt;35,CT10+CS11-DB10,IF(A11&lt;'Données projet'!$A$140,$CQ$205^A11,IF(A11='Données projet'!$A$140,'Données projet'!$B$140,CT10+CS11-DB10)))</f>
        <v>4.6451827534970818</v>
      </c>
      <c r="CU11" s="18">
        <f>CT11*VLOOKUP('Données projet'!$B$13,Paramètres!$A$1:$I$89,3,0)*VLOOKUP('Données projet'!$B$13,Paramètres!$A$1:$I$89,5,0)</f>
        <v>2.7778192865912552</v>
      </c>
      <c r="CV11" s="14">
        <f t="shared" si="41"/>
        <v>1.136603291743004</v>
      </c>
      <c r="CW11" s="22">
        <f t="shared" si="13"/>
        <v>6.8176193239321679</v>
      </c>
      <c r="CX11" s="60">
        <f t="shared" si="14"/>
        <v>273.26206376837661</v>
      </c>
      <c r="CY11" s="60">
        <f ca="1">AVERAGE(OFFSET($CX$3,0,0,'Données projet'!$E$13+1,1))-AVERAGE(OFFSET($H$3,0,0,'Données projet'!$E$13+1,1))</f>
        <v>232.73140429491525</v>
      </c>
      <c r="CZ11" s="60">
        <f t="shared" si="42"/>
        <v>201.02719152328638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1.4957264957264955</v>
      </c>
      <c r="DO11" s="13">
        <f>IF('Données projet'!$A$166&gt;35,DO10+DN11-DW10,IF(A11&lt;'Données projet'!$A$166,$DL$205^A11,IF(A11='Données projet'!$A$166,'Données projet'!$B$166,DO10+DN11-DW10)))</f>
        <v>5.2541585165777258</v>
      </c>
      <c r="DP11" s="18">
        <f>DO11*VLOOKUP('Données projet'!$B$14,Paramètres!$A$1:$I$89,3,0)*VLOOKUP('Données projet'!$B$14,Paramètres!$A$1:$I$89,5,0)</f>
        <v>4.9998572443753639</v>
      </c>
      <c r="DQ11" s="14">
        <f t="shared" si="43"/>
        <v>1.9105174303119428</v>
      </c>
      <c r="DR11" s="22">
        <f t="shared" si="16"/>
        <v>12.035569225080392</v>
      </c>
      <c r="DS11" s="60">
        <f t="shared" si="17"/>
        <v>278.48001366952485</v>
      </c>
      <c r="DT11" s="60">
        <f ca="1">AVERAGE(OFFSET($DS$3,0,0,'Données projet'!$E$14+1,1))-AVERAGE(OFFSET($H$3,0,0,'Données projet'!$E$14+1,1))</f>
        <v>302.15577364214136</v>
      </c>
      <c r="DU11" s="60">
        <f t="shared" si="44"/>
        <v>197.15142751137051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2.0085470085470085</v>
      </c>
      <c r="EJ11" s="13">
        <f>IF('Données projet'!$A$192&gt;35,EJ10+EI11-ER10,IF(A11&lt;'Données projet'!$A$192,$EG$205^A11,IF(A11='Données projet'!$A$192,'Données projet'!$B$192,EJ10+EI11-ER10)))</f>
        <v>6.1487344669152542</v>
      </c>
      <c r="EK11" s="18">
        <f>EJ11*VLOOKUP('Données projet'!$B$15,Paramètres!$A$1:$I$89,3,0)*VLOOKUP('Données projet'!$B$15,Paramètres!$A$1:$I$89,5,0)</f>
        <v>6.4266572648198244</v>
      </c>
      <c r="EL11" s="14">
        <f t="shared" si="45"/>
        <v>2.3849964345630501</v>
      </c>
      <c r="EM11" s="22">
        <f t="shared" si="19"/>
        <v>15.346963526425172</v>
      </c>
      <c r="EN11" s="60">
        <f t="shared" si="20"/>
        <v>281.79140797086961</v>
      </c>
      <c r="EO11" s="60">
        <f ca="1">AVERAGE(OFFSET($EN$3,0,0,'Données projet'!$E$15+1,1))-AVERAGE(OFFSET($H$3,0,0,'Données projet'!$E$15+1,1))</f>
        <v>493.70175665335978</v>
      </c>
      <c r="EP11" s="60">
        <f t="shared" si="46"/>
        <v>325.12357781685949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0" t="e">
        <f t="shared" si="23"/>
        <v>#N/A</v>
      </c>
      <c r="FJ11" s="60" t="e">
        <f ca="1">AVERAGE(OFFSET($FI$3,0,0,'Données projet'!$E$16+1,1))-AVERAGE(OFFSET($H$3,0,0,'Données projet'!$E$16+1,1))</f>
        <v>#N/A</v>
      </c>
      <c r="FK11" s="60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0" t="e">
        <f t="shared" si="26"/>
        <v>#N/A</v>
      </c>
      <c r="GE11" s="60" t="e">
        <f ca="1">AVERAGE(OFFSET($GD$3,0,0,'Données projet'!$E$17+1,1))-AVERAGE(OFFSET($H$3,0,0,'Données projet'!$E$17+1,1))</f>
        <v>#N/A</v>
      </c>
      <c r="GF11" s="60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5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8">
        <f t="shared" si="1"/>
        <v>256.66666666666669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7.4312217194570129</v>
      </c>
      <c r="N12" s="14">
        <f>IF('Données projet'!$A$36&gt;35,N11+M12-V11,IF(A12&lt;'Données projet'!$A$36,$K$205^A12,IF(A12='Données projet'!$A$36,'Données projet'!$B$36,N11+M12-V11)))</f>
        <v>12.958766444511483</v>
      </c>
      <c r="O12" s="14">
        <f>N12*VLOOKUP('Données projet'!$B$9,Paramètres!$A$1:$I$89,3,0)*VLOOKUP('Données projet'!$B$9,Paramètres!$A$1:$I$89,5,0)</f>
        <v>7.7493423338178671</v>
      </c>
      <c r="P12" s="14">
        <f t="shared" si="33"/>
        <v>2.8138859005026107</v>
      </c>
      <c r="Q12" s="22">
        <f t="shared" si="2"/>
        <v>18.397622508108167</v>
      </c>
      <c r="R12" s="60">
        <f t="shared" si="0"/>
        <v>286.06428917477484</v>
      </c>
      <c r="S12" s="60">
        <f ca="1">AVERAGE(OFFSET($R$3,0,0,'Données projet'!$E$9+1,1))-AVERAGE(OFFSET($H$3,0,0,'Données projet'!$E$9+1,1))</f>
        <v>260.02504691866199</v>
      </c>
      <c r="T12" s="60">
        <f t="shared" si="34"/>
        <v>270.11268336406368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2.1</v>
      </c>
      <c r="AI12" s="14">
        <f>IF('Données projet'!$A$62&gt;35,AI11+AH12-AQ11,IF(A12&lt;'Données projet'!$A$62,$AF$205^A12,IF(A12='Données projet'!$A$62,'Données projet'!$B$62,AI11+AH12-AQ11)))</f>
        <v>5.3760361537574148</v>
      </c>
      <c r="AJ12" s="14">
        <f>AI12*VLOOKUP('Données projet'!$B$10,Paramètres!$A$1:$I$89,3,0)*VLOOKUP('Données projet'!$B$10,Paramètres!$A$1:$I$89,5,0)</f>
        <v>5.4513006599100189</v>
      </c>
      <c r="AK12" s="14">
        <f t="shared" si="35"/>
        <v>2.062165822468125</v>
      </c>
      <c r="AL12" s="22">
        <f t="shared" si="4"/>
        <v>13.085954123475267</v>
      </c>
      <c r="AM12" s="60">
        <f t="shared" si="5"/>
        <v>280.75262079014198</v>
      </c>
      <c r="AN12" s="60">
        <f ca="1">AVERAGE(OFFSET($AM$3,0,0,'Données projet'!$E$10+1,1))-AVERAGE(OFFSET($H$3,0,0,'Données projet'!$E$10+1,1))</f>
        <v>475.47920969424894</v>
      </c>
      <c r="AO12" s="60">
        <f t="shared" si="36"/>
        <v>271.73544012419364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1.8</v>
      </c>
      <c r="BD12" s="13">
        <f>IF('Données projet'!$A$88&gt;35,BD11+BC12-BL11,IF(A12&lt;'Données projet'!$A$88,$BA$205^A12,IF(A12='Données projet'!$A$88,'Données projet'!$B$88,BD11+BC12-BL11)))</f>
        <v>3.3091627572662112</v>
      </c>
      <c r="BE12" s="14">
        <f>BD12*VLOOKUP('Données projet'!$B$11,Paramètres!$A$1:$I$89,3,0)*VLOOKUP('Données projet'!$B$11,Paramètres!$A$1:$I$89,5,0)</f>
        <v>2.9941304627744678</v>
      </c>
      <c r="BF12" s="14">
        <f t="shared" si="37"/>
        <v>1.2144646355495323</v>
      </c>
      <c r="BG12" s="22">
        <f t="shared" si="7"/>
        <v>7.3299697962476342</v>
      </c>
      <c r="BH12" s="60">
        <f t="shared" si="8"/>
        <v>274.9966364629143</v>
      </c>
      <c r="BI12" s="60">
        <f ca="1">AVERAGE(OFFSET($BH$3,0,0,'Données projet'!$E$11+1,1))-AVERAGE(OFFSET($H$3,0,0,'Données projet'!$E$11+1,1))</f>
        <v>325.2649384779973</v>
      </c>
      <c r="BJ12" s="60">
        <f t="shared" si="38"/>
        <v>146.70159365068315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4.3888888888888893</v>
      </c>
      <c r="BY12" s="13">
        <f>IF('Données projet'!$A$114&gt;35,BY11+BX12-CG11,IF(A12&lt;'Données projet'!$A$114,$BV$205^A12,IF(A12='Données projet'!$A$114,'Données projet'!$B$114,BY11+BX12-CG11)))</f>
        <v>8.8881944173155869</v>
      </c>
      <c r="BZ12" s="14">
        <f>BY12*VLOOKUP('Données projet'!$B$12,Paramètres!$A$1:$I$89,3,0)*VLOOKUP('Données projet'!$B$12,Paramètres!$A$1:$I$89,5,0)</f>
        <v>3.9285819324534894</v>
      </c>
      <c r="CA12" s="14">
        <f t="shared" si="39"/>
        <v>1.543898804789388</v>
      </c>
      <c r="CB12" s="22">
        <f t="shared" si="10"/>
        <v>9.5312372840313433</v>
      </c>
      <c r="CC12" s="60">
        <f t="shared" si="11"/>
        <v>277.19790395069805</v>
      </c>
      <c r="CD12" s="60">
        <f ca="1">AVERAGE(OFFSET($CC$3,0,0,'Données projet'!$E$12+1,1))-AVERAGE(OFFSET($H$3,0,0,'Données projet'!$E$12+1,1))</f>
        <v>401.84375324751227</v>
      </c>
      <c r="CE12" s="60">
        <f t="shared" si="40"/>
        <v>350.39368043404164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4.857846153846153</v>
      </c>
      <c r="CT12" s="13">
        <f>IF('Données projet'!$A$140&gt;35,CT11+CS12-DB11,IF(A12&lt;'Données projet'!$A$140,$CQ$205^A12,IF(A12='Données projet'!$A$140,'Données projet'!$B$140,CT11+CS12-DB11)))</f>
        <v>5.628311888908379</v>
      </c>
      <c r="CU12" s="18">
        <f>CT12*VLOOKUP('Données projet'!$B$13,Paramètres!$A$1:$I$89,3,0)*VLOOKUP('Données projet'!$B$13,Paramètres!$A$1:$I$89,5,0)</f>
        <v>3.3657305095672108</v>
      </c>
      <c r="CV12" s="14">
        <f t="shared" si="41"/>
        <v>1.3467263862526309</v>
      </c>
      <c r="CW12" s="22">
        <f t="shared" si="13"/>
        <v>8.2075290935528908</v>
      </c>
      <c r="CX12" s="60">
        <f t="shared" si="14"/>
        <v>275.87419576021955</v>
      </c>
      <c r="CY12" s="60">
        <f ca="1">AVERAGE(OFFSET($CX$3,0,0,'Données projet'!$E$13+1,1))-AVERAGE(OFFSET($H$3,0,0,'Données projet'!$E$13+1,1))</f>
        <v>232.73140429491525</v>
      </c>
      <c r="CZ12" s="60">
        <f t="shared" si="42"/>
        <v>201.02719152328638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1.4957264957264955</v>
      </c>
      <c r="DO12" s="13">
        <f>IF('Données projet'!$A$166&gt;35,DO11+DN12-DW11,IF(A12&lt;'Données projet'!$A$166,$DL$205^A12,IF(A12='Données projet'!$A$166,'Données projet'!$B$166,DO11+DN12-DW11)))</f>
        <v>6.4649633559211388</v>
      </c>
      <c r="DP12" s="18">
        <f>DO12*VLOOKUP('Données projet'!$B$14,Paramètres!$A$1:$I$89,3,0)*VLOOKUP('Données projet'!$B$14,Paramètres!$A$1:$I$89,5,0)</f>
        <v>6.1520591294945559</v>
      </c>
      <c r="DQ12" s="14">
        <f t="shared" si="43"/>
        <v>2.2947246428617869</v>
      </c>
      <c r="DR12" s="22">
        <f t="shared" si="16"/>
        <v>14.711481736853962</v>
      </c>
      <c r="DS12" s="60">
        <f t="shared" si="17"/>
        <v>282.37814840352064</v>
      </c>
      <c r="DT12" s="60">
        <f ca="1">AVERAGE(OFFSET($DS$3,0,0,'Données projet'!$E$14+1,1))-AVERAGE(OFFSET($H$3,0,0,'Données projet'!$E$14+1,1))</f>
        <v>302.15577364214136</v>
      </c>
      <c r="DU12" s="60">
        <f t="shared" si="44"/>
        <v>197.15142751137051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2.0085470085470085</v>
      </c>
      <c r="EJ12" s="13">
        <f>IF('Données projet'!$A$192&gt;35,EJ11+EI12-ER11,IF(A12&lt;'Données projet'!$A$192,$EG$205^A12,IF(A12='Données projet'!$A$192,'Données projet'!$B$192,EJ11+EI12-ER11)))</f>
        <v>7.715853190806035</v>
      </c>
      <c r="EK12" s="18">
        <f>EJ12*VLOOKUP('Données projet'!$B$15,Paramètres!$A$1:$I$89,3,0)*VLOOKUP('Données projet'!$B$15,Paramètres!$A$1:$I$89,5,0)</f>
        <v>8.0646097550304692</v>
      </c>
      <c r="EL12" s="14">
        <f t="shared" si="45"/>
        <v>2.9148024033411493</v>
      </c>
      <c r="EM12" s="22">
        <f t="shared" si="19"/>
        <v>19.122476175830567</v>
      </c>
      <c r="EN12" s="60">
        <f t="shared" si="20"/>
        <v>286.78914284249726</v>
      </c>
      <c r="EO12" s="60">
        <f ca="1">AVERAGE(OFFSET($EN$3,0,0,'Données projet'!$E$15+1,1))-AVERAGE(OFFSET($H$3,0,0,'Données projet'!$E$15+1,1))</f>
        <v>493.70175665335978</v>
      </c>
      <c r="EP12" s="60">
        <f t="shared" si="46"/>
        <v>325.12357781685949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0" t="e">
        <f t="shared" si="23"/>
        <v>#N/A</v>
      </c>
      <c r="FJ12" s="60" t="e">
        <f ca="1">AVERAGE(OFFSET($FI$3,0,0,'Données projet'!$E$16+1,1))-AVERAGE(OFFSET($H$3,0,0,'Données projet'!$E$16+1,1))</f>
        <v>#N/A</v>
      </c>
      <c r="FK12" s="60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0" t="e">
        <f t="shared" si="26"/>
        <v>#N/A</v>
      </c>
      <c r="GE12" s="60" t="e">
        <f ca="1">AVERAGE(OFFSET($GD$3,0,0,'Données projet'!$E$17+1,1))-AVERAGE(OFFSET($H$3,0,0,'Données projet'!$E$17+1,1))</f>
        <v>#N/A</v>
      </c>
      <c r="GF12" s="60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5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8">
        <f t="shared" si="1"/>
        <v>256.66666666666669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7.4312217194570129</v>
      </c>
      <c r="N13" s="14">
        <f>IF('Données projet'!$A$36&gt;35,N12+M13-V12,IF(A13&lt;'Données projet'!$A$36,$K$205^A13,IF(A13='Données projet'!$A$36,'Données projet'!$B$36,N12+M13-V12)))</f>
        <v>17.225897052240693</v>
      </c>
      <c r="O13" s="14">
        <f>N13*VLOOKUP('Données projet'!$B$9,Paramètres!$A$1:$I$89,3,0)*VLOOKUP('Données projet'!$B$9,Paramètres!$A$1:$I$89,5,0)</f>
        <v>10.301086437239935</v>
      </c>
      <c r="P13" s="14">
        <f t="shared" si="33"/>
        <v>3.6185577775542006</v>
      </c>
      <c r="Q13" s="22">
        <f t="shared" si="2"/>
        <v>24.243380340766453</v>
      </c>
      <c r="R13" s="60">
        <f t="shared" si="0"/>
        <v>293.13226922965532</v>
      </c>
      <c r="S13" s="60">
        <f ca="1">AVERAGE(OFFSET($R$3,0,0,'Données projet'!$E$9+1,1))-AVERAGE(OFFSET($H$3,0,0,'Données projet'!$E$9+1,1))</f>
        <v>260.02504691866199</v>
      </c>
      <c r="T13" s="60">
        <f t="shared" si="34"/>
        <v>270.11268336406368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2.1</v>
      </c>
      <c r="AI13" s="14">
        <f>IF('Données projet'!$A$62&gt;35,AI12+AH13-AQ12,IF(A13&lt;'Données projet'!$A$62,$AF$205^A13,IF(A13='Données projet'!$A$62,'Données projet'!$B$62,AI12+AH13-AQ12)))</f>
        <v>6.4807406984078657</v>
      </c>
      <c r="AJ13" s="14">
        <f>AI13*VLOOKUP('Données projet'!$B$10,Paramètres!$A$1:$I$89,3,0)*VLOOKUP('Données projet'!$B$10,Paramètres!$A$1:$I$89,5,0)</f>
        <v>6.5714710681855761</v>
      </c>
      <c r="AK13" s="14">
        <f t="shared" si="35"/>
        <v>2.4324209676242781</v>
      </c>
      <c r="AL13" s="22">
        <f t="shared" si="4"/>
        <v>15.681778629035497</v>
      </c>
      <c r="AM13" s="60">
        <f t="shared" si="5"/>
        <v>284.57066751792433</v>
      </c>
      <c r="AN13" s="60">
        <f ca="1">AVERAGE(OFFSET($AM$3,0,0,'Données projet'!$E$10+1,1))-AVERAGE(OFFSET($H$3,0,0,'Données projet'!$E$10+1,1))</f>
        <v>475.47920969424894</v>
      </c>
      <c r="AO13" s="60">
        <f t="shared" si="36"/>
        <v>271.73544012419364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1.8</v>
      </c>
      <c r="BD13" s="13">
        <f>IF('Données projet'!$A$88&gt;35,BD12+BC13-BL12,IF(A13&lt;'Données projet'!$A$88,$BA$205^A13,IF(A13='Données projet'!$A$88,'Données projet'!$B$88,BD12+BC13-BL12)))</f>
        <v>3.7797631496846216</v>
      </c>
      <c r="BE13" s="14">
        <f>BD13*VLOOKUP('Données projet'!$B$11,Paramètres!$A$1:$I$89,3,0)*VLOOKUP('Données projet'!$B$11,Paramètres!$A$1:$I$89,5,0)</f>
        <v>3.4199296978346454</v>
      </c>
      <c r="BF13" s="14">
        <f t="shared" si="37"/>
        <v>1.3658708728587274</v>
      </c>
      <c r="BG13" s="22">
        <f t="shared" si="7"/>
        <v>8.3352693272909573</v>
      </c>
      <c r="BH13" s="60">
        <f t="shared" si="8"/>
        <v>277.22415821617983</v>
      </c>
      <c r="BI13" s="60">
        <f ca="1">AVERAGE(OFFSET($BH$3,0,0,'Données projet'!$E$11+1,1))-AVERAGE(OFFSET($H$3,0,0,'Données projet'!$E$11+1,1))</f>
        <v>325.2649384779973</v>
      </c>
      <c r="BJ13" s="60">
        <f t="shared" si="38"/>
        <v>146.70159365068315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4.3888888888888893</v>
      </c>
      <c r="BY13" s="13">
        <f>IF('Données projet'!$A$114&gt;35,BY12+BX13-CG12,IF(A13&lt;'Données projet'!$A$114,$BV$205^A13,IF(A13='Données projet'!$A$114,'Données projet'!$B$114,BY12+BX13-CG12)))</f>
        <v>11.33019209167688</v>
      </c>
      <c r="BZ13" s="14">
        <f>BY13*VLOOKUP('Données projet'!$B$12,Paramètres!$A$1:$I$89,3,0)*VLOOKUP('Données projet'!$B$12,Paramètres!$A$1:$I$89,5,0)</f>
        <v>5.0079449045211817</v>
      </c>
      <c r="CA13" s="14">
        <f t="shared" si="39"/>
        <v>1.9132478608783006</v>
      </c>
      <c r="CB13" s="22">
        <f t="shared" si="10"/>
        <v>12.054410733070766</v>
      </c>
      <c r="CC13" s="60">
        <f t="shared" si="11"/>
        <v>280.94329962195962</v>
      </c>
      <c r="CD13" s="60">
        <f ca="1">AVERAGE(OFFSET($CC$3,0,0,'Données projet'!$E$12+1,1))-AVERAGE(OFFSET($H$3,0,0,'Données projet'!$E$12+1,1))</f>
        <v>401.84375324751227</v>
      </c>
      <c r="CE13" s="60">
        <f t="shared" si="40"/>
        <v>350.39368043404164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4.857846153846153</v>
      </c>
      <c r="CT13" s="13">
        <f>IF('Données projet'!$A$140&gt;35,CT12+CS13-DB12,IF(A13&lt;'Données projet'!$A$140,$CQ$205^A13,IF(A13='Données projet'!$A$140,'Données projet'!$B$140,CT12+CS13-DB12)))</f>
        <v>6.8195152698737207</v>
      </c>
      <c r="CU13" s="18">
        <f>CT13*VLOOKUP('Données projet'!$B$13,Paramètres!$A$1:$I$89,3,0)*VLOOKUP('Données projet'!$B$13,Paramètres!$A$1:$I$89,5,0)</f>
        <v>4.0780701313844849</v>
      </c>
      <c r="CV13" s="14">
        <f t="shared" si="41"/>
        <v>1.5956947974765834</v>
      </c>
      <c r="CW13" s="22">
        <f t="shared" si="13"/>
        <v>9.8818072510996942</v>
      </c>
      <c r="CX13" s="60">
        <f t="shared" si="14"/>
        <v>278.77069613998856</v>
      </c>
      <c r="CY13" s="60">
        <f ca="1">AVERAGE(OFFSET($CX$3,0,0,'Données projet'!$E$13+1,1))-AVERAGE(OFFSET($H$3,0,0,'Données projet'!$E$13+1,1))</f>
        <v>232.73140429491525</v>
      </c>
      <c r="CZ13" s="60">
        <f t="shared" si="42"/>
        <v>201.02719152328638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1.4957264957264955</v>
      </c>
      <c r="DO13" s="13">
        <f>IF('Données projet'!$A$166&gt;35,DO12+DN13-DW12,IF(A13&lt;'Données projet'!$A$166,$DL$205^A13,IF(A13='Données projet'!$A$166,'Données projet'!$B$166,DO12+DN13-DW12)))</f>
        <v>7.9547944854596055</v>
      </c>
      <c r="DP13" s="18">
        <f>DO13*VLOOKUP('Données projet'!$B$14,Paramètres!$A$1:$I$89,3,0)*VLOOKUP('Données projet'!$B$14,Paramètres!$A$1:$I$89,5,0)</f>
        <v>7.5697824323633602</v>
      </c>
      <c r="DQ13" s="14">
        <f t="shared" si="43"/>
        <v>2.7561963596937087</v>
      </c>
      <c r="DR13" s="22">
        <f t="shared" si="16"/>
        <v>17.984413062832726</v>
      </c>
      <c r="DS13" s="60">
        <f t="shared" si="17"/>
        <v>286.8733019517216</v>
      </c>
      <c r="DT13" s="60">
        <f ca="1">AVERAGE(OFFSET($DS$3,0,0,'Données projet'!$E$14+1,1))-AVERAGE(OFFSET($H$3,0,0,'Données projet'!$E$14+1,1))</f>
        <v>302.15577364214136</v>
      </c>
      <c r="DU13" s="60">
        <f t="shared" si="44"/>
        <v>197.15142751137051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2.0085470085470085</v>
      </c>
      <c r="EJ13" s="13">
        <f>IF('Données projet'!$A$192&gt;35,EJ12+EI13-ER12,IF(A13&lt;'Données projet'!$A$192,$EG$205^A13,IF(A13='Données projet'!$A$192,'Données projet'!$B$192,EJ12+EI13-ER12)))</f>
        <v>9.6823811114971363</v>
      </c>
      <c r="EK13" s="18">
        <f>EJ13*VLOOKUP('Données projet'!$B$15,Paramètres!$A$1:$I$89,3,0)*VLOOKUP('Données projet'!$B$15,Paramètres!$A$1:$I$89,5,0)</f>
        <v>10.120024737736808</v>
      </c>
      <c r="EL13" s="14">
        <f t="shared" si="45"/>
        <v>3.5623001055261061</v>
      </c>
      <c r="EM13" s="22">
        <f t="shared" si="19"/>
        <v>23.830049102016243</v>
      </c>
      <c r="EN13" s="60">
        <f t="shared" si="20"/>
        <v>292.71893799090509</v>
      </c>
      <c r="EO13" s="60">
        <f ca="1">AVERAGE(OFFSET($EN$3,0,0,'Données projet'!$E$15+1,1))-AVERAGE(OFFSET($H$3,0,0,'Données projet'!$E$15+1,1))</f>
        <v>493.70175665335978</v>
      </c>
      <c r="EP13" s="60">
        <f t="shared" si="46"/>
        <v>325.12357781685949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0" t="e">
        <f t="shared" si="23"/>
        <v>#N/A</v>
      </c>
      <c r="FJ13" s="60" t="e">
        <f ca="1">AVERAGE(OFFSET($FI$3,0,0,'Données projet'!$E$16+1,1))-AVERAGE(OFFSET($H$3,0,0,'Données projet'!$E$16+1,1))</f>
        <v>#N/A</v>
      </c>
      <c r="FK13" s="60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0" t="e">
        <f t="shared" si="26"/>
        <v>#N/A</v>
      </c>
      <c r="GE13" s="60" t="e">
        <f ca="1">AVERAGE(OFFSET($GD$3,0,0,'Données projet'!$E$17+1,1))-AVERAGE(OFFSET($H$3,0,0,'Données projet'!$E$17+1,1))</f>
        <v>#N/A</v>
      </c>
      <c r="GF13" s="60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5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8">
        <f t="shared" si="1"/>
        <v>256.66666666666669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7.4312217194570129</v>
      </c>
      <c r="N14" s="14">
        <f>IF('Données projet'!$A$36&gt;35,N13+M14-V13,IF(A14&lt;'Données projet'!$A$36,$K$205^A14,IF(A14='Données projet'!$A$36,'Données projet'!$B$36,N13+M14-V13)))</f>
        <v>22.89813081553541</v>
      </c>
      <c r="O14" s="14">
        <f>N14*VLOOKUP('Données projet'!$B$9,Paramètres!$A$1:$I$89,3,0)*VLOOKUP('Données projet'!$B$9,Paramètres!$A$1:$I$89,5,0)</f>
        <v>13.693082227690176</v>
      </c>
      <c r="P14" s="14">
        <f t="shared" si="33"/>
        <v>4.6533373606794726</v>
      </c>
      <c r="Q14" s="22">
        <f t="shared" si="2"/>
        <v>31.953347449743802</v>
      </c>
      <c r="R14" s="60">
        <f t="shared" si="0"/>
        <v>302.06445856085497</v>
      </c>
      <c r="S14" s="60">
        <f ca="1">AVERAGE(OFFSET($R$3,0,0,'Données projet'!$E$9+1,1))-AVERAGE(OFFSET($H$3,0,0,'Données projet'!$E$9+1,1))</f>
        <v>260.02504691866199</v>
      </c>
      <c r="T14" s="60">
        <f t="shared" si="34"/>
        <v>270.11268336406368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2.1</v>
      </c>
      <c r="AI14" s="14">
        <f>IF('Données projet'!$A$62&gt;35,AI13+AH14-AQ13,IF(A14&lt;'Données projet'!$A$62,$AF$205^A14,IF(A14='Données projet'!$A$62,'Données projet'!$B$62,AI13+AH14-AQ13)))</f>
        <v>7.8124474610620815</v>
      </c>
      <c r="AJ14" s="14">
        <f>AI14*VLOOKUP('Données projet'!$B$10,Paramètres!$A$1:$I$89,3,0)*VLOOKUP('Données projet'!$B$10,Paramètres!$A$1:$I$89,5,0)</f>
        <v>7.921821725516951</v>
      </c>
      <c r="AK14" s="14">
        <f t="shared" si="35"/>
        <v>2.869154216054651</v>
      </c>
      <c r="AL14" s="22">
        <f t="shared" si="4"/>
        <v>18.794283098237205</v>
      </c>
      <c r="AM14" s="60">
        <f t="shared" si="5"/>
        <v>288.90539420934834</v>
      </c>
      <c r="AN14" s="60">
        <f ca="1">AVERAGE(OFFSET($AM$3,0,0,'Données projet'!$E$10+1,1))-AVERAGE(OFFSET($H$3,0,0,'Données projet'!$E$10+1,1))</f>
        <v>475.47920969424894</v>
      </c>
      <c r="AO14" s="60">
        <f t="shared" si="36"/>
        <v>271.73544012419364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1.8</v>
      </c>
      <c r="BD14" s="13">
        <f>IF('Données projet'!$A$88&gt;35,BD13+BC14-BL13,IF(A14&lt;'Données projet'!$A$88,$BA$205^A14,IF(A14='Données projet'!$A$88,'Données projet'!$B$88,BD13+BC14-BL13)))</f>
        <v>4.3172882434819746</v>
      </c>
      <c r="BE14" s="14">
        <f>BD14*VLOOKUP('Données projet'!$B$11,Paramètres!$A$1:$I$89,3,0)*VLOOKUP('Données projet'!$B$11,Paramètres!$A$1:$I$89,5,0)</f>
        <v>3.9062824027024901</v>
      </c>
      <c r="BF14" s="14">
        <f t="shared" si="37"/>
        <v>1.5361527925263094</v>
      </c>
      <c r="BG14" s="22">
        <f t="shared" si="7"/>
        <v>9.4789079650234935</v>
      </c>
      <c r="BH14" s="60">
        <f t="shared" si="8"/>
        <v>279.59001907613464</v>
      </c>
      <c r="BI14" s="60">
        <f ca="1">AVERAGE(OFFSET($BH$3,0,0,'Données projet'!$E$11+1,1))-AVERAGE(OFFSET($H$3,0,0,'Données projet'!$E$11+1,1))</f>
        <v>325.2649384779973</v>
      </c>
      <c r="BJ14" s="60">
        <f t="shared" si="38"/>
        <v>146.70159365068315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4.3888888888888893</v>
      </c>
      <c r="BY14" s="13">
        <f>IF('Données projet'!$A$114&gt;35,BY13+BX14-CG13,IF(A14&lt;'Données projet'!$A$114,$BV$205^A14,IF(A14='Données projet'!$A$114,'Données projet'!$B$114,BY13+BX14-CG13)))</f>
        <v>14.443119356638535</v>
      </c>
      <c r="BZ14" s="14">
        <f>BY14*VLOOKUP('Données projet'!$B$12,Paramètres!$A$1:$I$89,3,0)*VLOOKUP('Données projet'!$B$12,Paramètres!$A$1:$I$89,5,0)</f>
        <v>6.3838587556342326</v>
      </c>
      <c r="CA14" s="14">
        <f t="shared" si="39"/>
        <v>2.3709568048112737</v>
      </c>
      <c r="CB14" s="22">
        <f t="shared" si="10"/>
        <v>15.247970434442587</v>
      </c>
      <c r="CC14" s="60">
        <f t="shared" si="11"/>
        <v>285.35908154555375</v>
      </c>
      <c r="CD14" s="60">
        <f ca="1">AVERAGE(OFFSET($CC$3,0,0,'Données projet'!$E$12+1,1))-AVERAGE(OFFSET($H$3,0,0,'Données projet'!$E$12+1,1))</f>
        <v>401.84375324751227</v>
      </c>
      <c r="CE14" s="60">
        <f t="shared" si="40"/>
        <v>350.39368043404164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4.857846153846153</v>
      </c>
      <c r="CT14" s="13">
        <f>IF('Données projet'!$A$140&gt;35,CT13+CS14-DB13,IF(A14&lt;'Données projet'!$A$140,$CQ$205^A14,IF(A14='Données projet'!$A$140,'Données projet'!$B$140,CT13+CS14-DB13)))</f>
        <v>8.2628307446303815</v>
      </c>
      <c r="CU14" s="18">
        <f>CT14*VLOOKUP('Données projet'!$B$13,Paramètres!$A$1:$I$89,3,0)*VLOOKUP('Données projet'!$B$13,Paramètres!$A$1:$I$89,5,0)</f>
        <v>4.9411727852889689</v>
      </c>
      <c r="CV14" s="14">
        <f t="shared" si="41"/>
        <v>1.8906898332770827</v>
      </c>
      <c r="CW14" s="22">
        <f t="shared" si="13"/>
        <v>11.89882739400254</v>
      </c>
      <c r="CX14" s="60">
        <f t="shared" si="14"/>
        <v>282.00993850511367</v>
      </c>
      <c r="CY14" s="60">
        <f ca="1">AVERAGE(OFFSET($CX$3,0,0,'Données projet'!$E$13+1,1))-AVERAGE(OFFSET($H$3,0,0,'Données projet'!$E$13+1,1))</f>
        <v>232.73140429491525</v>
      </c>
      <c r="CZ14" s="60">
        <f t="shared" si="42"/>
        <v>201.02719152328638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1.4957264957264955</v>
      </c>
      <c r="DO14" s="13">
        <f>IF('Données projet'!$A$166&gt;35,DO13+DN14-DW13,IF(A14&lt;'Données projet'!$A$166,$DL$205^A14,IF(A14='Données projet'!$A$166,'Données projet'!$B$166,DO13+DN14-DW13)))</f>
        <v>9.7879526645642496</v>
      </c>
      <c r="DP14" s="18">
        <f>DO14*VLOOKUP('Données projet'!$B$14,Paramètres!$A$1:$I$89,3,0)*VLOOKUP('Données projet'!$B$14,Paramètres!$A$1:$I$89,5,0)</f>
        <v>9.3142157555993403</v>
      </c>
      <c r="DQ14" s="14">
        <f t="shared" si="43"/>
        <v>3.310470559864207</v>
      </c>
      <c r="DR14" s="22">
        <f t="shared" si="16"/>
        <v>21.987995332765678</v>
      </c>
      <c r="DS14" s="60">
        <f t="shared" si="17"/>
        <v>292.09910644387685</v>
      </c>
      <c r="DT14" s="60">
        <f ca="1">AVERAGE(OFFSET($DS$3,0,0,'Données projet'!$E$14+1,1))-AVERAGE(OFFSET($H$3,0,0,'Données projet'!$E$14+1,1))</f>
        <v>302.15577364214136</v>
      </c>
      <c r="DU14" s="60">
        <f t="shared" si="44"/>
        <v>197.15142751137051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2.0085470085470085</v>
      </c>
      <c r="EJ14" s="13">
        <f>IF('Données projet'!$A$192&gt;35,EJ13+EI14-ER13,IF(A14&lt;'Données projet'!$A$192,$EG$205^A14,IF(A14='Données projet'!$A$192,'Données projet'!$B$192,EJ13+EI14-ER13)))</f>
        <v>12.150115051435174</v>
      </c>
      <c r="EK14" s="18">
        <f>EJ14*VLOOKUP('Données projet'!$B$15,Paramètres!$A$1:$I$89,3,0)*VLOOKUP('Données projet'!$B$15,Paramètres!$A$1:$I$89,5,0)</f>
        <v>12.699300251760045</v>
      </c>
      <c r="EL14" s="14">
        <f t="shared" si="45"/>
        <v>4.3536337239482048</v>
      </c>
      <c r="EM14" s="22">
        <f t="shared" si="19"/>
        <v>29.700526674358532</v>
      </c>
      <c r="EN14" s="60">
        <f t="shared" si="20"/>
        <v>299.81163778546966</v>
      </c>
      <c r="EO14" s="60">
        <f ca="1">AVERAGE(OFFSET($EN$3,0,0,'Données projet'!$E$15+1,1))-AVERAGE(OFFSET($H$3,0,0,'Données projet'!$E$15+1,1))</f>
        <v>493.70175665335978</v>
      </c>
      <c r="EP14" s="60">
        <f t="shared" si="46"/>
        <v>325.12357781685949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0" t="e">
        <f t="shared" si="23"/>
        <v>#N/A</v>
      </c>
      <c r="FJ14" s="60" t="e">
        <f ca="1">AVERAGE(OFFSET($FI$3,0,0,'Données projet'!$E$16+1,1))-AVERAGE(OFFSET($H$3,0,0,'Données projet'!$E$16+1,1))</f>
        <v>#N/A</v>
      </c>
      <c r="FK14" s="60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0" t="e">
        <f t="shared" si="26"/>
        <v>#N/A</v>
      </c>
      <c r="GE14" s="60" t="e">
        <f ca="1">AVERAGE(OFFSET($GD$3,0,0,'Données projet'!$E$17+1,1))-AVERAGE(OFFSET($H$3,0,0,'Données projet'!$E$17+1,1))</f>
        <v>#N/A</v>
      </c>
      <c r="GF14" s="60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5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8">
        <f t="shared" si="1"/>
        <v>256.66666666666669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7.4312217194570129</v>
      </c>
      <c r="N15" s="14">
        <f>IF('Données projet'!$A$36&gt;35,N14+M15-V14,IF(A15&lt;'Données projet'!$A$36,$K$205^A15,IF(A15='Données projet'!$A$36,'Données projet'!$B$36,N14+M15-V14)))</f>
        <v>30.438147473844893</v>
      </c>
      <c r="O15" s="14">
        <f>N15*VLOOKUP('Données projet'!$B$9,Paramètres!$A$1:$I$89,3,0)*VLOOKUP('Données projet'!$B$9,Paramètres!$A$1:$I$89,5,0)</f>
        <v>18.202012189359248</v>
      </c>
      <c r="P15" s="14">
        <f t="shared" si="33"/>
        <v>5.984027317903192</v>
      </c>
      <c r="Q15" s="22">
        <f t="shared" si="2"/>
        <v>42.124018808482084</v>
      </c>
      <c r="R15" s="60">
        <f t="shared" si="0"/>
        <v>313.45735214181542</v>
      </c>
      <c r="S15" s="60">
        <f ca="1">AVERAGE(OFFSET($R$3,0,0,'Données projet'!$E$9+1,1))-AVERAGE(OFFSET($H$3,0,0,'Données projet'!$E$9+1,1))</f>
        <v>260.02504691866199</v>
      </c>
      <c r="T15" s="60">
        <f t="shared" si="34"/>
        <v>270.11268336406368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2.1</v>
      </c>
      <c r="AI15" s="14">
        <f>IF('Données projet'!$A$62&gt;35,AI14+AH15-AQ14,IF(A15&lt;'Données projet'!$A$62,$AF$205^A15,IF(A15='Données projet'!$A$62,'Données projet'!$B$62,AI14+AH15-AQ14)))</f>
        <v>9.4178024044149407</v>
      </c>
      <c r="AJ15" s="14">
        <f>AI15*VLOOKUP('Données projet'!$B$10,Paramètres!$A$1:$I$89,3,0)*VLOOKUP('Données projet'!$B$10,Paramètres!$A$1:$I$89,5,0)</f>
        <v>9.5496516380767513</v>
      </c>
      <c r="AK15" s="14">
        <f t="shared" si="35"/>
        <v>3.3843014943027487</v>
      </c>
      <c r="AL15" s="22">
        <f t="shared" si="4"/>
        <v>22.526635038894295</v>
      </c>
      <c r="AM15" s="60">
        <f t="shared" si="5"/>
        <v>293.85996837222763</v>
      </c>
      <c r="AN15" s="60">
        <f ca="1">AVERAGE(OFFSET($AM$3,0,0,'Données projet'!$E$10+1,1))-AVERAGE(OFFSET($H$3,0,0,'Données projet'!$E$10+1,1))</f>
        <v>475.47920969424894</v>
      </c>
      <c r="AO15" s="60">
        <f t="shared" si="36"/>
        <v>271.73544012419364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1.8</v>
      </c>
      <c r="BD15" s="13">
        <f>IF('Données projet'!$A$88&gt;35,BD14+BC15-BL14,IF(A15&lt;'Données projet'!$A$88,$BA$205^A15,IF(A15='Données projet'!$A$88,'Données projet'!$B$88,BD14+BC15-BL14)))</f>
        <v>4.9312554885516811</v>
      </c>
      <c r="BE15" s="14">
        <f>BD15*VLOOKUP('Données projet'!$B$11,Paramètres!$A$1:$I$89,3,0)*VLOOKUP('Données projet'!$B$11,Paramètres!$A$1:$I$89,5,0)</f>
        <v>4.4617999660415606</v>
      </c>
      <c r="BF15" s="14">
        <f t="shared" si="37"/>
        <v>1.7276636092601207</v>
      </c>
      <c r="BG15" s="22">
        <f t="shared" si="7"/>
        <v>10.779982393650428</v>
      </c>
      <c r="BH15" s="60">
        <f t="shared" si="8"/>
        <v>282.11331572698373</v>
      </c>
      <c r="BI15" s="60">
        <f ca="1">AVERAGE(OFFSET($BH$3,0,0,'Données projet'!$E$11+1,1))-AVERAGE(OFFSET($H$3,0,0,'Données projet'!$E$11+1,1))</f>
        <v>325.2649384779973</v>
      </c>
      <c r="BJ15" s="60">
        <f t="shared" si="38"/>
        <v>146.70159365068315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4.3888888888888893</v>
      </c>
      <c r="BY15" s="13">
        <f>IF('Données projet'!$A$114&gt;35,BY14+BX15-CG14,IF(A15&lt;'Données projet'!$A$114,$BV$205^A15,IF(A15='Données projet'!$A$114,'Données projet'!$B$114,BY14+BX15-CG14)))</f>
        <v>18.411311570202439</v>
      </c>
      <c r="BZ15" s="14">
        <f>BY15*VLOOKUP('Données projet'!$B$12,Paramètres!$A$1:$I$89,3,0)*VLOOKUP('Données projet'!$B$12,Paramètres!$A$1:$I$89,5,0)</f>
        <v>8.1377997140294784</v>
      </c>
      <c r="CA15" s="14">
        <f t="shared" si="39"/>
        <v>2.9381640953202446</v>
      </c>
      <c r="CB15" s="22">
        <f t="shared" si="10"/>
        <v>19.290636967950768</v>
      </c>
      <c r="CC15" s="60">
        <f t="shared" si="11"/>
        <v>290.62397030128409</v>
      </c>
      <c r="CD15" s="60">
        <f ca="1">AVERAGE(OFFSET($CC$3,0,0,'Données projet'!$E$12+1,1))-AVERAGE(OFFSET($H$3,0,0,'Données projet'!$E$12+1,1))</f>
        <v>401.84375324751227</v>
      </c>
      <c r="CE15" s="60">
        <f t="shared" si="40"/>
        <v>350.39368043404164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4.857846153846153</v>
      </c>
      <c r="CT15" s="13">
        <f>IF('Données projet'!$A$140&gt;35,CT14+CS15-DB14,IF(A15&lt;'Données projet'!$A$140,$CQ$205^A15,IF(A15='Données projet'!$A$140,'Données projet'!$B$140,CT14+CS15-DB14)))</f>
        <v>10.011616546416697</v>
      </c>
      <c r="CU15" s="18">
        <f>CT15*VLOOKUP('Données projet'!$B$13,Paramètres!$A$1:$I$89,3,0)*VLOOKUP('Données projet'!$B$13,Paramètres!$A$1:$I$89,5,0)</f>
        <v>5.9869466947571857</v>
      </c>
      <c r="CV15" s="14">
        <f t="shared" si="41"/>
        <v>2.2402204051240453</v>
      </c>
      <c r="CW15" s="22">
        <f t="shared" si="13"/>
        <v>14.328982698959813</v>
      </c>
      <c r="CX15" s="60">
        <f t="shared" si="14"/>
        <v>285.66231603229312</v>
      </c>
      <c r="CY15" s="60">
        <f ca="1">AVERAGE(OFFSET($CX$3,0,0,'Données projet'!$E$13+1,1))-AVERAGE(OFFSET($H$3,0,0,'Données projet'!$E$13+1,1))</f>
        <v>232.73140429491525</v>
      </c>
      <c r="CZ15" s="60">
        <f t="shared" si="42"/>
        <v>201.02719152328638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1.4957264957264955</v>
      </c>
      <c r="DO15" s="13">
        <f>IF('Données projet'!$A$166&gt;35,DO14+DN15-DW14,IF(A15&lt;'Données projet'!$A$166,$DL$205^A15,IF(A15='Données projet'!$A$166,'Données projet'!$B$166,DO14+DN15-DW14)))</f>
        <v>12.043556566906721</v>
      </c>
      <c r="DP15" s="18">
        <f>DO15*VLOOKUP('Données projet'!$B$14,Paramètres!$A$1:$I$89,3,0)*VLOOKUP('Données projet'!$B$14,Paramètres!$A$1:$I$89,5,0)</f>
        <v>11.460648429068435</v>
      </c>
      <c r="DQ15" s="14">
        <f t="shared" si="43"/>
        <v>3.976209927563187</v>
      </c>
      <c r="DR15" s="22">
        <f t="shared" si="16"/>
        <v>26.885861637800076</v>
      </c>
      <c r="DS15" s="60">
        <f t="shared" si="17"/>
        <v>298.21919497113339</v>
      </c>
      <c r="DT15" s="60">
        <f ca="1">AVERAGE(OFFSET($DS$3,0,0,'Données projet'!$E$14+1,1))-AVERAGE(OFFSET($H$3,0,0,'Données projet'!$E$14+1,1))</f>
        <v>302.15577364214136</v>
      </c>
      <c r="DU15" s="60">
        <f t="shared" si="44"/>
        <v>197.15142751137051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2.0085470085470085</v>
      </c>
      <c r="EJ15" s="13">
        <f>IF('Données projet'!$A$192&gt;35,EJ14+EI15-ER14,IF(A15&lt;'Données projet'!$A$192,$EG$205^A15,IF(A15='Données projet'!$A$192,'Données projet'!$B$192,EJ14+EI15-ER14)))</f>
        <v>15.246796636399393</v>
      </c>
      <c r="EK15" s="18">
        <f>EJ15*VLOOKUP('Données projet'!$B$15,Paramètres!$A$1:$I$89,3,0)*VLOOKUP('Données projet'!$B$15,Paramètres!$A$1:$I$89,5,0)</f>
        <v>15.935951844364647</v>
      </c>
      <c r="EL15" s="14">
        <f t="shared" si="45"/>
        <v>5.3207551415716088</v>
      </c>
      <c r="EM15" s="22">
        <f t="shared" si="19"/>
        <v>37.022098000505643</v>
      </c>
      <c r="EN15" s="60">
        <f t="shared" si="20"/>
        <v>308.35543133383896</v>
      </c>
      <c r="EO15" s="60">
        <f ca="1">AVERAGE(OFFSET($EN$3,0,0,'Données projet'!$E$15+1,1))-AVERAGE(OFFSET($H$3,0,0,'Données projet'!$E$15+1,1))</f>
        <v>493.70175665335978</v>
      </c>
      <c r="EP15" s="60">
        <f t="shared" si="46"/>
        <v>325.12357781685949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0" t="e">
        <f t="shared" si="23"/>
        <v>#N/A</v>
      </c>
      <c r="FJ15" s="60" t="e">
        <f ca="1">AVERAGE(OFFSET($FI$3,0,0,'Données projet'!$E$16+1,1))-AVERAGE(OFFSET($H$3,0,0,'Données projet'!$E$16+1,1))</f>
        <v>#N/A</v>
      </c>
      <c r="FK15" s="60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0" t="e">
        <f t="shared" si="26"/>
        <v>#N/A</v>
      </c>
      <c r="GE15" s="60" t="e">
        <f ca="1">AVERAGE(OFFSET($GD$3,0,0,'Données projet'!$E$17+1,1))-AVERAGE(OFFSET($H$3,0,0,'Données projet'!$E$17+1,1))</f>
        <v>#N/A</v>
      </c>
      <c r="GF15" s="60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5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8">
        <f t="shared" si="1"/>
        <v>256.66666666666669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7.4312217194570129</v>
      </c>
      <c r="N16" s="14">
        <f>IF('Données projet'!$A$36&gt;35,N15+M16-V15,IF(A16&lt;'Données projet'!$A$36,$K$205^A16,IF(A16='Données projet'!$A$36,'Données projet'!$B$36,N15+M16-V15)))</f>
        <v>40.460980378841768</v>
      </c>
      <c r="O16" s="14">
        <f>N16*VLOOKUP('Données projet'!$B$9,Paramètres!$A$1:$I$89,3,0)*VLOOKUP('Données projet'!$B$9,Paramètres!$A$1:$I$89,5,0)</f>
        <v>24.195666266547377</v>
      </c>
      <c r="P16" s="14">
        <f t="shared" si="33"/>
        <v>7.6952475537219458</v>
      </c>
      <c r="Q16" s="22">
        <f t="shared" si="2"/>
        <v>55.543341570302402</v>
      </c>
      <c r="R16" s="60">
        <f t="shared" si="0"/>
        <v>328.09889712585795</v>
      </c>
      <c r="S16" s="60">
        <f ca="1">AVERAGE(OFFSET($R$3,0,0,'Données projet'!$E$9+1,1))-AVERAGE(OFFSET($H$3,0,0,'Données projet'!$E$9+1,1))</f>
        <v>260.02504691866199</v>
      </c>
      <c r="T16" s="60">
        <f t="shared" si="34"/>
        <v>270.11268336406368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2.1</v>
      </c>
      <c r="AI16" s="14">
        <f>IF('Données projet'!$A$62&gt;35,AI15+AH16-AQ15,IF(A16&lt;'Données projet'!$A$62,$AF$205^A16,IF(A16='Données projet'!$A$62,'Données projet'!$B$62,AI15+AH16-AQ15)))</f>
        <v>11.35303662145153</v>
      </c>
      <c r="AJ16" s="14">
        <f>AI16*VLOOKUP('Données projet'!$B$10,Paramètres!$A$1:$I$89,3,0)*VLOOKUP('Données projet'!$B$10,Paramètres!$A$1:$I$89,5,0)</f>
        <v>11.511979134151852</v>
      </c>
      <c r="AK16" s="14">
        <f t="shared" si="35"/>
        <v>3.9919417855793822</v>
      </c>
      <c r="AL16" s="22">
        <f t="shared" si="4"/>
        <v>27.002662268531896</v>
      </c>
      <c r="AM16" s="60">
        <f t="shared" si="5"/>
        <v>299.55821782408742</v>
      </c>
      <c r="AN16" s="60">
        <f ca="1">AVERAGE(OFFSET($AM$3,0,0,'Données projet'!$E$10+1,1))-AVERAGE(OFFSET($H$3,0,0,'Données projet'!$E$10+1,1))</f>
        <v>475.47920969424894</v>
      </c>
      <c r="AO16" s="60">
        <f t="shared" si="36"/>
        <v>271.73544012419364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1.8</v>
      </c>
      <c r="BD16" s="13">
        <f>IF('Données projet'!$A$88&gt;35,BD15+BC16-BL15,IF(A16&lt;'Données projet'!$A$88,$BA$205^A16,IF(A16='Données projet'!$A$88,'Données projet'!$B$88,BD15+BC16-BL15)))</f>
        <v>5.632535823866772</v>
      </c>
      <c r="BE16" s="14">
        <f>BD16*VLOOKUP('Données projet'!$B$11,Paramètres!$A$1:$I$89,3,0)*VLOOKUP('Données projet'!$B$11,Paramètres!$A$1:$I$89,5,0)</f>
        <v>5.0963184134346546</v>
      </c>
      <c r="BF16" s="14">
        <f t="shared" si="37"/>
        <v>1.9430499109746502</v>
      </c>
      <c r="BG16" s="22">
        <f t="shared" si="7"/>
        <v>12.26023316501287</v>
      </c>
      <c r="BH16" s="60">
        <f t="shared" si="8"/>
        <v>284.81578872056843</v>
      </c>
      <c r="BI16" s="60">
        <f ca="1">AVERAGE(OFFSET($BH$3,0,0,'Données projet'!$E$11+1,1))-AVERAGE(OFFSET($H$3,0,0,'Données projet'!$E$11+1,1))</f>
        <v>325.2649384779973</v>
      </c>
      <c r="BJ16" s="60">
        <f t="shared" si="38"/>
        <v>146.70159365068315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4.3888888888888893</v>
      </c>
      <c r="BY16" s="13">
        <f>IF('Données projet'!$A$114&gt;35,BY15+BX16-CG15,IF(A16&lt;'Données projet'!$A$114,$BV$205^A16,IF(A16='Données projet'!$A$114,'Données projet'!$B$114,BY15+BX16-CG15)))</f>
        <v>23.469749530198644</v>
      </c>
      <c r="BZ16" s="14">
        <f>BY16*VLOOKUP('Données projet'!$B$12,Paramètres!$A$1:$I$89,3,0)*VLOOKUP('Données projet'!$B$12,Paramètres!$A$1:$I$89,5,0)</f>
        <v>10.373629292347802</v>
      </c>
      <c r="CA16" s="14">
        <f t="shared" si="39"/>
        <v>3.6410651739883533</v>
      </c>
      <c r="CB16" s="22">
        <f t="shared" si="10"/>
        <v>24.408926195535471</v>
      </c>
      <c r="CC16" s="60">
        <f t="shared" si="11"/>
        <v>296.964481751091</v>
      </c>
      <c r="CD16" s="60">
        <f ca="1">AVERAGE(OFFSET($CC$3,0,0,'Données projet'!$E$12+1,1))-AVERAGE(OFFSET($H$3,0,0,'Données projet'!$E$12+1,1))</f>
        <v>401.84375324751227</v>
      </c>
      <c r="CE16" s="60">
        <f t="shared" si="40"/>
        <v>350.39368043404164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4.857846153846153</v>
      </c>
      <c r="CT16" s="13">
        <f>IF('Données projet'!$A$140&gt;35,CT15+CS16-DB15,IF(A16&lt;'Données projet'!$A$140,$CQ$205^A16,IF(A16='Données projet'!$A$140,'Données projet'!$B$140,CT15+CS16-DB15)))</f>
        <v>12.130523905215032</v>
      </c>
      <c r="CU16" s="18">
        <f>CT16*VLOOKUP('Données projet'!$B$13,Paramètres!$A$1:$I$89,3,0)*VLOOKUP('Données projet'!$B$13,Paramètres!$A$1:$I$89,5,0)</f>
        <v>7.2540532953185899</v>
      </c>
      <c r="CV16" s="14">
        <f t="shared" si="41"/>
        <v>2.6543684612909537</v>
      </c>
      <c r="CW16" s="22">
        <f t="shared" si="13"/>
        <v>17.257167892761622</v>
      </c>
      <c r="CX16" s="60">
        <f t="shared" si="14"/>
        <v>289.81272344831717</v>
      </c>
      <c r="CY16" s="60">
        <f ca="1">AVERAGE(OFFSET($CX$3,0,0,'Données projet'!$E$13+1,1))-AVERAGE(OFFSET($H$3,0,0,'Données projet'!$E$13+1,1))</f>
        <v>232.73140429491525</v>
      </c>
      <c r="CZ16" s="60">
        <f t="shared" si="42"/>
        <v>201.02719152328638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1.4957264957264955</v>
      </c>
      <c r="DO16" s="13">
        <f>IF('Données projet'!$A$166&gt;35,DO15+DN16-DW15,IF(A16&lt;'Données projet'!$A$166,$DL$205^A16,IF(A16='Données projet'!$A$166,'Données projet'!$B$166,DO15+DN16-DW15)))</f>
        <v>14.81895752371207</v>
      </c>
      <c r="DP16" s="18">
        <f>DO16*VLOOKUP('Données projet'!$B$14,Paramètres!$A$1:$I$89,3,0)*VLOOKUP('Données projet'!$B$14,Paramètres!$A$1:$I$89,5,0)</f>
        <v>14.101719979564407</v>
      </c>
      <c r="DQ16" s="14">
        <f t="shared" si="43"/>
        <v>4.7758302338446281</v>
      </c>
      <c r="DR16" s="22">
        <f t="shared" si="16"/>
        <v>32.878399955020733</v>
      </c>
      <c r="DS16" s="60">
        <f t="shared" si="17"/>
        <v>305.43395551057625</v>
      </c>
      <c r="DT16" s="60">
        <f ca="1">AVERAGE(OFFSET($DS$3,0,0,'Données projet'!$E$14+1,1))-AVERAGE(OFFSET($H$3,0,0,'Données projet'!$E$14+1,1))</f>
        <v>302.15577364214136</v>
      </c>
      <c r="DU16" s="60">
        <f t="shared" si="44"/>
        <v>197.15142751137051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2.0085470085470085</v>
      </c>
      <c r="EJ16" s="13">
        <f>IF('Données projet'!$A$192&gt;35,EJ15+EI16-ER15,IF(A16&lt;'Données projet'!$A$192,$EG$205^A16,IF(A16='Données projet'!$A$192,'Données projet'!$B$192,EJ15+EI16-ER15)))</f>
        <v>19.132724808582047</v>
      </c>
      <c r="EK16" s="18">
        <f>EJ16*VLOOKUP('Données projet'!$B$15,Paramètres!$A$1:$I$89,3,0)*VLOOKUP('Données projet'!$B$15,Paramètres!$A$1:$I$89,5,0)</f>
        <v>19.997523969929958</v>
      </c>
      <c r="EL16" s="14">
        <f t="shared" si="45"/>
        <v>6.5027140709684383</v>
      </c>
      <c r="EM16" s="22">
        <f t="shared" si="19"/>
        <v>46.154581254564704</v>
      </c>
      <c r="EN16" s="60">
        <f t="shared" si="20"/>
        <v>318.71013681012028</v>
      </c>
      <c r="EO16" s="60">
        <f ca="1">AVERAGE(OFFSET($EN$3,0,0,'Données projet'!$E$15+1,1))-AVERAGE(OFFSET($H$3,0,0,'Données projet'!$E$15+1,1))</f>
        <v>493.70175665335978</v>
      </c>
      <c r="EP16" s="60">
        <f t="shared" si="46"/>
        <v>325.12357781685949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0" t="e">
        <f t="shared" si="23"/>
        <v>#N/A</v>
      </c>
      <c r="FJ16" s="60" t="e">
        <f ca="1">AVERAGE(OFFSET($FI$3,0,0,'Données projet'!$E$16+1,1))-AVERAGE(OFFSET($H$3,0,0,'Données projet'!$E$16+1,1))</f>
        <v>#N/A</v>
      </c>
      <c r="FK16" s="60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0" t="e">
        <f t="shared" si="26"/>
        <v>#N/A</v>
      </c>
      <c r="GE16" s="60" t="e">
        <f ca="1">AVERAGE(OFFSET($GD$3,0,0,'Données projet'!$E$17+1,1))-AVERAGE(OFFSET($H$3,0,0,'Données projet'!$E$17+1,1))</f>
        <v>#N/A</v>
      </c>
      <c r="GF16" s="60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5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8">
        <f t="shared" si="1"/>
        <v>256.66666666666669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7.4312217194570129</v>
      </c>
      <c r="N17" s="14">
        <f>IF('Données projet'!$A$36&gt;35,N16+M17-V16,IF(A17&lt;'Données projet'!$A$36,$K$205^A17,IF(A17='Données projet'!$A$36,'Données projet'!$B$36,N16+M17-V16)))</f>
        <v>53.784184291233551</v>
      </c>
      <c r="O17" s="14">
        <f>N17*VLOOKUP('Données projet'!$B$9,Paramètres!$A$1:$I$89,3,0)*VLOOKUP('Données projet'!$B$9,Paramètres!$A$1:$I$89,5,0)</f>
        <v>32.162942206157666</v>
      </c>
      <c r="P17" s="14">
        <f t="shared" si="33"/>
        <v>9.8958162734145461</v>
      </c>
      <c r="Q17" s="22">
        <f t="shared" si="2"/>
        <v>73.252337685254929</v>
      </c>
      <c r="R17" s="60">
        <f t="shared" si="0"/>
        <v>347.0301154630327</v>
      </c>
      <c r="S17" s="60">
        <f ca="1">AVERAGE(OFFSET($R$3,0,0,'Données projet'!$E$9+1,1))-AVERAGE(OFFSET($H$3,0,0,'Données projet'!$E$9+1,1))</f>
        <v>260.02504691866199</v>
      </c>
      <c r="T17" s="60">
        <f t="shared" si="34"/>
        <v>270.11268336406368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2.1</v>
      </c>
      <c r="AI17" s="14">
        <f>IF('Données projet'!$A$62&gt;35,AI16+AH17-AQ16,IF(A17&lt;'Données projet'!$A$62,$AF$205^A17,IF(A17='Données projet'!$A$62,'Données projet'!$B$62,AI16+AH17-AQ16)))</f>
        <v>13.685935953338433</v>
      </c>
      <c r="AJ17" s="14">
        <f>AI17*VLOOKUP('Données projet'!$B$10,Paramètres!$A$1:$I$89,3,0)*VLOOKUP('Données projet'!$B$10,Paramètres!$A$1:$I$89,5,0)</f>
        <v>13.877539056685173</v>
      </c>
      <c r="AK17" s="14">
        <f t="shared" si="35"/>
        <v>4.7086819085950955</v>
      </c>
      <c r="AL17" s="22">
        <f t="shared" si="4"/>
        <v>32.371001514529802</v>
      </c>
      <c r="AM17" s="60">
        <f t="shared" si="5"/>
        <v>306.14877929230755</v>
      </c>
      <c r="AN17" s="60">
        <f ca="1">AVERAGE(OFFSET($AM$3,0,0,'Données projet'!$E$10+1,1))-AVERAGE(OFFSET($H$3,0,0,'Données projet'!$E$10+1,1))</f>
        <v>475.47920969424894</v>
      </c>
      <c r="AO17" s="60">
        <f t="shared" si="36"/>
        <v>271.73544012419364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1.8</v>
      </c>
      <c r="BD17" s="13">
        <f>IF('Données projet'!$A$88&gt;35,BD16+BC17-BL16,IF(A17&lt;'Données projet'!$A$88,$BA$205^A17,IF(A17='Données projet'!$A$88,'Données projet'!$B$88,BD16+BC17-BL16)))</f>
        <v>6.4335461589438685</v>
      </c>
      <c r="BE17" s="14">
        <f>BD17*VLOOKUP('Données projet'!$B$11,Paramètres!$A$1:$I$89,3,0)*VLOOKUP('Données projet'!$B$11,Paramètres!$A$1:$I$89,5,0)</f>
        <v>5.821072564612412</v>
      </c>
      <c r="BF17" s="14">
        <f t="shared" si="37"/>
        <v>2.1852882333705264</v>
      </c>
      <c r="BG17" s="22">
        <f t="shared" si="7"/>
        <v>13.944411723153619</v>
      </c>
      <c r="BH17" s="60">
        <f t="shared" si="8"/>
        <v>287.72218950093139</v>
      </c>
      <c r="BI17" s="60">
        <f ca="1">AVERAGE(OFFSET($BH$3,0,0,'Données projet'!$E$11+1,1))-AVERAGE(OFFSET($H$3,0,0,'Données projet'!$E$11+1,1))</f>
        <v>325.2649384779973</v>
      </c>
      <c r="BJ17" s="60">
        <f t="shared" si="38"/>
        <v>146.70159365068315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4.3888888888888893</v>
      </c>
      <c r="BY17" s="13">
        <f>IF('Données projet'!$A$114&gt;35,BY16+BX17-CG16,IF(A17&lt;'Données projet'!$A$114,$BV$205^A17,IF(A17='Données projet'!$A$114,'Données projet'!$B$114,BY16+BX17-CG16)))</f>
        <v>29.917974116615472</v>
      </c>
      <c r="BZ17" s="14">
        <f>BY17*VLOOKUP('Données projet'!$B$12,Paramètres!$A$1:$I$89,3,0)*VLOOKUP('Données projet'!$B$12,Paramètres!$A$1:$I$89,5,0)</f>
        <v>13.223744559544041</v>
      </c>
      <c r="CA17" s="14">
        <f t="shared" si="39"/>
        <v>4.5121222542833692</v>
      </c>
      <c r="CB17" s="22">
        <f t="shared" si="10"/>
        <v>30.889968034082738</v>
      </c>
      <c r="CC17" s="60">
        <f t="shared" si="11"/>
        <v>304.66774581186053</v>
      </c>
      <c r="CD17" s="60">
        <f ca="1">AVERAGE(OFFSET($CC$3,0,0,'Données projet'!$E$12+1,1))-AVERAGE(OFFSET($H$3,0,0,'Données projet'!$E$12+1,1))</f>
        <v>401.84375324751227</v>
      </c>
      <c r="CE17" s="60">
        <f t="shared" si="40"/>
        <v>350.39368043404164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4.857846153846153</v>
      </c>
      <c r="CT17" s="13">
        <f>IF('Données projet'!$A$140&gt;35,CT16+CS17-DB16,IF(A17&lt;'Données projet'!$A$140,$CQ$205^A17,IF(A17='Données projet'!$A$140,'Données projet'!$B$140,CT16+CS17-DB16)))</f>
        <v>14.697887152665707</v>
      </c>
      <c r="CU17" s="18">
        <f>CT17*VLOOKUP('Données projet'!$B$13,Paramètres!$A$1:$I$89,3,0)*VLOOKUP('Données projet'!$B$13,Paramètres!$A$1:$I$89,5,0)</f>
        <v>8.7893365172940943</v>
      </c>
      <c r="CV17" s="14">
        <f t="shared" si="41"/>
        <v>3.1450797931223988</v>
      </c>
      <c r="CW17" s="22">
        <f t="shared" si="13"/>
        <v>20.78577507397539</v>
      </c>
      <c r="CX17" s="60">
        <f t="shared" si="14"/>
        <v>294.56355285175317</v>
      </c>
      <c r="CY17" s="60">
        <f ca="1">AVERAGE(OFFSET($CX$3,0,0,'Données projet'!$E$13+1,1))-AVERAGE(OFFSET($H$3,0,0,'Données projet'!$E$13+1,1))</f>
        <v>232.73140429491525</v>
      </c>
      <c r="CZ17" s="60">
        <f t="shared" si="42"/>
        <v>201.02719152328638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1.4957264957264955</v>
      </c>
      <c r="DO17" s="13">
        <f>IF('Données projet'!$A$166&gt;35,DO16+DN17-DW16,IF(A17&lt;'Données projet'!$A$166,$DL$205^A17,IF(A17='Données projet'!$A$166,'Données projet'!$B$166,DO16+DN17-DW16)))</f>
        <v>18.233941184201644</v>
      </c>
      <c r="DP17" s="18">
        <f>DO17*VLOOKUP('Données projet'!$B$14,Paramètres!$A$1:$I$89,3,0)*VLOOKUP('Données projet'!$B$14,Paramètres!$A$1:$I$89,5,0)</f>
        <v>17.351418430886284</v>
      </c>
      <c r="DQ17" s="14">
        <f t="shared" si="43"/>
        <v>5.7362550866328705</v>
      </c>
      <c r="DR17" s="22">
        <f t="shared" si="16"/>
        <v>40.211031376345858</v>
      </c>
      <c r="DS17" s="60">
        <f t="shared" si="17"/>
        <v>313.9888091541236</v>
      </c>
      <c r="DT17" s="60">
        <f ca="1">AVERAGE(OFFSET($DS$3,0,0,'Données projet'!$E$14+1,1))-AVERAGE(OFFSET($H$3,0,0,'Données projet'!$E$14+1,1))</f>
        <v>302.15577364214136</v>
      </c>
      <c r="DU17" s="60">
        <f t="shared" si="44"/>
        <v>197.15142751137051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2.0085470085470085</v>
      </c>
      <c r="EJ17" s="13">
        <f>IF('Données projet'!$A$192&gt;35,EJ16+EI17-ER16,IF(A17&lt;'Données projet'!$A$192,$EG$205^A17,IF(A17='Données projet'!$A$192,'Données projet'!$B$192,EJ16+EI17-ER16)))</f>
        <v>24.009053660951697</v>
      </c>
      <c r="EK17" s="18">
        <f>EJ17*VLOOKUP('Données projet'!$B$15,Paramètres!$A$1:$I$89,3,0)*VLOOKUP('Données projet'!$B$15,Paramètres!$A$1:$I$89,5,0)</f>
        <v>25.094262886426712</v>
      </c>
      <c r="EL17" s="14">
        <f t="shared" si="45"/>
        <v>7.9472347747017285</v>
      </c>
      <c r="EM17" s="22">
        <f t="shared" si="19"/>
        <v>57.547275093132022</v>
      </c>
      <c r="EN17" s="60">
        <f t="shared" si="20"/>
        <v>331.32505287090981</v>
      </c>
      <c r="EO17" s="60">
        <f ca="1">AVERAGE(OFFSET($EN$3,0,0,'Données projet'!$E$15+1,1))-AVERAGE(OFFSET($H$3,0,0,'Données projet'!$E$15+1,1))</f>
        <v>493.70175665335978</v>
      </c>
      <c r="EP17" s="60">
        <f t="shared" si="46"/>
        <v>325.12357781685949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0" t="e">
        <f t="shared" si="23"/>
        <v>#N/A</v>
      </c>
      <c r="FJ17" s="60" t="e">
        <f ca="1">AVERAGE(OFFSET($FI$3,0,0,'Données projet'!$E$16+1,1))-AVERAGE(OFFSET($H$3,0,0,'Données projet'!$E$16+1,1))</f>
        <v>#N/A</v>
      </c>
      <c r="FK17" s="60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0" t="e">
        <f t="shared" si="26"/>
        <v>#N/A</v>
      </c>
      <c r="GE17" s="60" t="e">
        <f ca="1">AVERAGE(OFFSET($GD$3,0,0,'Données projet'!$E$17+1,1))-AVERAGE(OFFSET($H$3,0,0,'Données projet'!$E$17+1,1))</f>
        <v>#N/A</v>
      </c>
      <c r="GF17" s="60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5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8">
        <f t="shared" si="1"/>
        <v>256.66666666666669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7.4312217194570129</v>
      </c>
      <c r="N18" s="14">
        <f>IF('Données projet'!$A$36&gt;35,N17+M18-V17,IF(A18&lt;'Données projet'!$A$36,$K$205^A18,IF(A18='Données projet'!$A$36,'Données projet'!$B$36,N17+M18-V17)))</f>
        <v>71.494522692931866</v>
      </c>
      <c r="O18" s="14">
        <f>N18*VLOOKUP('Données projet'!$B$9,Paramètres!$A$1:$I$89,3,0)*VLOOKUP('Données projet'!$B$9,Paramètres!$A$1:$I$89,5,0)</f>
        <v>42.753724570373258</v>
      </c>
      <c r="P18" s="14">
        <f t="shared" si="33"/>
        <v>12.725669841487028</v>
      </c>
      <c r="Q18" s="22">
        <f t="shared" si="2"/>
        <v>96.626611933989992</v>
      </c>
      <c r="R18" s="60">
        <f t="shared" si="0"/>
        <v>371.62661193398998</v>
      </c>
      <c r="S18" s="60">
        <f ca="1">AVERAGE(OFFSET($R$3,0,0,'Données projet'!$E$9+1,1))-AVERAGE(OFFSET($H$3,0,0,'Données projet'!$E$9+1,1))</f>
        <v>260.02504691866199</v>
      </c>
      <c r="T18" s="60">
        <f t="shared" si="34"/>
        <v>270.11268336406368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2.1</v>
      </c>
      <c r="AI18" s="14">
        <f>IF('Données projet'!$A$62&gt;35,AI17+AH18-AQ17,IF(A18&lt;'Données projet'!$A$62,$AF$205^A18,IF(A18='Données projet'!$A$62,'Données projet'!$B$62,AI17+AH18-AQ17)))</f>
        <v>16.498215337821566</v>
      </c>
      <c r="AJ18" s="14">
        <f>AI18*VLOOKUP('Données projet'!$B$10,Paramètres!$A$1:$I$89,3,0)*VLOOKUP('Données projet'!$B$10,Paramètres!$A$1:$I$89,5,0)</f>
        <v>16.729190352551068</v>
      </c>
      <c r="AK18" s="14">
        <f t="shared" si="35"/>
        <v>5.5541103821765283</v>
      </c>
      <c r="AL18" s="22">
        <f t="shared" si="4"/>
        <v>38.810082112983899</v>
      </c>
      <c r="AM18" s="60">
        <f t="shared" si="5"/>
        <v>313.81008211298388</v>
      </c>
      <c r="AN18" s="60">
        <f ca="1">AVERAGE(OFFSET($AM$3,0,0,'Données projet'!$E$10+1,1))-AVERAGE(OFFSET($H$3,0,0,'Données projet'!$E$10+1,1))</f>
        <v>475.47920969424894</v>
      </c>
      <c r="AO18" s="60">
        <f t="shared" si="36"/>
        <v>271.73544012419364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1.8</v>
      </c>
      <c r="BD18" s="13">
        <f>IF('Données projet'!$A$88&gt;35,BD17+BC18-BL17,IF(A18&lt;'Données projet'!$A$88,$BA$205^A18,IF(A18='Données projet'!$A$88,'Données projet'!$B$88,BD17+BC18-BL17)))</f>
        <v>7.3484692283495407</v>
      </c>
      <c r="BE18" s="14">
        <f>BD18*VLOOKUP('Données projet'!$B$11,Paramètres!$A$1:$I$89,3,0)*VLOOKUP('Données projet'!$B$11,Paramètres!$A$1:$I$89,5,0)</f>
        <v>6.648894957810664</v>
      </c>
      <c r="BF18" s="14">
        <f t="shared" si="37"/>
        <v>2.4577261942346365</v>
      </c>
      <c r="BG18" s="22">
        <f t="shared" si="7"/>
        <v>15.860698506478897</v>
      </c>
      <c r="BH18" s="60">
        <f t="shared" si="8"/>
        <v>290.86069850647891</v>
      </c>
      <c r="BI18" s="60">
        <f ca="1">AVERAGE(OFFSET($BH$3,0,0,'Données projet'!$E$11+1,1))-AVERAGE(OFFSET($H$3,0,0,'Données projet'!$E$11+1,1))</f>
        <v>325.2649384779973</v>
      </c>
      <c r="BJ18" s="60">
        <f t="shared" si="38"/>
        <v>146.70159365068315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4.3888888888888893</v>
      </c>
      <c r="BY18" s="13">
        <f>IF('Données projet'!$A$114&gt;35,BY17+BX18-CG17,IF(A18&lt;'Données projet'!$A$114,$BV$205^A18,IF(A18='Données projet'!$A$114,'Données projet'!$B$114,BY17+BX18-CG17)))</f>
        <v>38.137823929086359</v>
      </c>
      <c r="BZ18" s="14">
        <f>BY18*VLOOKUP('Données projet'!$B$12,Paramètres!$A$1:$I$89,3,0)*VLOOKUP('Données projet'!$B$12,Paramètres!$A$1:$I$89,5,0)</f>
        <v>16.856918176656173</v>
      </c>
      <c r="CA18" s="14">
        <f t="shared" si="39"/>
        <v>5.5915635301024</v>
      </c>
      <c r="CB18" s="22">
        <f t="shared" si="10"/>
        <v>39.097772305937845</v>
      </c>
      <c r="CC18" s="60">
        <f t="shared" si="11"/>
        <v>314.09777230593784</v>
      </c>
      <c r="CD18" s="60">
        <f ca="1">AVERAGE(OFFSET($CC$3,0,0,'Données projet'!$E$12+1,1))-AVERAGE(OFFSET($H$3,0,0,'Données projet'!$E$12+1,1))</f>
        <v>401.84375324751227</v>
      </c>
      <c r="CE18" s="60">
        <f t="shared" si="40"/>
        <v>350.39368043404164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4.857846153846153</v>
      </c>
      <c r="CT18" s="13">
        <f>IF('Données projet'!$A$140&gt;35,CT17+CS18-DB17,IF(A18&lt;'Données projet'!$A$140,$CQ$205^A18,IF(A18='Données projet'!$A$140,'Données projet'!$B$140,CT17+CS18-DB17)))</f>
        <v>17.808619680442909</v>
      </c>
      <c r="CU18" s="18">
        <f>CT18*VLOOKUP('Données projet'!$B$13,Paramètres!$A$1:$I$89,3,0)*VLOOKUP('Données projet'!$B$13,Paramètres!$A$1:$I$89,5,0)</f>
        <v>10.649554568904859</v>
      </c>
      <c r="CV18" s="14">
        <f t="shared" si="41"/>
        <v>3.7265086024628529</v>
      </c>
      <c r="CW18" s="22">
        <f t="shared" si="13"/>
        <v>25.038310023465428</v>
      </c>
      <c r="CX18" s="60">
        <f t="shared" si="14"/>
        <v>300.03831002346544</v>
      </c>
      <c r="CY18" s="60">
        <f ca="1">AVERAGE(OFFSET($CX$3,0,0,'Données projet'!$E$13+1,1))-AVERAGE(OFFSET($H$3,0,0,'Données projet'!$E$13+1,1))</f>
        <v>232.73140429491525</v>
      </c>
      <c r="CZ18" s="60">
        <f t="shared" si="42"/>
        <v>201.02719152328638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22.435897435897434</v>
      </c>
      <c r="DM18" s="13">
        <f>VLOOKUP(A18,'Données projet'!$A$165:$I$185,9,0)</f>
        <v>1.4957264957264955</v>
      </c>
      <c r="DN18" s="13">
        <f t="array" ref="DN18">INDEX(DM:DM,MIN(IF(ISNUMBER(DM18:DM214),ROW(DM18:DM214),"")))</f>
        <v>1.4957264957264955</v>
      </c>
      <c r="DO18" s="13">
        <f>IF('Données projet'!$A$166&gt;35,DO17+DN18-DW17,IF(A18&lt;'Données projet'!$A$166,$DL$205^A18,IF(A18='Données projet'!$A$166,'Données projet'!$B$166,DO17+DN18-DW17)))</f>
        <v>22.435897435897434</v>
      </c>
      <c r="DP18" s="18">
        <f>DO18*VLOOKUP('Données projet'!$B$14,Paramètres!$A$1:$I$89,3,0)*VLOOKUP('Données projet'!$B$14,Paramètres!$A$1:$I$89,5,0)</f>
        <v>21.349999999999998</v>
      </c>
      <c r="DQ18" s="14">
        <f t="shared" si="43"/>
        <v>6.8898224618073698</v>
      </c>
      <c r="DR18" s="22">
        <f t="shared" si="16"/>
        <v>49.184357454314494</v>
      </c>
      <c r="DS18" s="60">
        <f t="shared" si="17"/>
        <v>324.18435745431452</v>
      </c>
      <c r="DT18" s="60">
        <f ca="1">AVERAGE(OFFSET($DS$3,0,0,'Données projet'!$E$14+1,1))-AVERAGE(OFFSET($H$3,0,0,'Données projet'!$E$14+1,1))</f>
        <v>302.15577364214136</v>
      </c>
      <c r="DU18" s="60">
        <f t="shared" si="44"/>
        <v>197.15142751137051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30.128205128205128</v>
      </c>
      <c r="EH18" s="13">
        <f>VLOOKUP(A18,'Données projet'!$A$191:$I$211,9,0)</f>
        <v>2.0085470085470085</v>
      </c>
      <c r="EI18" s="13">
        <f t="array" ref="EI18">INDEX(EH:EH,MIN(IF(ISNUMBER(EH18:EH214),ROW(EH18:EH214),"")))</f>
        <v>2.0085470085470085</v>
      </c>
      <c r="EJ18" s="13">
        <f>IF('Données projet'!$A$192&gt;35,EJ17+EI18-ER17,IF(A18&lt;'Données projet'!$A$192,$EG$205^A18,IF(A18='Données projet'!$A$192,'Données projet'!$B$192,EJ17+EI18-ER17)))</f>
        <v>30.128205128205128</v>
      </c>
      <c r="EK18" s="18">
        <f>EJ18*VLOOKUP('Données projet'!$B$15,Paramètres!$A$1:$I$89,3,0)*VLOOKUP('Données projet'!$B$15,Paramètres!$A$1:$I$89,5,0)</f>
        <v>31.490000000000006</v>
      </c>
      <c r="EL18" s="14">
        <f t="shared" si="45"/>
        <v>9.7126430402655597</v>
      </c>
      <c r="EM18" s="22">
        <f t="shared" si="19"/>
        <v>71.761269961795847</v>
      </c>
      <c r="EN18" s="60">
        <f t="shared" si="20"/>
        <v>346.76126996179585</v>
      </c>
      <c r="EO18" s="60">
        <f ca="1">AVERAGE(OFFSET($EN$3,0,0,'Données projet'!$E$15+1,1))-AVERAGE(OFFSET($H$3,0,0,'Données projet'!$E$15+1,1))</f>
        <v>493.70175665335978</v>
      </c>
      <c r="EP18" s="60">
        <f t="shared" si="46"/>
        <v>325.12357781685949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0" t="e">
        <f t="shared" si="23"/>
        <v>#N/A</v>
      </c>
      <c r="FJ18" s="60" t="e">
        <f ca="1">AVERAGE(OFFSET($FI$3,0,0,'Données projet'!$E$16+1,1))-AVERAGE(OFFSET($H$3,0,0,'Données projet'!$E$16+1,1))</f>
        <v>#N/A</v>
      </c>
      <c r="FK18" s="60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0" t="e">
        <f t="shared" si="26"/>
        <v>#N/A</v>
      </c>
      <c r="GE18" s="60" t="e">
        <f ca="1">AVERAGE(OFFSET($GD$3,0,0,'Données projet'!$E$17+1,1))-AVERAGE(OFFSET($H$3,0,0,'Données projet'!$E$17+1,1))</f>
        <v>#N/A</v>
      </c>
      <c r="GF18" s="60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5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8">
        <f t="shared" si="1"/>
        <v>256.66666666666669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7.4312217194570129</v>
      </c>
      <c r="N19" s="14">
        <f>IF('Données projet'!$A$36&gt;35,N18+M19-V18,IF(A19&lt;'Données projet'!$A$36,$K$205^A19,IF(A19='Données projet'!$A$36,'Données projet'!$B$36,N18+M19-V18)))</f>
        <v>95.036614247271999</v>
      </c>
      <c r="O19" s="14">
        <f>N19*VLOOKUP('Données projet'!$B$9,Paramètres!$A$1:$I$89,3,0)*VLOOKUP('Données projet'!$B$9,Paramètres!$A$1:$I$89,5,0)</f>
        <v>56.831895319868664</v>
      </c>
      <c r="P19" s="14">
        <f t="shared" si="33"/>
        <v>16.364761474967661</v>
      </c>
      <c r="Q19" s="22">
        <f t="shared" si="2"/>
        <v>127.4841772510066</v>
      </c>
      <c r="R19" s="60">
        <f t="shared" si="0"/>
        <v>403.70639947322883</v>
      </c>
      <c r="S19" s="60">
        <f ca="1">AVERAGE(OFFSET($R$3,0,0,'Données projet'!$E$9+1,1))-AVERAGE(OFFSET($H$3,0,0,'Données projet'!$E$9+1,1))</f>
        <v>260.02504691866199</v>
      </c>
      <c r="T19" s="60">
        <f t="shared" si="34"/>
        <v>270.11268336406368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2.1</v>
      </c>
      <c r="AI19" s="14">
        <f>IF('Données projet'!$A$62&gt;35,AI18+AH19-AQ18,IF(A19&lt;'Données projet'!$A$62,$AF$205^A19,IF(A19='Données projet'!$A$62,'Données projet'!$B$62,AI18+AH19-AQ18)))</f>
        <v>19.888381054913147</v>
      </c>
      <c r="AJ19" s="14">
        <f>AI19*VLOOKUP('Données projet'!$B$10,Paramètres!$A$1:$I$89,3,0)*VLOOKUP('Données projet'!$B$10,Paramètres!$A$1:$I$89,5,0)</f>
        <v>20.166818389681932</v>
      </c>
      <c r="AK19" s="14">
        <f t="shared" si="35"/>
        <v>6.5513327797938032</v>
      </c>
      <c r="AL19" s="22">
        <f t="shared" si="4"/>
        <v>46.534113286836906</v>
      </c>
      <c r="AM19" s="60">
        <f t="shared" si="5"/>
        <v>322.75633550905911</v>
      </c>
      <c r="AN19" s="60">
        <f ca="1">AVERAGE(OFFSET($AM$3,0,0,'Données projet'!$E$10+1,1))-AVERAGE(OFFSET($H$3,0,0,'Données projet'!$E$10+1,1))</f>
        <v>475.47920969424894</v>
      </c>
      <c r="AO19" s="60">
        <f t="shared" si="36"/>
        <v>271.73544012419364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1.8</v>
      </c>
      <c r="BD19" s="13">
        <f>IF('Données projet'!$A$88&gt;35,BD18+BC19-BL18,IF(A19&lt;'Données projet'!$A$88,$BA$205^A19,IF(A19='Données projet'!$A$88,'Données projet'!$B$88,BD18+BC19-BL18)))</f>
        <v>8.3935047120054769</v>
      </c>
      <c r="BE19" s="14">
        <f>BD19*VLOOKUP('Données projet'!$B$11,Paramètres!$A$1:$I$89,3,0)*VLOOKUP('Données projet'!$B$11,Paramètres!$A$1:$I$89,5,0)</f>
        <v>7.5944430634225553</v>
      </c>
      <c r="BF19" s="14">
        <f t="shared" si="37"/>
        <v>2.7641287559172452</v>
      </c>
      <c r="BG19" s="22">
        <f t="shared" si="7"/>
        <v>18.041179252016821</v>
      </c>
      <c r="BH19" s="60">
        <f t="shared" si="8"/>
        <v>294.26340147423906</v>
      </c>
      <c r="BI19" s="60">
        <f ca="1">AVERAGE(OFFSET($BH$3,0,0,'Données projet'!$E$11+1,1))-AVERAGE(OFFSET($H$3,0,0,'Données projet'!$E$11+1,1))</f>
        <v>325.2649384779973</v>
      </c>
      <c r="BJ19" s="60">
        <f t="shared" si="38"/>
        <v>146.70159365068315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4.3888888888888893</v>
      </c>
      <c r="BY19" s="13">
        <f>IF('Données projet'!$A$114&gt;35,BY18+BX19-CG18,IF(A19&lt;'Données projet'!$A$114,$BV$205^A19,IF(A19='Données projet'!$A$114,'Données projet'!$B$114,BY18+BX19-CG18)))</f>
        <v>48.616046272939776</v>
      </c>
      <c r="BZ19" s="14">
        <f>BY19*VLOOKUP('Données projet'!$B$12,Paramètres!$A$1:$I$89,3,0)*VLOOKUP('Données projet'!$B$12,Paramètres!$A$1:$I$89,5,0)</f>
        <v>21.488292452639385</v>
      </c>
      <c r="CA19" s="14">
        <f t="shared" si="39"/>
        <v>6.9292410420596973</v>
      </c>
      <c r="CB19" s="22">
        <f t="shared" si="10"/>
        <v>49.493870836600898</v>
      </c>
      <c r="CC19" s="60">
        <f t="shared" si="11"/>
        <v>325.71609305882311</v>
      </c>
      <c r="CD19" s="60">
        <f ca="1">AVERAGE(OFFSET($CC$3,0,0,'Données projet'!$E$12+1,1))-AVERAGE(OFFSET($H$3,0,0,'Données projet'!$E$12+1,1))</f>
        <v>401.84375324751227</v>
      </c>
      <c r="CE19" s="60">
        <f t="shared" si="40"/>
        <v>350.39368043404164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4.857846153846153</v>
      </c>
      <c r="CT19" s="13">
        <f>IF('Données projet'!$A$140&gt;35,CT18+CS19-DB18,IF(A19&lt;'Données projet'!$A$140,$CQ$205^A19,IF(A19='Données projet'!$A$140,'Données projet'!$B$140,CT18+CS19-DB18)))</f>
        <v>21.577722813386732</v>
      </c>
      <c r="CU19" s="18">
        <f>CT19*VLOOKUP('Données projet'!$B$13,Paramètres!$A$1:$I$89,3,0)*VLOOKUP('Données projet'!$B$13,Paramètres!$A$1:$I$89,5,0)</f>
        <v>12.903478242405267</v>
      </c>
      <c r="CV19" s="14">
        <f t="shared" si="41"/>
        <v>4.4154257690368244</v>
      </c>
      <c r="CW19" s="22">
        <f t="shared" si="13"/>
        <v>30.163757819928311</v>
      </c>
      <c r="CX19" s="60">
        <f t="shared" si="14"/>
        <v>306.38598004215055</v>
      </c>
      <c r="CY19" s="60">
        <f ca="1">AVERAGE(OFFSET($CX$3,0,0,'Données projet'!$E$13+1,1))-AVERAGE(OFFSET($H$3,0,0,'Données projet'!$E$13+1,1))</f>
        <v>232.73140429491525</v>
      </c>
      <c r="CZ19" s="60">
        <f t="shared" si="42"/>
        <v>201.02719152328638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4.4871794871794872</v>
      </c>
      <c r="DO19" s="13">
        <f>IF('Données projet'!$A$166&gt;35,DO18+DN19-DW18,IF(A19&lt;'Données projet'!$A$166,$DL$205^A19,IF(A19='Données projet'!$A$166,'Données projet'!$B$166,DO18+DN19-DW18)))</f>
        <v>26.92307692307692</v>
      </c>
      <c r="DP19" s="18">
        <f>DO19*VLOOKUP('Données projet'!$B$14,Paramètres!$A$1:$I$89,3,0)*VLOOKUP('Données projet'!$B$14,Paramètres!$A$1:$I$89,5,0)</f>
        <v>25.619999999999997</v>
      </c>
      <c r="DQ19" s="14">
        <f t="shared" si="43"/>
        <v>8.0941748185764109</v>
      </c>
      <c r="DR19" s="22">
        <f t="shared" si="16"/>
        <v>58.718854475687237</v>
      </c>
      <c r="DS19" s="60">
        <f t="shared" si="17"/>
        <v>334.94107669790947</v>
      </c>
      <c r="DT19" s="60">
        <f ca="1">AVERAGE(OFFSET($DS$3,0,0,'Données projet'!$E$14+1,1))-AVERAGE(OFFSET($H$3,0,0,'Données projet'!$E$14+1,1))</f>
        <v>302.15577364214136</v>
      </c>
      <c r="DU19" s="60">
        <f t="shared" si="44"/>
        <v>197.15142751137051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5.7692307692307683</v>
      </c>
      <c r="EJ19" s="13">
        <f>IF('Données projet'!$A$192&gt;35,EJ18+EI19-ER18,IF(A19&lt;'Données projet'!$A$192,$EG$205^A19,IF(A19='Données projet'!$A$192,'Données projet'!$B$192,EJ18+EI19-ER18)))</f>
        <v>35.897435897435898</v>
      </c>
      <c r="EK19" s="18">
        <f>EJ19*VLOOKUP('Données projet'!$B$15,Paramètres!$A$1:$I$89,3,0)*VLOOKUP('Données projet'!$B$15,Paramètres!$A$1:$I$89,5,0)</f>
        <v>37.520000000000003</v>
      </c>
      <c r="EL19" s="14">
        <f t="shared" si="45"/>
        <v>11.338894152047692</v>
      </c>
      <c r="EM19" s="22">
        <f t="shared" si="19"/>
        <v>85.095907314816401</v>
      </c>
      <c r="EN19" s="60">
        <f t="shared" si="20"/>
        <v>361.31812953703866</v>
      </c>
      <c r="EO19" s="60">
        <f ca="1">AVERAGE(OFFSET($EN$3,0,0,'Données projet'!$E$15+1,1))-AVERAGE(OFFSET($H$3,0,0,'Données projet'!$E$15+1,1))</f>
        <v>493.70175665335978</v>
      </c>
      <c r="EP19" s="60">
        <f t="shared" si="46"/>
        <v>325.12357781685949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0" t="e">
        <f t="shared" si="23"/>
        <v>#N/A</v>
      </c>
      <c r="FJ19" s="60" t="e">
        <f ca="1">AVERAGE(OFFSET($FI$3,0,0,'Données projet'!$E$16+1,1))-AVERAGE(OFFSET($H$3,0,0,'Données projet'!$E$16+1,1))</f>
        <v>#N/A</v>
      </c>
      <c r="FK19" s="60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0" t="e">
        <f t="shared" si="26"/>
        <v>#N/A</v>
      </c>
      <c r="GE19" s="60" t="e">
        <f ca="1">AVERAGE(OFFSET($GD$3,0,0,'Données projet'!$E$17+1,1))-AVERAGE(OFFSET($H$3,0,0,'Données projet'!$E$17+1,1))</f>
        <v>#N/A</v>
      </c>
      <c r="GF19" s="60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5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8">
        <f t="shared" si="1"/>
        <v>256.66666666666669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126.33076923076922</v>
      </c>
      <c r="L20" s="13">
        <f>VLOOKUP(A20,'Données projet'!$A$35:$I$55,9,0)</f>
        <v>7.4312217194570129</v>
      </c>
      <c r="M20" s="13">
        <f t="array" ref="M20">INDEX(L:L,MIN(IF(ISNUMBER(L20:L216),ROW(L20:L216),"")))</f>
        <v>7.4312217194570129</v>
      </c>
      <c r="N20" s="14">
        <f>IF('Données projet'!$A$36&gt;35,N19+M20-V19,IF(A20&lt;'Données projet'!$A$36,$K$205^A20,IF(A20='Données projet'!$A$36,'Données projet'!$B$36,N19+M20-V19)))</f>
        <v>126.33076923076922</v>
      </c>
      <c r="O20" s="14">
        <f>N20*VLOOKUP('Données projet'!$B$9,Paramètres!$A$1:$I$89,3,0)*VLOOKUP('Données projet'!$B$9,Paramètres!$A$1:$I$89,5,0)</f>
        <v>75.5458</v>
      </c>
      <c r="P20" s="14">
        <f t="shared" si="33"/>
        <v>21.044504648353485</v>
      </c>
      <c r="Q20" s="22">
        <f t="shared" si="2"/>
        <v>168.22811392921565</v>
      </c>
      <c r="R20" s="60">
        <f t="shared" si="0"/>
        <v>445.67255837366008</v>
      </c>
      <c r="S20" s="60">
        <f ca="1">AVERAGE(OFFSET($R$3,0,0,'Données projet'!$E$9+1,1))-AVERAGE(OFFSET($H$3,0,0,'Données projet'!$E$9+1,1))</f>
        <v>260.02504691866199</v>
      </c>
      <c r="T20" s="60">
        <f t="shared" si="34"/>
        <v>270.11268336406368</v>
      </c>
      <c r="U20" s="16">
        <f>IF(ISNA(VLOOKUP(A20,'Données projet'!$A$35:$I$55,3,0)),0,VLOOKUP(A20,'Données projet'!$A$35:$I$55,3,0))</f>
        <v>1</v>
      </c>
      <c r="V20" s="16">
        <f>IF(ISNA(VLOOKUP(A20,'Données projet'!$A$35:$I$55,4,0)),0,VLOOKUP(A20,'Données projet'!$A$35:$I$55,4,0))</f>
        <v>42.084615384615375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0.22500000000000001</v>
      </c>
      <c r="Y20" s="17">
        <f>IF(ISNA(VLOOKUP(A20,'Données projet'!$A$35:$I$55,7,0)),0%,VLOOKUP(A20,'Données projet'!$A$35:$I$55,7,0))</f>
        <v>0.5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7.4820750970079972</v>
      </c>
      <c r="AB20" s="23">
        <f>EXP(-LN(2)/2)*AB19+(1-EXP(-LN(2)/2))/(LN(2)/2)*V20*Y20*VLOOKUP('Données projet'!$B$9,Paramètres!$A$1:$I$89,3,0)*0.475*44/12</f>
        <v>14.247218669464777</v>
      </c>
      <c r="AC20" s="24">
        <f t="shared" si="3"/>
        <v>21.729293766472775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2.1</v>
      </c>
      <c r="AI20" s="14">
        <f>IF('Données projet'!$A$62&gt;35,AI19+AH20-AQ19,IF(A20&lt;'Données projet'!$A$62,$AF$205^A20,IF(A20='Données projet'!$A$62,'Données projet'!$B$62,AI19+AH20-AQ19)))</f>
        <v>23.975181126327602</v>
      </c>
      <c r="AJ20" s="14">
        <f>AI20*VLOOKUP('Données projet'!$B$10,Paramètres!$A$1:$I$89,3,0)*VLOOKUP('Données projet'!$B$10,Paramètres!$A$1:$I$89,5,0)</f>
        <v>24.31083366209619</v>
      </c>
      <c r="AK20" s="14">
        <f t="shared" si="35"/>
        <v>7.7276032052466093</v>
      </c>
      <c r="AL20" s="22">
        <f t="shared" si="4"/>
        <v>55.800277543955367</v>
      </c>
      <c r="AM20" s="60">
        <f t="shared" si="5"/>
        <v>333.24472198839982</v>
      </c>
      <c r="AN20" s="60">
        <f ca="1">AVERAGE(OFFSET($AM$3,0,0,'Données projet'!$E$10+1,1))-AVERAGE(OFFSET($H$3,0,0,'Données projet'!$E$10+1,1))</f>
        <v>475.47920969424894</v>
      </c>
      <c r="AO20" s="60">
        <f t="shared" si="36"/>
        <v>271.73544012419364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1.8</v>
      </c>
      <c r="BD20" s="13">
        <f>IF('Données projet'!$A$88&gt;35,BD19+BC20-BL19,IF(A20&lt;'Données projet'!$A$88,$BA$205^A20,IF(A20='Données projet'!$A$88,'Données projet'!$B$88,BD19+BC20-BL19)))</f>
        <v>9.5871560676428587</v>
      </c>
      <c r="BE20" s="14">
        <f>BD20*VLOOKUP('Données projet'!$B$11,Paramètres!$A$1:$I$89,3,0)*VLOOKUP('Données projet'!$B$11,Paramètres!$A$1:$I$89,5,0)</f>
        <v>8.6744588100032587</v>
      </c>
      <c r="BF20" s="14">
        <f t="shared" si="37"/>
        <v>3.1087302553114253</v>
      </c>
      <c r="BG20" s="22">
        <f t="shared" si="7"/>
        <v>20.522387622089742</v>
      </c>
      <c r="BH20" s="60">
        <f t="shared" si="8"/>
        <v>297.96683206653421</v>
      </c>
      <c r="BI20" s="60">
        <f ca="1">AVERAGE(OFFSET($BH$3,0,0,'Données projet'!$E$11+1,1))-AVERAGE(OFFSET($H$3,0,0,'Données projet'!$E$11+1,1))</f>
        <v>325.2649384779973</v>
      </c>
      <c r="BJ20" s="60">
        <f t="shared" si="38"/>
        <v>146.70159365068315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4.3888888888888893</v>
      </c>
      <c r="BY20" s="13">
        <f>IF('Données projet'!$A$114&gt;35,BY19+BX20-CG19,IF(A20&lt;'Données projet'!$A$114,$BV$205^A20,IF(A20='Données projet'!$A$114,'Données projet'!$B$114,BY19+BX20-CG19)))</f>
        <v>61.973120427829365</v>
      </c>
      <c r="BZ20" s="14">
        <f>BY20*VLOOKUP('Données projet'!$B$12,Paramètres!$A$1:$I$89,3,0)*VLOOKUP('Données projet'!$B$12,Paramètres!$A$1:$I$89,5,0)</f>
        <v>27.39211922910058</v>
      </c>
      <c r="CA20" s="14">
        <f t="shared" si="39"/>
        <v>8.5869330037076725</v>
      </c>
      <c r="CB20" s="22">
        <f t="shared" si="10"/>
        <v>62.663515972141028</v>
      </c>
      <c r="CC20" s="60">
        <f t="shared" si="11"/>
        <v>340.10796041658546</v>
      </c>
      <c r="CD20" s="60">
        <f ca="1">AVERAGE(OFFSET($CC$3,0,0,'Données projet'!$E$12+1,1))-AVERAGE(OFFSET($H$3,0,0,'Données projet'!$E$12+1,1))</f>
        <v>401.84375324751227</v>
      </c>
      <c r="CE20" s="60">
        <f t="shared" si="40"/>
        <v>350.39368043404164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4.857846153846153</v>
      </c>
      <c r="CT20" s="13">
        <f>IF('Données projet'!$A$140&gt;35,CT19+CS20-DB19,IF(A20&lt;'Données projet'!$A$140,$CQ$205^A20,IF(A20='Données projet'!$A$140,'Données projet'!$B$140,CT19+CS20-DB19)))</f>
        <v>26.144537317659786</v>
      </c>
      <c r="CU20" s="18">
        <f>CT20*VLOOKUP('Données projet'!$B$13,Paramètres!$A$1:$I$89,3,0)*VLOOKUP('Données projet'!$B$13,Paramètres!$A$1:$I$89,5,0)</f>
        <v>15.634433315960553</v>
      </c>
      <c r="CV20" s="14">
        <f t="shared" si="41"/>
        <v>5.2317025939479986</v>
      </c>
      <c r="CW20" s="22">
        <f t="shared" si="13"/>
        <v>36.341853376424055</v>
      </c>
      <c r="CX20" s="60">
        <f t="shared" si="14"/>
        <v>313.78629782086853</v>
      </c>
      <c r="CY20" s="60">
        <f ca="1">AVERAGE(OFFSET($CX$3,0,0,'Données projet'!$E$13+1,1))-AVERAGE(OFFSET($H$3,0,0,'Données projet'!$E$13+1,1))</f>
        <v>232.73140429491525</v>
      </c>
      <c r="CZ20" s="60">
        <f t="shared" si="42"/>
        <v>201.02719152328638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4.4871794871794872</v>
      </c>
      <c r="DO20" s="13">
        <f>IF('Données projet'!$A$166&gt;35,DO19+DN20-DW19,IF(A20&lt;'Données projet'!$A$166,$DL$205^A20,IF(A20='Données projet'!$A$166,'Données projet'!$B$166,DO19+DN20-DW19)))</f>
        <v>31.410256410256409</v>
      </c>
      <c r="DP20" s="18">
        <f>DO20*VLOOKUP('Données projet'!$B$14,Paramètres!$A$1:$I$89,3,0)*VLOOKUP('Données projet'!$B$14,Paramètres!$A$1:$I$89,5,0)</f>
        <v>29.889999999999997</v>
      </c>
      <c r="DQ20" s="14">
        <f t="shared" si="43"/>
        <v>9.2752743303749234</v>
      </c>
      <c r="DR20" s="22">
        <f t="shared" si="16"/>
        <v>68.212852792069654</v>
      </c>
      <c r="DS20" s="60">
        <f t="shared" si="17"/>
        <v>345.65729723651413</v>
      </c>
      <c r="DT20" s="60">
        <f ca="1">AVERAGE(OFFSET($DS$3,0,0,'Données projet'!$E$14+1,1))-AVERAGE(OFFSET($H$3,0,0,'Données projet'!$E$14+1,1))</f>
        <v>302.15577364214136</v>
      </c>
      <c r="DU20" s="60">
        <f t="shared" si="44"/>
        <v>197.15142751137051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5.7692307692307683</v>
      </c>
      <c r="EJ20" s="13">
        <f>IF('Données projet'!$A$192&gt;35,EJ19+EI20-ER19,IF(A20&lt;'Données projet'!$A$192,$EG$205^A20,IF(A20='Données projet'!$A$192,'Données projet'!$B$192,EJ19+EI20-ER19)))</f>
        <v>41.666666666666664</v>
      </c>
      <c r="EK20" s="18">
        <f>EJ20*VLOOKUP('Données projet'!$B$15,Paramètres!$A$1:$I$89,3,0)*VLOOKUP('Données projet'!$B$15,Paramètres!$A$1:$I$89,5,0)</f>
        <v>43.550000000000004</v>
      </c>
      <c r="EL20" s="14">
        <f t="shared" si="45"/>
        <v>12.934868040345785</v>
      </c>
      <c r="EM20" s="22">
        <f t="shared" si="19"/>
        <v>98.377811836935564</v>
      </c>
      <c r="EN20" s="60">
        <f t="shared" si="20"/>
        <v>375.82225628138002</v>
      </c>
      <c r="EO20" s="60">
        <f ca="1">AVERAGE(OFFSET($EN$3,0,0,'Données projet'!$E$15+1,1))-AVERAGE(OFFSET($H$3,0,0,'Données projet'!$E$15+1,1))</f>
        <v>493.70175665335978</v>
      </c>
      <c r="EP20" s="60">
        <f t="shared" si="46"/>
        <v>325.12357781685949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0" t="e">
        <f t="shared" si="23"/>
        <v>#N/A</v>
      </c>
      <c r="FJ20" s="60" t="e">
        <f ca="1">AVERAGE(OFFSET($FI$3,0,0,'Données projet'!$E$16+1,1))-AVERAGE(OFFSET($H$3,0,0,'Données projet'!$E$16+1,1))</f>
        <v>#N/A</v>
      </c>
      <c r="FK20" s="60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0" t="e">
        <f t="shared" si="26"/>
        <v>#N/A</v>
      </c>
      <c r="GE20" s="60" t="e">
        <f ca="1">AVERAGE(OFFSET($GD$3,0,0,'Données projet'!$E$17+1,1))-AVERAGE(OFFSET($H$3,0,0,'Données projet'!$E$17+1,1))</f>
        <v>#N/A</v>
      </c>
      <c r="GF20" s="60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5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8">
        <f t="shared" si="1"/>
        <v>256.66666666666669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14.926923076923075</v>
      </c>
      <c r="N21" s="14">
        <f>IF('Données projet'!$A$36&gt;35,N20+M21-V20,IF(A21&lt;'Données projet'!$A$36,$K$205^A21,IF(A21='Données projet'!$A$36,'Données projet'!$B$36,N20+M21-V20)))</f>
        <v>99.173076923076934</v>
      </c>
      <c r="O21" s="14">
        <f>N21*VLOOKUP('Données projet'!$B$9,Paramètres!$A$1:$I$89,3,0)*VLOOKUP('Données projet'!$B$9,Paramètres!$A$1:$I$89,5,0)</f>
        <v>59.305500000000016</v>
      </c>
      <c r="P21" s="14">
        <f t="shared" si="33"/>
        <v>16.992558820122873</v>
      </c>
      <c r="Q21" s="22">
        <f t="shared" si="2"/>
        <v>132.88578577838067</v>
      </c>
      <c r="R21" s="60">
        <f t="shared" si="0"/>
        <v>411.55245244504738</v>
      </c>
      <c r="S21" s="60">
        <f ca="1">AVERAGE(OFFSET($R$3,0,0,'Données projet'!$E$9+1,1))-AVERAGE(OFFSET($H$3,0,0,'Données projet'!$E$9+1,1))</f>
        <v>260.02504691866199</v>
      </c>
      <c r="T21" s="60">
        <f t="shared" si="34"/>
        <v>270.11268336406368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7.2774773600150846</v>
      </c>
      <c r="AB21" s="23">
        <f>EXP(-LN(2)/2)*AB20+(1-EXP(-LN(2)/2))/(LN(2)/2)*V21*Y21*VLOOKUP('Données projet'!$B$9,Paramètres!$A$1:$I$89,3,0)*0.475*44/12</f>
        <v>10.074304934226125</v>
      </c>
      <c r="AC21" s="24">
        <f t="shared" si="3"/>
        <v>17.351782294241211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2.1</v>
      </c>
      <c r="AI21" s="14">
        <f>IF('Données projet'!$A$62&gt;35,AI20+AH21-AQ20,IF(A21&lt;'Données projet'!$A$62,$AF$205^A21,IF(A21='Données projet'!$A$62,'Données projet'!$B$62,AI20+AH21-AQ20)))</f>
        <v>28.901764726506816</v>
      </c>
      <c r="AJ21" s="14">
        <f>AI21*VLOOKUP('Données projet'!$B$10,Paramètres!$A$1:$I$89,3,0)*VLOOKUP('Données projet'!$B$10,Paramètres!$A$1:$I$89,5,0)</f>
        <v>29.306389432677911</v>
      </c>
      <c r="AK21" s="14">
        <f t="shared" si="35"/>
        <v>9.1150691477493808</v>
      </c>
      <c r="AL21" s="22">
        <f t="shared" si="4"/>
        <v>66.917373694244205</v>
      </c>
      <c r="AM21" s="60">
        <f t="shared" si="5"/>
        <v>345.58404036091088</v>
      </c>
      <c r="AN21" s="60">
        <f ca="1">AVERAGE(OFFSET($AM$3,0,0,'Données projet'!$E$10+1,1))-AVERAGE(OFFSET($H$3,0,0,'Données projet'!$E$10+1,1))</f>
        <v>475.47920969424894</v>
      </c>
      <c r="AO21" s="60">
        <f t="shared" si="36"/>
        <v>271.73544012419364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1.8</v>
      </c>
      <c r="BD21" s="13">
        <f>IF('Données projet'!$A$88&gt;35,BD20+BC21-BL20,IF(A21&lt;'Données projet'!$A$88,$BA$205^A21,IF(A21='Données projet'!$A$88,'Données projet'!$B$88,BD20+BC21-BL20)))</f>
        <v>10.950558154077715</v>
      </c>
      <c r="BE21" s="14">
        <f>BD21*VLOOKUP('Données projet'!$B$11,Paramètres!$A$1:$I$89,3,0)*VLOOKUP('Données projet'!$B$11,Paramètres!$A$1:$I$89,5,0)</f>
        <v>9.9080650178095162</v>
      </c>
      <c r="BF21" s="14">
        <f t="shared" si="37"/>
        <v>3.4962929203642266</v>
      </c>
      <c r="BG21" s="22">
        <f t="shared" si="7"/>
        <v>23.345923408985936</v>
      </c>
      <c r="BH21" s="60">
        <f t="shared" si="8"/>
        <v>302.01259007565261</v>
      </c>
      <c r="BI21" s="60">
        <f ca="1">AVERAGE(OFFSET($BH$3,0,0,'Données projet'!$E$11+1,1))-AVERAGE(OFFSET($H$3,0,0,'Données projet'!$E$11+1,1))</f>
        <v>325.2649384779973</v>
      </c>
      <c r="BJ21" s="60">
        <f t="shared" si="38"/>
        <v>146.70159365068315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>
        <f>VLOOKUP(A21,'Données projet'!$A$113:$I$133,2,0)</f>
        <v>79</v>
      </c>
      <c r="BW21" s="13">
        <f>VLOOKUP(A21,'Données projet'!$A$113:$I$133,9,0)</f>
        <v>4.3888888888888893</v>
      </c>
      <c r="BX21" s="13">
        <f t="array" ref="BX21">INDEX(BW:BW,MIN(IF(ISNUMBER(BW21:BW217),ROW(BW21:BW217),"")))</f>
        <v>4.3888888888888893</v>
      </c>
      <c r="BY21" s="13">
        <f>IF('Données projet'!$A$114&gt;35,BY20+BX21-CG20,IF(A21&lt;'Données projet'!$A$114,$BV$205^A21,IF(A21='Données projet'!$A$114,'Données projet'!$B$114,BY20+BX21-CG20)))</f>
        <v>79</v>
      </c>
      <c r="BZ21" s="14">
        <f>BY21*VLOOKUP('Données projet'!$B$12,Paramètres!$A$1:$I$89,3,0)*VLOOKUP('Données projet'!$B$12,Paramètres!$A$1:$I$89,5,0)</f>
        <v>34.918000000000006</v>
      </c>
      <c r="CA21" s="14">
        <f t="shared" si="39"/>
        <v>10.641196916458625</v>
      </c>
      <c r="CB21" s="22">
        <f t="shared" si="10"/>
        <v>79.348934629498771</v>
      </c>
      <c r="CC21" s="60">
        <f t="shared" si="11"/>
        <v>358.01560129616547</v>
      </c>
      <c r="CD21" s="60">
        <f ca="1">AVERAGE(OFFSET($CC$3,0,0,'Données projet'!$E$12+1,1))-AVERAGE(OFFSET($H$3,0,0,'Données projet'!$E$12+1,1))</f>
        <v>401.84375324751227</v>
      </c>
      <c r="CE21" s="60">
        <f t="shared" si="40"/>
        <v>350.39368043404164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4.857846153846153</v>
      </c>
      <c r="CT21" s="13">
        <f>IF('Données projet'!$A$140&gt;35,CT20+CS21-DB20,IF(A21&lt;'Données projet'!$A$140,$CQ$205^A21,IF(A21='Données projet'!$A$140,'Données projet'!$B$140,CT20+CS21-DB20)))</f>
        <v>31.677894718827407</v>
      </c>
      <c r="CU21" s="18">
        <f>CT21*VLOOKUP('Données projet'!$B$13,Paramètres!$A$1:$I$89,3,0)*VLOOKUP('Données projet'!$B$13,Paramètres!$A$1:$I$89,5,0)</f>
        <v>18.943381041858792</v>
      </c>
      <c r="CV21" s="14">
        <f t="shared" si="41"/>
        <v>6.1988839725172955</v>
      </c>
      <c r="CW21" s="22">
        <f t="shared" si="13"/>
        <v>43.789444900038347</v>
      </c>
      <c r="CX21" s="60">
        <f t="shared" si="14"/>
        <v>322.45611156670503</v>
      </c>
      <c r="CY21" s="60">
        <f ca="1">AVERAGE(OFFSET($CX$3,0,0,'Données projet'!$E$13+1,1))-AVERAGE(OFFSET($H$3,0,0,'Données projet'!$E$13+1,1))</f>
        <v>232.73140429491525</v>
      </c>
      <c r="CZ21" s="60">
        <f t="shared" si="42"/>
        <v>201.02719152328638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4.4871794871794872</v>
      </c>
      <c r="DO21" s="13">
        <f>IF('Données projet'!$A$166&gt;35,DO20+DN21-DW20,IF(A21&lt;'Données projet'!$A$166,$DL$205^A21,IF(A21='Données projet'!$A$166,'Données projet'!$B$166,DO20+DN21-DW20)))</f>
        <v>35.897435897435898</v>
      </c>
      <c r="DP21" s="18">
        <f>DO21*VLOOKUP('Données projet'!$B$14,Paramètres!$A$1:$I$89,3,0)*VLOOKUP('Données projet'!$B$14,Paramètres!$A$1:$I$89,5,0)</f>
        <v>34.160000000000004</v>
      </c>
      <c r="DQ21" s="14">
        <f t="shared" si="43"/>
        <v>10.436826112054034</v>
      </c>
      <c r="DR21" s="22">
        <f t="shared" si="16"/>
        <v>77.672805478494112</v>
      </c>
      <c r="DS21" s="60">
        <f t="shared" si="17"/>
        <v>356.33947214516081</v>
      </c>
      <c r="DT21" s="60">
        <f ca="1">AVERAGE(OFFSET($DS$3,0,0,'Données projet'!$E$14+1,1))-AVERAGE(OFFSET($H$3,0,0,'Données projet'!$E$14+1,1))</f>
        <v>302.15577364214136</v>
      </c>
      <c r="DU21" s="60">
        <f t="shared" si="44"/>
        <v>197.15142751137051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5.7692307692307683</v>
      </c>
      <c r="EJ21" s="13">
        <f>IF('Données projet'!$A$192&gt;35,EJ20+EI21-ER20,IF(A21&lt;'Données projet'!$A$192,$EG$205^A21,IF(A21='Données projet'!$A$192,'Données projet'!$B$192,EJ20+EI21-ER20)))</f>
        <v>47.435897435897431</v>
      </c>
      <c r="EK21" s="18">
        <f>EJ21*VLOOKUP('Données projet'!$B$15,Paramètres!$A$1:$I$89,3,0)*VLOOKUP('Données projet'!$B$15,Paramètres!$A$1:$I$89,5,0)</f>
        <v>49.58</v>
      </c>
      <c r="EL21" s="14">
        <f t="shared" si="45"/>
        <v>14.505239638165149</v>
      </c>
      <c r="EM21" s="22">
        <f t="shared" si="19"/>
        <v>111.61512570313762</v>
      </c>
      <c r="EN21" s="60">
        <f t="shared" si="20"/>
        <v>390.28179236980429</v>
      </c>
      <c r="EO21" s="60">
        <f ca="1">AVERAGE(OFFSET($EN$3,0,0,'Données projet'!$E$15+1,1))-AVERAGE(OFFSET($H$3,0,0,'Données projet'!$E$15+1,1))</f>
        <v>493.70175665335978</v>
      </c>
      <c r="EP21" s="60">
        <f t="shared" si="46"/>
        <v>325.12357781685949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0" t="e">
        <f t="shared" si="23"/>
        <v>#N/A</v>
      </c>
      <c r="FJ21" s="60" t="e">
        <f ca="1">AVERAGE(OFFSET($FI$3,0,0,'Données projet'!$E$16+1,1))-AVERAGE(OFFSET($H$3,0,0,'Données projet'!$E$16+1,1))</f>
        <v>#N/A</v>
      </c>
      <c r="FK21" s="60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0" t="e">
        <f t="shared" si="26"/>
        <v>#N/A</v>
      </c>
      <c r="GE21" s="60" t="e">
        <f ca="1">AVERAGE(OFFSET($GD$3,0,0,'Données projet'!$E$17+1,1))-AVERAGE(OFFSET($H$3,0,0,'Données projet'!$E$17+1,1))</f>
        <v>#N/A</v>
      </c>
      <c r="GF21" s="60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5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8">
        <f t="shared" si="1"/>
        <v>256.66666666666669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14.926923076923075</v>
      </c>
      <c r="N22" s="14">
        <f>IF('Données projet'!$A$36&gt;35,N21+M22-V21,IF(A22&lt;'Données projet'!$A$36,$K$205^A22,IF(A22='Données projet'!$A$36,'Données projet'!$B$36,N21+M22-V21)))</f>
        <v>114.10000000000001</v>
      </c>
      <c r="O22" s="14">
        <f>N22*VLOOKUP('Données projet'!$B$9,Paramètres!$A$1:$I$89,3,0)*VLOOKUP('Données projet'!$B$9,Paramètres!$A$1:$I$89,5,0)</f>
        <v>68.231800000000007</v>
      </c>
      <c r="P22" s="14">
        <f t="shared" si="33"/>
        <v>19.233699497264624</v>
      </c>
      <c r="Q22" s="22">
        <f t="shared" si="2"/>
        <v>152.3357449577359</v>
      </c>
      <c r="R22" s="60">
        <f t="shared" si="0"/>
        <v>432.22463384662478</v>
      </c>
      <c r="S22" s="60">
        <f ca="1">AVERAGE(OFFSET($R$3,0,0,'Données projet'!$E$9+1,1))-AVERAGE(OFFSET($H$3,0,0,'Données projet'!$E$9+1,1))</f>
        <v>260.02504691866199</v>
      </c>
      <c r="T22" s="60">
        <f t="shared" si="34"/>
        <v>270.11268336406368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7.0784743588995704</v>
      </c>
      <c r="AB22" s="23">
        <f>EXP(-LN(2)/2)*AB21+(1-EXP(-LN(2)/2))/(LN(2)/2)*V22*Y22*VLOOKUP('Données projet'!$B$9,Paramètres!$A$1:$I$89,3,0)*0.475*44/12</f>
        <v>7.1236093347323894</v>
      </c>
      <c r="AC22" s="24">
        <f t="shared" si="3"/>
        <v>14.202083693631959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2.1</v>
      </c>
      <c r="AI22" s="14">
        <f>IF('Données projet'!$A$62&gt;35,AI21+AH22-AQ21,IF(A22&lt;'Données projet'!$A$62,$AF$205^A22,IF(A22='Données projet'!$A$62,'Données projet'!$B$62,AI21+AH22-AQ21)))</f>
        <v>34.840696297767764</v>
      </c>
      <c r="AJ22" s="14">
        <f>AI22*VLOOKUP('Données projet'!$B$10,Paramètres!$A$1:$I$89,3,0)*VLOOKUP('Données projet'!$B$10,Paramètres!$A$1:$I$89,5,0)</f>
        <v>35.328466045936516</v>
      </c>
      <c r="AK22" s="14">
        <f t="shared" si="35"/>
        <v>10.751650073316766</v>
      </c>
      <c r="AL22" s="22">
        <f t="shared" si="4"/>
        <v>80.256202241032796</v>
      </c>
      <c r="AM22" s="60">
        <f t="shared" si="5"/>
        <v>360.14509112992164</v>
      </c>
      <c r="AN22" s="60">
        <f ca="1">AVERAGE(OFFSET($AM$3,0,0,'Données projet'!$E$10+1,1))-AVERAGE(OFFSET($H$3,0,0,'Données projet'!$E$10+1,1))</f>
        <v>475.47920969424894</v>
      </c>
      <c r="AO22" s="60">
        <f t="shared" si="36"/>
        <v>271.73544012419364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1.8</v>
      </c>
      <c r="BD22" s="13">
        <f>IF('Données projet'!$A$88&gt;35,BD21+BC22-BL21,IF(A22&lt;'Données projet'!$A$88,$BA$205^A22,IF(A22='Données projet'!$A$88,'Données projet'!$B$88,BD21+BC22-BL21)))</f>
        <v>12.507851446223583</v>
      </c>
      <c r="BE22" s="14">
        <f>BD22*VLOOKUP('Données projet'!$B$11,Paramètres!$A$1:$I$89,3,0)*VLOOKUP('Données projet'!$B$11,Paramètres!$A$1:$I$89,5,0)</f>
        <v>11.317103988543098</v>
      </c>
      <c r="BF22" s="14">
        <f t="shared" si="37"/>
        <v>3.9321726817897988</v>
      </c>
      <c r="BG22" s="22">
        <f t="shared" si="7"/>
        <v>26.559156867496458</v>
      </c>
      <c r="BH22" s="60">
        <f t="shared" si="8"/>
        <v>306.44804575638534</v>
      </c>
      <c r="BI22" s="60">
        <f ca="1">AVERAGE(OFFSET($BH$3,0,0,'Données projet'!$E$11+1,1))-AVERAGE(OFFSET($H$3,0,0,'Données projet'!$E$11+1,1))</f>
        <v>325.2649384779973</v>
      </c>
      <c r="BJ22" s="60">
        <f t="shared" si="38"/>
        <v>146.70159365068315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23</v>
      </c>
      <c r="BY22" s="13">
        <f>IF('Données projet'!$A$114&gt;35,BY21+BX22-CG21,IF(A22&lt;'Données projet'!$A$114,$BV$205^A22,IF(A22='Données projet'!$A$114,'Données projet'!$B$114,BY21+BX22-CG21)))</f>
        <v>102</v>
      </c>
      <c r="BZ22" s="14">
        <f>BY22*VLOOKUP('Données projet'!$B$12,Paramètres!$A$1:$I$89,3,0)*VLOOKUP('Données projet'!$B$12,Paramètres!$A$1:$I$89,5,0)</f>
        <v>45.084000000000003</v>
      </c>
      <c r="CA22" s="14">
        <f t="shared" si="39"/>
        <v>13.336635871167738</v>
      </c>
      <c r="CB22" s="22">
        <f t="shared" si="10"/>
        <v>101.74927414228381</v>
      </c>
      <c r="CC22" s="60">
        <f t="shared" si="11"/>
        <v>381.63816303117267</v>
      </c>
      <c r="CD22" s="60">
        <f ca="1">AVERAGE(OFFSET($CC$3,0,0,'Données projet'!$E$12+1,1))-AVERAGE(OFFSET($H$3,0,0,'Données projet'!$E$12+1,1))</f>
        <v>401.84375324751227</v>
      </c>
      <c r="CE22" s="60">
        <f t="shared" si="40"/>
        <v>350.39368043404164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4.857846153846153</v>
      </c>
      <c r="CT22" s="13">
        <f>IF('Données projet'!$A$140&gt;35,CT21+CS22-DB21,IF(A22&lt;'Données projet'!$A$140,$CQ$205^A22,IF(A22='Données projet'!$A$140,'Données projet'!$B$140,CT21+CS22-DB21)))</f>
        <v>38.3823588700225</v>
      </c>
      <c r="CU22" s="18">
        <f>CT22*VLOOKUP('Données projet'!$B$13,Paramètres!$A$1:$I$89,3,0)*VLOOKUP('Données projet'!$B$13,Paramètres!$A$1:$I$89,5,0)</f>
        <v>22.952650604273455</v>
      </c>
      <c r="CV22" s="14">
        <f t="shared" si="41"/>
        <v>7.3448675292022392</v>
      </c>
      <c r="CW22" s="22">
        <f t="shared" si="13"/>
        <v>52.7681774158035</v>
      </c>
      <c r="CX22" s="60">
        <f t="shared" si="14"/>
        <v>332.65706630469236</v>
      </c>
      <c r="CY22" s="60">
        <f ca="1">AVERAGE(OFFSET($CX$3,0,0,'Données projet'!$E$13+1,1))-AVERAGE(OFFSET($H$3,0,0,'Données projet'!$E$13+1,1))</f>
        <v>232.73140429491525</v>
      </c>
      <c r="CZ22" s="60">
        <f t="shared" si="42"/>
        <v>201.02719152328638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4.4871794871794872</v>
      </c>
      <c r="DO22" s="13">
        <f>IF('Données projet'!$A$166&gt;35,DO21+DN22-DW21,IF(A22&lt;'Données projet'!$A$166,$DL$205^A22,IF(A22='Données projet'!$A$166,'Données projet'!$B$166,DO21+DN22-DW21)))</f>
        <v>40.384615384615387</v>
      </c>
      <c r="DP22" s="18">
        <f>DO22*VLOOKUP('Données projet'!$B$14,Paramètres!$A$1:$I$89,3,0)*VLOOKUP('Données projet'!$B$14,Paramètres!$A$1:$I$89,5,0)</f>
        <v>38.430000000000007</v>
      </c>
      <c r="DQ22" s="14">
        <f t="shared" si="43"/>
        <v>11.581553470162158</v>
      </c>
      <c r="DR22" s="22">
        <f t="shared" si="16"/>
        <v>87.103455627199097</v>
      </c>
      <c r="DS22" s="60">
        <f t="shared" si="17"/>
        <v>366.99234451608794</v>
      </c>
      <c r="DT22" s="60">
        <f ca="1">AVERAGE(OFFSET($DS$3,0,0,'Données projet'!$E$14+1,1))-AVERAGE(OFFSET($H$3,0,0,'Données projet'!$E$14+1,1))</f>
        <v>302.15577364214136</v>
      </c>
      <c r="DU22" s="60">
        <f t="shared" si="44"/>
        <v>197.15142751137051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5.7692307692307683</v>
      </c>
      <c r="EJ22" s="13">
        <f>IF('Données projet'!$A$192&gt;35,EJ21+EI22-ER21,IF(A22&lt;'Données projet'!$A$192,$EG$205^A22,IF(A22='Données projet'!$A$192,'Données projet'!$B$192,EJ21+EI22-ER21)))</f>
        <v>53.205128205128197</v>
      </c>
      <c r="EK22" s="18">
        <f>EJ22*VLOOKUP('Données projet'!$B$15,Paramètres!$A$1:$I$89,3,0)*VLOOKUP('Données projet'!$B$15,Paramètres!$A$1:$I$89,5,0)</f>
        <v>55.61</v>
      </c>
      <c r="EL22" s="14">
        <f t="shared" si="45"/>
        <v>16.053478951715945</v>
      </c>
      <c r="EM22" s="22">
        <f t="shared" si="19"/>
        <v>124.81389250757191</v>
      </c>
      <c r="EN22" s="60">
        <f t="shared" si="20"/>
        <v>404.70278139646075</v>
      </c>
      <c r="EO22" s="60">
        <f ca="1">AVERAGE(OFFSET($EN$3,0,0,'Données projet'!$E$15+1,1))-AVERAGE(OFFSET($H$3,0,0,'Données projet'!$E$15+1,1))</f>
        <v>493.70175665335978</v>
      </c>
      <c r="EP22" s="60">
        <f t="shared" si="46"/>
        <v>325.12357781685949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0" t="e">
        <f t="shared" si="23"/>
        <v>#N/A</v>
      </c>
      <c r="FJ22" s="60" t="e">
        <f ca="1">AVERAGE(OFFSET($FI$3,0,0,'Données projet'!$E$16+1,1))-AVERAGE(OFFSET($H$3,0,0,'Données projet'!$E$16+1,1))</f>
        <v>#N/A</v>
      </c>
      <c r="FK22" s="60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0" t="e">
        <f t="shared" si="26"/>
        <v>#N/A</v>
      </c>
      <c r="GE22" s="60" t="e">
        <f ca="1">AVERAGE(OFFSET($GD$3,0,0,'Données projet'!$E$17+1,1))-AVERAGE(OFFSET($H$3,0,0,'Données projet'!$E$17+1,1))</f>
        <v>#N/A</v>
      </c>
      <c r="GF22" s="60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5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8">
        <f t="shared" si="1"/>
        <v>256.66666666666669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14.926923076923075</v>
      </c>
      <c r="N23" s="14">
        <f>IF('Données projet'!$A$36&gt;35,N22+M23-V22,IF(A23&lt;'Données projet'!$A$36,$K$205^A23,IF(A23='Données projet'!$A$36,'Données projet'!$B$36,N22+M23-V22)))</f>
        <v>129.02692307692308</v>
      </c>
      <c r="O23" s="14">
        <f>N23*VLOOKUP('Données projet'!$B$9,Paramètres!$A$1:$I$89,3,0)*VLOOKUP('Données projet'!$B$9,Paramètres!$A$1:$I$89,5,0)</f>
        <v>77.158100000000005</v>
      </c>
      <c r="P23" s="14">
        <f t="shared" si="33"/>
        <v>21.440868838738705</v>
      </c>
      <c r="Q23" s="22">
        <f t="shared" si="2"/>
        <v>171.72653739413659</v>
      </c>
      <c r="R23" s="60">
        <f t="shared" si="0"/>
        <v>452.83764850524773</v>
      </c>
      <c r="S23" s="60">
        <f ca="1">AVERAGE(OFFSET($R$3,0,0,'Données projet'!$E$9+1,1))-AVERAGE(OFFSET($H$3,0,0,'Données projet'!$E$9+1,1))</f>
        <v>260.02504691866199</v>
      </c>
      <c r="T23" s="60">
        <f t="shared" si="34"/>
        <v>270.11268336406368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6.8849131053146735</v>
      </c>
      <c r="AB23" s="23">
        <f>EXP(-LN(2)/2)*AB22+(1-EXP(-LN(2)/2))/(LN(2)/2)*V23*Y23*VLOOKUP('Données projet'!$B$9,Paramètres!$A$1:$I$89,3,0)*0.475*44/12</f>
        <v>5.0371524671130636</v>
      </c>
      <c r="AC23" s="24">
        <f t="shared" si="3"/>
        <v>11.922065572427737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42</v>
      </c>
      <c r="AG23" s="13">
        <f>VLOOKUP(A23,'Données projet'!$A$61:$I$81,9,0)</f>
        <v>2.1</v>
      </c>
      <c r="AH23" s="13">
        <f t="array" ref="AH23">INDEX(AG:AG,MIN(IF(ISNUMBER(AG23:AG219),ROW(AG23:AG219),"")))</f>
        <v>2.1</v>
      </c>
      <c r="AI23" s="14">
        <f>IF('Données projet'!$A$62&gt;35,AI22+AH23-AQ22,IF(A23&lt;'Données projet'!$A$62,$AF$205^A23,IF(A23='Données projet'!$A$62,'Données projet'!$B$62,AI22+AH23-AQ22)))</f>
        <v>42</v>
      </c>
      <c r="AJ23" s="14">
        <f>AI23*VLOOKUP('Données projet'!$B$10,Paramètres!$A$1:$I$89,3,0)*VLOOKUP('Données projet'!$B$10,Paramètres!$A$1:$I$89,5,0)</f>
        <v>42.588000000000001</v>
      </c>
      <c r="AK23" s="14">
        <f t="shared" si="35"/>
        <v>12.682073764365764</v>
      </c>
      <c r="AL23" s="22">
        <f t="shared" si="4"/>
        <v>96.262045139603686</v>
      </c>
      <c r="AM23" s="60">
        <f t="shared" si="5"/>
        <v>377.37315625071483</v>
      </c>
      <c r="AN23" s="60">
        <f ca="1">AVERAGE(OFFSET($AM$3,0,0,'Données projet'!$E$10+1,1))-AVERAGE(OFFSET($H$3,0,0,'Données projet'!$E$10+1,1))</f>
        <v>475.47920969424894</v>
      </c>
      <c r="AO23" s="60">
        <f t="shared" si="36"/>
        <v>271.73544012419364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1.8</v>
      </c>
      <c r="BD23" s="13">
        <f>IF('Données projet'!$A$88&gt;35,BD22+BC23-BL22,IF(A23&lt;'Données projet'!$A$88,$BA$205^A23,IF(A23='Données projet'!$A$88,'Données projet'!$B$88,BD22+BC23-BL22)))</f>
        <v>14.286609467713813</v>
      </c>
      <c r="BE23" s="14">
        <f>BD23*VLOOKUP('Données projet'!$B$11,Paramètres!$A$1:$I$89,3,0)*VLOOKUP('Données projet'!$B$11,Paramètres!$A$1:$I$89,5,0)</f>
        <v>12.926524246387457</v>
      </c>
      <c r="BF23" s="14">
        <f t="shared" si="37"/>
        <v>4.4223931894708697</v>
      </c>
      <c r="BG23" s="22">
        <f t="shared" si="7"/>
        <v>30.216031200786585</v>
      </c>
      <c r="BH23" s="60">
        <f t="shared" si="8"/>
        <v>311.32714231189772</v>
      </c>
      <c r="BI23" s="60">
        <f ca="1">AVERAGE(OFFSET($BH$3,0,0,'Données projet'!$E$11+1,1))-AVERAGE(OFFSET($H$3,0,0,'Données projet'!$E$11+1,1))</f>
        <v>325.2649384779973</v>
      </c>
      <c r="BJ23" s="60">
        <f t="shared" si="38"/>
        <v>146.70159365068315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23</v>
      </c>
      <c r="BY23" s="13">
        <f>IF('Données projet'!$A$114&gt;35,BY22+BX23-CG22,IF(A23&lt;'Données projet'!$A$114,$BV$205^A23,IF(A23='Données projet'!$A$114,'Données projet'!$B$114,BY22+BX23-CG22)))</f>
        <v>125</v>
      </c>
      <c r="BZ23" s="14">
        <f>BY23*VLOOKUP('Données projet'!$B$12,Paramètres!$A$1:$I$89,3,0)*VLOOKUP('Données projet'!$B$12,Paramètres!$A$1:$I$89,5,0)</f>
        <v>55.25</v>
      </c>
      <c r="CA23" s="14">
        <f t="shared" si="39"/>
        <v>15.961616407768362</v>
      </c>
      <c r="CB23" s="22">
        <f t="shared" si="10"/>
        <v>124.02689857686322</v>
      </c>
      <c r="CC23" s="60">
        <f t="shared" si="11"/>
        <v>405.13800968797437</v>
      </c>
      <c r="CD23" s="60">
        <f ca="1">AVERAGE(OFFSET($CC$3,0,0,'Données projet'!$E$12+1,1))-AVERAGE(OFFSET($H$3,0,0,'Données projet'!$E$12+1,1))</f>
        <v>401.84375324751227</v>
      </c>
      <c r="CE23" s="60">
        <f t="shared" si="40"/>
        <v>350.39368043404164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4.857846153846153</v>
      </c>
      <c r="CT23" s="13">
        <f>IF('Données projet'!$A$140&gt;35,CT22+CS23-DB22,IF(A23&lt;'Données projet'!$A$140,$CQ$205^A23,IF(A23='Données projet'!$A$140,'Données projet'!$B$140,CT22+CS23-DB22)))</f>
        <v>46.505788516040859</v>
      </c>
      <c r="CU23" s="18">
        <f>CT23*VLOOKUP('Données projet'!$B$13,Paramètres!$A$1:$I$89,3,0)*VLOOKUP('Données projet'!$B$13,Paramètres!$A$1:$I$89,5,0)</f>
        <v>27.810461532592438</v>
      </c>
      <c r="CV23" s="14">
        <f t="shared" si="41"/>
        <v>8.702708303737154</v>
      </c>
      <c r="CW23" s="22">
        <f t="shared" si="13"/>
        <v>63.593770798274043</v>
      </c>
      <c r="CX23" s="60">
        <f t="shared" si="14"/>
        <v>344.70488190938516</v>
      </c>
      <c r="CY23" s="60">
        <f ca="1">AVERAGE(OFFSET($CX$3,0,0,'Données projet'!$E$13+1,1))-AVERAGE(OFFSET($H$3,0,0,'Données projet'!$E$13+1,1))</f>
        <v>232.73140429491525</v>
      </c>
      <c r="CZ23" s="60">
        <f t="shared" si="42"/>
        <v>201.02719152328638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44.871794871794869</v>
      </c>
      <c r="DM23" s="13">
        <f>VLOOKUP(A23,'Données projet'!$A$165:$I$185,9,0)</f>
        <v>4.4871794871794872</v>
      </c>
      <c r="DN23" s="13">
        <f t="array" ref="DN23">INDEX(DM:DM,MIN(IF(ISNUMBER(DM23:DM219),ROW(DM23:DM219),"")))</f>
        <v>4.4871794871794872</v>
      </c>
      <c r="DO23" s="13">
        <f>IF('Données projet'!$A$166&gt;35,DO22+DN23-DW22,IF(A23&lt;'Données projet'!$A$166,$DL$205^A23,IF(A23='Données projet'!$A$166,'Données projet'!$B$166,DO22+DN23-DW22)))</f>
        <v>44.871794871794876</v>
      </c>
      <c r="DP23" s="18">
        <f>DO23*VLOOKUP('Données projet'!$B$14,Paramètres!$A$1:$I$89,3,0)*VLOOKUP('Données projet'!$B$14,Paramètres!$A$1:$I$89,5,0)</f>
        <v>42.7</v>
      </c>
      <c r="DQ23" s="14">
        <f t="shared" si="43"/>
        <v>12.711539029096146</v>
      </c>
      <c r="DR23" s="22">
        <f t="shared" si="16"/>
        <v>96.50843047567578</v>
      </c>
      <c r="DS23" s="60">
        <f t="shared" si="17"/>
        <v>377.61954158678691</v>
      </c>
      <c r="DT23" s="60">
        <f ca="1">AVERAGE(OFFSET($DS$3,0,0,'Données projet'!$E$14+1,1))-AVERAGE(OFFSET($H$3,0,0,'Données projet'!$E$14+1,1))</f>
        <v>302.15577364214136</v>
      </c>
      <c r="DU23" s="60">
        <f t="shared" si="44"/>
        <v>197.15142751137051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58.974358974358971</v>
      </c>
      <c r="EH23" s="13">
        <f>VLOOKUP(A23,'Données projet'!$A$191:$I$211,9,0)</f>
        <v>5.7692307692307683</v>
      </c>
      <c r="EI23" s="13">
        <f t="array" ref="EI23">INDEX(EH:EH,MIN(IF(ISNUMBER(EH23:EH219),ROW(EH23:EH219),"")))</f>
        <v>5.7692307692307683</v>
      </c>
      <c r="EJ23" s="13">
        <f>IF('Données projet'!$A$192&gt;35,EJ22+EI23-ER22,IF(A23&lt;'Données projet'!$A$192,$EG$205^A23,IF(A23='Données projet'!$A$192,'Données projet'!$B$192,EJ22+EI23-ER22)))</f>
        <v>58.974358974358964</v>
      </c>
      <c r="EK23" s="18">
        <f>EJ23*VLOOKUP('Données projet'!$B$15,Paramètres!$A$1:$I$89,3,0)*VLOOKUP('Données projet'!$B$15,Paramètres!$A$1:$I$89,5,0)</f>
        <v>61.64</v>
      </c>
      <c r="EL23" s="14">
        <f t="shared" si="45"/>
        <v>17.582259466632539</v>
      </c>
      <c r="EM23" s="22">
        <f t="shared" si="19"/>
        <v>137.97876857105169</v>
      </c>
      <c r="EN23" s="60">
        <f t="shared" si="20"/>
        <v>419.08987968216286</v>
      </c>
      <c r="EO23" s="60">
        <f ca="1">AVERAGE(OFFSET($EN$3,0,0,'Données projet'!$E$15+1,1))-AVERAGE(OFFSET($H$3,0,0,'Données projet'!$E$15+1,1))</f>
        <v>493.70175665335978</v>
      </c>
      <c r="EP23" s="60">
        <f t="shared" si="46"/>
        <v>325.12357781685949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0" t="e">
        <f t="shared" si="23"/>
        <v>#N/A</v>
      </c>
      <c r="FJ23" s="60" t="e">
        <f ca="1">AVERAGE(OFFSET($FI$3,0,0,'Données projet'!$E$16+1,1))-AVERAGE(OFFSET($H$3,0,0,'Données projet'!$E$16+1,1))</f>
        <v>#N/A</v>
      </c>
      <c r="FK23" s="60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0" t="e">
        <f t="shared" si="26"/>
        <v>#N/A</v>
      </c>
      <c r="GE23" s="60" t="e">
        <f ca="1">AVERAGE(OFFSET($GD$3,0,0,'Données projet'!$E$17+1,1))-AVERAGE(OFFSET($H$3,0,0,'Données projet'!$E$17+1,1))</f>
        <v>#N/A</v>
      </c>
      <c r="GF23" s="60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5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8">
        <f t="shared" si="1"/>
        <v>256.66666666666669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14.926923076923075</v>
      </c>
      <c r="N24" s="14">
        <f>IF('Données projet'!$A$36&gt;35,N23+M24-V23,IF(A24&lt;'Données projet'!$A$36,$K$205^A24,IF(A24='Données projet'!$A$36,'Données projet'!$B$36,N23+M24-V23)))</f>
        <v>143.95384615384614</v>
      </c>
      <c r="O24" s="14">
        <f>N24*VLOOKUP('Données projet'!$B$9,Paramètres!$A$1:$I$89,3,0)*VLOOKUP('Données projet'!$B$9,Paramètres!$A$1:$I$89,5,0)</f>
        <v>86.084400000000002</v>
      </c>
      <c r="P24" s="14">
        <f t="shared" si="33"/>
        <v>23.618445758177199</v>
      </c>
      <c r="Q24" s="22">
        <f t="shared" si="2"/>
        <v>191.06578969549196</v>
      </c>
      <c r="R24" s="60">
        <f t="shared" si="0"/>
        <v>473.39912302882527</v>
      </c>
      <c r="S24" s="60">
        <f ca="1">AVERAGE(OFFSET($R$3,0,0,'Données projet'!$E$9+1,1))-AVERAGE(OFFSET($H$3,0,0,'Données projet'!$E$9+1,1))</f>
        <v>260.02504691866199</v>
      </c>
      <c r="T24" s="60">
        <f t="shared" si="34"/>
        <v>270.11268336406368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6.696644794387999</v>
      </c>
      <c r="AB24" s="23">
        <f>EXP(-LN(2)/2)*AB23+(1-EXP(-LN(2)/2))/(LN(2)/2)*V24*Y24*VLOOKUP('Données projet'!$B$9,Paramètres!$A$1:$I$89,3,0)*0.475*44/12</f>
        <v>3.5618046673661952</v>
      </c>
      <c r="AC24" s="24">
        <f t="shared" si="3"/>
        <v>10.258449461754195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5.6</v>
      </c>
      <c r="AI24" s="14">
        <f>IF('Données projet'!$A$62&gt;35,AI23+AH24-AQ23,IF(A24&lt;'Données projet'!$A$62,$AF$205^A24,IF(A24='Données projet'!$A$62,'Données projet'!$B$62,AI23+AH24-AQ23)))</f>
        <v>47.6</v>
      </c>
      <c r="AJ24" s="14">
        <f>AI24*VLOOKUP('Données projet'!$B$10,Paramètres!$A$1:$I$89,3,0)*VLOOKUP('Données projet'!$B$10,Paramètres!$A$1:$I$89,5,0)</f>
        <v>48.266400000000004</v>
      </c>
      <c r="AK24" s="14">
        <f t="shared" si="35"/>
        <v>14.165134590154434</v>
      </c>
      <c r="AL24" s="22">
        <f t="shared" si="4"/>
        <v>108.73492274451898</v>
      </c>
      <c r="AM24" s="60">
        <f t="shared" si="5"/>
        <v>391.06825607785231</v>
      </c>
      <c r="AN24" s="60">
        <f ca="1">AVERAGE(OFFSET($AM$3,0,0,'Données projet'!$E$10+1,1))-AVERAGE(OFFSET($H$3,0,0,'Données projet'!$E$10+1,1))</f>
        <v>475.47920969424894</v>
      </c>
      <c r="AO24" s="60">
        <f t="shared" si="36"/>
        <v>271.73544012419364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1.8</v>
      </c>
      <c r="BD24" s="13">
        <f>IF('Données projet'!$A$88&gt;35,BD23+BC24-BL23,IF(A24&lt;'Données projet'!$A$88,$BA$205^A24,IF(A24='Données projet'!$A$88,'Données projet'!$B$88,BD23+BC24-BL23)))</f>
        <v>16.31832700927982</v>
      </c>
      <c r="BE24" s="14">
        <f>BD24*VLOOKUP('Données projet'!$B$11,Paramètres!$A$1:$I$89,3,0)*VLOOKUP('Données projet'!$B$11,Paramètres!$A$1:$I$89,5,0)</f>
        <v>14.764822277996382</v>
      </c>
      <c r="BF24" s="14">
        <f t="shared" si="37"/>
        <v>4.9737290564198613</v>
      </c>
      <c r="BG24" s="22">
        <f t="shared" si="7"/>
        <v>34.377976907441628</v>
      </c>
      <c r="BH24" s="60">
        <f t="shared" si="8"/>
        <v>316.71131024077494</v>
      </c>
      <c r="BI24" s="60">
        <f ca="1">AVERAGE(OFFSET($BH$3,0,0,'Données projet'!$E$11+1,1))-AVERAGE(OFFSET($H$3,0,0,'Données projet'!$E$11+1,1))</f>
        <v>325.2649384779973</v>
      </c>
      <c r="BJ24" s="60">
        <f t="shared" si="38"/>
        <v>146.70159365068315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23</v>
      </c>
      <c r="BY24" s="13">
        <f>IF('Données projet'!$A$114&gt;35,BY23+BX24-CG23,IF(A24&lt;'Données projet'!$A$114,$BV$205^A24,IF(A24='Données projet'!$A$114,'Données projet'!$B$114,BY23+BX24-CG23)))</f>
        <v>148</v>
      </c>
      <c r="BZ24" s="14">
        <f>BY24*VLOOKUP('Données projet'!$B$12,Paramètres!$A$1:$I$89,3,0)*VLOOKUP('Données projet'!$B$12,Paramètres!$A$1:$I$89,5,0)</f>
        <v>65.415999999999997</v>
      </c>
      <c r="CA24" s="14">
        <f t="shared" si="39"/>
        <v>18.530640632011718</v>
      </c>
      <c r="CB24" s="22">
        <f t="shared" si="10"/>
        <v>146.20706576742037</v>
      </c>
      <c r="CC24" s="60">
        <f t="shared" si="11"/>
        <v>428.54039910075369</v>
      </c>
      <c r="CD24" s="60">
        <f ca="1">AVERAGE(OFFSET($CC$3,0,0,'Données projet'!$E$12+1,1))-AVERAGE(OFFSET($H$3,0,0,'Données projet'!$E$12+1,1))</f>
        <v>401.84375324751227</v>
      </c>
      <c r="CE24" s="60">
        <f t="shared" si="40"/>
        <v>350.39368043404164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4.857846153846153</v>
      </c>
      <c r="CT24" s="13">
        <f>IF('Données projet'!$A$140&gt;35,CT23+CS24-DB23,IF(A24&lt;'Données projet'!$A$140,$CQ$205^A24,IF(A24='Données projet'!$A$140,'Données projet'!$B$140,CT23+CS24-DB23)))</f>
        <v>56.348500435388942</v>
      </c>
      <c r="CU24" s="18">
        <f>CT24*VLOOKUP('Données projet'!$B$13,Paramètres!$A$1:$I$89,3,0)*VLOOKUP('Données projet'!$B$13,Paramètres!$A$1:$I$89,5,0)</f>
        <v>33.696403260362594</v>
      </c>
      <c r="CV24" s="14">
        <f t="shared" si="41"/>
        <v>10.311572199064805</v>
      </c>
      <c r="CW24" s="22">
        <f t="shared" si="13"/>
        <v>76.647223925169385</v>
      </c>
      <c r="CX24" s="60">
        <f t="shared" si="14"/>
        <v>358.9805572585027</v>
      </c>
      <c r="CY24" s="60">
        <f ca="1">AVERAGE(OFFSET($CX$3,0,0,'Données projet'!$E$13+1,1))-AVERAGE(OFFSET($H$3,0,0,'Données projet'!$E$13+1,1))</f>
        <v>232.73140429491525</v>
      </c>
      <c r="CZ24" s="60">
        <f t="shared" si="42"/>
        <v>201.02719152328638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4.8717948717948714</v>
      </c>
      <c r="DO24" s="13">
        <f>IF('Données projet'!$A$166&gt;35,DO23+DN24-DW23,IF(A24&lt;'Données projet'!$A$166,$DL$205^A24,IF(A24='Données projet'!$A$166,'Données projet'!$B$166,DO23+DN24-DW23)))</f>
        <v>49.743589743589745</v>
      </c>
      <c r="DP24" s="18">
        <f>DO24*VLOOKUP('Données projet'!$B$14,Paramètres!$A$1:$I$89,3,0)*VLOOKUP('Données projet'!$B$14,Paramètres!$A$1:$I$89,5,0)</f>
        <v>47.335999999999999</v>
      </c>
      <c r="DQ24" s="14">
        <f t="shared" si="43"/>
        <v>13.92359312939363</v>
      </c>
      <c r="DR24" s="22">
        <f t="shared" si="16"/>
        <v>106.69379136702723</v>
      </c>
      <c r="DS24" s="60">
        <f t="shared" si="17"/>
        <v>389.02712470036056</v>
      </c>
      <c r="DT24" s="60">
        <f ca="1">AVERAGE(OFFSET($DS$3,0,0,'Données projet'!$E$14+1,1))-AVERAGE(OFFSET($H$3,0,0,'Données projet'!$E$14+1,1))</f>
        <v>302.15577364214136</v>
      </c>
      <c r="DU24" s="60">
        <f t="shared" si="44"/>
        <v>197.15142751137051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6.5384615384615374</v>
      </c>
      <c r="EJ24" s="13">
        <f>IF('Données projet'!$A$192&gt;35,EJ23+EI24-ER23,IF(A24&lt;'Données projet'!$A$192,$EG$205^A24,IF(A24='Données projet'!$A$192,'Données projet'!$B$192,EJ23+EI24-ER23)))</f>
        <v>65.512820512820497</v>
      </c>
      <c r="EK24" s="18">
        <f>EJ24*VLOOKUP('Données projet'!$B$15,Paramètres!$A$1:$I$89,3,0)*VLOOKUP('Données projet'!$B$15,Paramètres!$A$1:$I$89,5,0)</f>
        <v>68.47399999999999</v>
      </c>
      <c r="EL24" s="14">
        <f t="shared" si="45"/>
        <v>19.294013233443497</v>
      </c>
      <c r="EM24" s="22">
        <f t="shared" si="19"/>
        <v>152.8626230482474</v>
      </c>
      <c r="EN24" s="60">
        <f t="shared" si="20"/>
        <v>435.19595638158069</v>
      </c>
      <c r="EO24" s="60">
        <f ca="1">AVERAGE(OFFSET($EN$3,0,0,'Données projet'!$E$15+1,1))-AVERAGE(OFFSET($H$3,0,0,'Données projet'!$E$15+1,1))</f>
        <v>493.70175665335978</v>
      </c>
      <c r="EP24" s="60">
        <f t="shared" si="46"/>
        <v>325.12357781685949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0" t="e">
        <f t="shared" si="23"/>
        <v>#N/A</v>
      </c>
      <c r="FJ24" s="60" t="e">
        <f ca="1">AVERAGE(OFFSET($FI$3,0,0,'Données projet'!$E$16+1,1))-AVERAGE(OFFSET($H$3,0,0,'Données projet'!$E$16+1,1))</f>
        <v>#N/A</v>
      </c>
      <c r="FK24" s="60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0" t="e">
        <f t="shared" si="26"/>
        <v>#N/A</v>
      </c>
      <c r="GE24" s="60" t="e">
        <f ca="1">AVERAGE(OFFSET($GD$3,0,0,'Données projet'!$E$17+1,1))-AVERAGE(OFFSET($H$3,0,0,'Données projet'!$E$17+1,1))</f>
        <v>#N/A</v>
      </c>
      <c r="GF24" s="60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5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8">
        <f t="shared" si="1"/>
        <v>256.66666666666669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14.926923076923075</v>
      </c>
      <c r="N25" s="14">
        <f>IF('Données projet'!$A$36&gt;35,N24+M25-V24,IF(A25&lt;'Données projet'!$A$36,$K$205^A25,IF(A25='Données projet'!$A$36,'Données projet'!$B$36,N24+M25-V24)))</f>
        <v>158.8807692307692</v>
      </c>
      <c r="O25" s="14">
        <f>N25*VLOOKUP('Données projet'!$B$9,Paramètres!$A$1:$I$89,3,0)*VLOOKUP('Données projet'!$B$9,Paramètres!$A$1:$I$89,5,0)</f>
        <v>95.0107</v>
      </c>
      <c r="P25" s="14">
        <f t="shared" si="33"/>
        <v>25.769848277327686</v>
      </c>
      <c r="Q25" s="22">
        <f t="shared" si="2"/>
        <v>210.3594549163457</v>
      </c>
      <c r="R25" s="60">
        <f t="shared" si="0"/>
        <v>493.91501047190127</v>
      </c>
      <c r="S25" s="60">
        <f ca="1">AVERAGE(OFFSET($R$3,0,0,'Données projet'!$E$9+1,1))-AVERAGE(OFFSET($H$3,0,0,'Données projet'!$E$9+1,1))</f>
        <v>260.02504691866199</v>
      </c>
      <c r="T25" s="60">
        <f t="shared" si="34"/>
        <v>270.11268336406368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6.513524690324215</v>
      </c>
      <c r="AB25" s="23">
        <f>EXP(-LN(2)/2)*AB24+(1-EXP(-LN(2)/2))/(LN(2)/2)*V25*Y25*VLOOKUP('Données projet'!$B$9,Paramètres!$A$1:$I$89,3,0)*0.475*44/12</f>
        <v>2.5185762335565318</v>
      </c>
      <c r="AC25" s="24">
        <f t="shared" si="3"/>
        <v>9.0321009238807477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5.6</v>
      </c>
      <c r="AI25" s="14">
        <f>IF('Données projet'!$A$62&gt;35,AI24+AH25-AQ24,IF(A25&lt;'Données projet'!$A$62,$AF$205^A25,IF(A25='Données projet'!$A$62,'Données projet'!$B$62,AI24+AH25-AQ24)))</f>
        <v>53.2</v>
      </c>
      <c r="AJ25" s="14">
        <f>AI25*VLOOKUP('Données projet'!$B$10,Paramètres!$A$1:$I$89,3,0)*VLOOKUP('Données projet'!$B$10,Paramètres!$A$1:$I$89,5,0)</f>
        <v>53.944800000000008</v>
      </c>
      <c r="AK25" s="14">
        <f t="shared" si="35"/>
        <v>15.627975445731321</v>
      </c>
      <c r="AL25" s="22">
        <f t="shared" si="4"/>
        <v>121.17258390131538</v>
      </c>
      <c r="AM25" s="60">
        <f t="shared" si="5"/>
        <v>404.72813945687091</v>
      </c>
      <c r="AN25" s="60">
        <f ca="1">AVERAGE(OFFSET($AM$3,0,0,'Données projet'!$E$10+1,1))-AVERAGE(OFFSET($H$3,0,0,'Données projet'!$E$10+1,1))</f>
        <v>475.47920969424894</v>
      </c>
      <c r="AO25" s="60">
        <f t="shared" si="36"/>
        <v>271.73544012419364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1.8</v>
      </c>
      <c r="BD25" s="13">
        <f>IF('Données projet'!$A$88&gt;35,BD24+BC25-BL24,IF(A25&lt;'Données projet'!$A$88,$BA$205^A25,IF(A25='Données projet'!$A$88,'Données projet'!$B$88,BD24+BC25-BL24)))</f>
        <v>18.63897777730768</v>
      </c>
      <c r="BE25" s="14">
        <f>BD25*VLOOKUP('Données projet'!$B$11,Paramètres!$A$1:$I$89,3,0)*VLOOKUP('Données projet'!$B$11,Paramètres!$A$1:$I$89,5,0)</f>
        <v>16.864547092907991</v>
      </c>
      <c r="BF25" s="14">
        <f t="shared" si="37"/>
        <v>5.5937994806913727</v>
      </c>
      <c r="BG25" s="22">
        <f t="shared" si="7"/>
        <v>39.114953615685558</v>
      </c>
      <c r="BH25" s="60">
        <f t="shared" si="8"/>
        <v>322.67050917124112</v>
      </c>
      <c r="BI25" s="60">
        <f ca="1">AVERAGE(OFFSET($BH$3,0,0,'Données projet'!$E$11+1,1))-AVERAGE(OFFSET($H$3,0,0,'Données projet'!$E$11+1,1))</f>
        <v>325.2649384779973</v>
      </c>
      <c r="BJ25" s="60">
        <f t="shared" si="38"/>
        <v>146.70159365068315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23</v>
      </c>
      <c r="BY25" s="13">
        <f>IF('Données projet'!$A$114&gt;35,BY24+BX25-CG24,IF(A25&lt;'Données projet'!$A$114,$BV$205^A25,IF(A25='Données projet'!$A$114,'Données projet'!$B$114,BY24+BX25-CG24)))</f>
        <v>171</v>
      </c>
      <c r="BZ25" s="14">
        <f>BY25*VLOOKUP('Données projet'!$B$12,Paramètres!$A$1:$I$89,3,0)*VLOOKUP('Données projet'!$B$12,Paramètres!$A$1:$I$89,5,0)</f>
        <v>75.582000000000008</v>
      </c>
      <c r="CA25" s="14">
        <f t="shared" si="39"/>
        <v>21.053414706764137</v>
      </c>
      <c r="CB25" s="22">
        <f t="shared" si="10"/>
        <v>168.30668061428091</v>
      </c>
      <c r="CC25" s="60">
        <f t="shared" si="11"/>
        <v>451.86223616983648</v>
      </c>
      <c r="CD25" s="60">
        <f ca="1">AVERAGE(OFFSET($CC$3,0,0,'Données projet'!$E$12+1,1))-AVERAGE(OFFSET($H$3,0,0,'Données projet'!$E$12+1,1))</f>
        <v>401.84375324751227</v>
      </c>
      <c r="CE25" s="60">
        <f t="shared" si="40"/>
        <v>350.39368043404164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4.857846153846153</v>
      </c>
      <c r="CT25" s="13">
        <f>IF('Données projet'!$A$140&gt;35,CT24+CS25-DB24,IF(A25&lt;'Données projet'!$A$140,$CQ$205^A25,IF(A25='Données projet'!$A$140,'Données projet'!$B$140,CT24+CS25-DB24)))</f>
        <v>68.274371914409073</v>
      </c>
      <c r="CU25" s="18">
        <f>CT25*VLOOKUP('Données projet'!$B$13,Paramètres!$A$1:$I$89,3,0)*VLOOKUP('Données projet'!$B$13,Paramètres!$A$1:$I$89,5,0)</f>
        <v>40.828074404816626</v>
      </c>
      <c r="CV25" s="14">
        <f t="shared" si="41"/>
        <v>12.217865692552984</v>
      </c>
      <c r="CW25" s="22">
        <f t="shared" si="13"/>
        <v>92.388345669585405</v>
      </c>
      <c r="CX25" s="60">
        <f t="shared" si="14"/>
        <v>375.94390122514096</v>
      </c>
      <c r="CY25" s="60">
        <f ca="1">AVERAGE(OFFSET($CX$3,0,0,'Données projet'!$E$13+1,1))-AVERAGE(OFFSET($H$3,0,0,'Données projet'!$E$13+1,1))</f>
        <v>232.73140429491525</v>
      </c>
      <c r="CZ25" s="60">
        <f t="shared" si="42"/>
        <v>201.02719152328638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4.8717948717948714</v>
      </c>
      <c r="DO25" s="13">
        <f>IF('Données projet'!$A$166&gt;35,DO24+DN25-DW24,IF(A25&lt;'Données projet'!$A$166,$DL$205^A25,IF(A25='Données projet'!$A$166,'Données projet'!$B$166,DO24+DN25-DW24)))</f>
        <v>54.615384615384613</v>
      </c>
      <c r="DP25" s="18">
        <f>DO25*VLOOKUP('Données projet'!$B$14,Paramètres!$A$1:$I$89,3,0)*VLOOKUP('Données projet'!$B$14,Paramètres!$A$1:$I$89,5,0)</f>
        <v>51.972000000000001</v>
      </c>
      <c r="DQ25" s="14">
        <f t="shared" si="43"/>
        <v>15.121885070896258</v>
      </c>
      <c r="DR25" s="22">
        <f t="shared" si="16"/>
        <v>116.85518316514431</v>
      </c>
      <c r="DS25" s="60">
        <f t="shared" si="17"/>
        <v>400.41073872069984</v>
      </c>
      <c r="DT25" s="60">
        <f ca="1">AVERAGE(OFFSET($DS$3,0,0,'Données projet'!$E$14+1,1))-AVERAGE(OFFSET($H$3,0,0,'Données projet'!$E$14+1,1))</f>
        <v>302.15577364214136</v>
      </c>
      <c r="DU25" s="60">
        <f t="shared" si="44"/>
        <v>197.15142751137051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6.5384615384615374</v>
      </c>
      <c r="EJ25" s="13">
        <f>IF('Données projet'!$A$192&gt;35,EJ24+EI25-ER24,IF(A25&lt;'Données projet'!$A$192,$EG$205^A25,IF(A25='Données projet'!$A$192,'Données projet'!$B$192,EJ24+EI25-ER24)))</f>
        <v>72.05128205128203</v>
      </c>
      <c r="EK25" s="18">
        <f>EJ25*VLOOKUP('Données projet'!$B$15,Paramètres!$A$1:$I$89,3,0)*VLOOKUP('Données projet'!$B$15,Paramètres!$A$1:$I$89,5,0)</f>
        <v>75.307999999999979</v>
      </c>
      <c r="EL25" s="14">
        <f t="shared" si="45"/>
        <v>20.985961565400835</v>
      </c>
      <c r="EM25" s="22">
        <f t="shared" si="19"/>
        <v>167.71198305973977</v>
      </c>
      <c r="EN25" s="60">
        <f t="shared" si="20"/>
        <v>451.26753861529528</v>
      </c>
      <c r="EO25" s="60">
        <f ca="1">AVERAGE(OFFSET($EN$3,0,0,'Données projet'!$E$15+1,1))-AVERAGE(OFFSET($H$3,0,0,'Données projet'!$E$15+1,1))</f>
        <v>493.70175665335978</v>
      </c>
      <c r="EP25" s="60">
        <f t="shared" si="46"/>
        <v>325.12357781685949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0" t="e">
        <f t="shared" si="23"/>
        <v>#N/A</v>
      </c>
      <c r="FJ25" s="60" t="e">
        <f ca="1">AVERAGE(OFFSET($FI$3,0,0,'Données projet'!$E$16+1,1))-AVERAGE(OFFSET($H$3,0,0,'Données projet'!$E$16+1,1))</f>
        <v>#N/A</v>
      </c>
      <c r="FK25" s="60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0" t="e">
        <f t="shared" si="26"/>
        <v>#N/A</v>
      </c>
      <c r="GE25" s="60" t="e">
        <f ca="1">AVERAGE(OFFSET($GD$3,0,0,'Données projet'!$E$17+1,1))-AVERAGE(OFFSET($H$3,0,0,'Données projet'!$E$17+1,1))</f>
        <v>#N/A</v>
      </c>
      <c r="GF25" s="60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5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8">
        <f t="shared" si="1"/>
        <v>256.66666666666669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173.80769230769229</v>
      </c>
      <c r="L26" s="13">
        <f>VLOOKUP(A26,'Données projet'!$A$35:$I$55,9,0)</f>
        <v>14.926923076923075</v>
      </c>
      <c r="M26" s="13">
        <f t="array" ref="M26">INDEX(L:L,MIN(IF(ISNUMBER(L26:L222),ROW(L26:L222),"")))</f>
        <v>14.926923076923075</v>
      </c>
      <c r="N26" s="14">
        <f>IF('Données projet'!$A$36&gt;35,N25+M26-V25,IF(A26&lt;'Données projet'!$A$36,$K$205^A26,IF(A26='Données projet'!$A$36,'Données projet'!$B$36,N25+M26-V25)))</f>
        <v>173.80769230769226</v>
      </c>
      <c r="O26" s="14">
        <f>N26*VLOOKUP('Données projet'!$B$9,Paramètres!$A$1:$I$89,3,0)*VLOOKUP('Données projet'!$B$9,Paramètres!$A$1:$I$89,5,0)</f>
        <v>103.93699999999998</v>
      </c>
      <c r="P26" s="14">
        <f t="shared" si="33"/>
        <v>27.897815230264825</v>
      </c>
      <c r="Q26" s="22">
        <f t="shared" si="2"/>
        <v>229.61230319271121</v>
      </c>
      <c r="R26" s="60">
        <f t="shared" si="0"/>
        <v>514.39008097048895</v>
      </c>
      <c r="S26" s="60">
        <f ca="1">AVERAGE(OFFSET($R$3,0,0,'Données projet'!$E$9+1,1))-AVERAGE(OFFSET($H$3,0,0,'Données projet'!$E$9+1,1))</f>
        <v>260.02504691866199</v>
      </c>
      <c r="T26" s="60">
        <f t="shared" si="34"/>
        <v>270.11268336406368</v>
      </c>
      <c r="U26" s="16">
        <f>IF(ISNA(VLOOKUP(A26,'Données projet'!$A$35:$I$55,3,0)),0,VLOOKUP(A26,'Données projet'!$A$35:$I$55,3,0))</f>
        <v>2</v>
      </c>
      <c r="V26" s="16">
        <f>IF(ISNA(VLOOKUP(A26,'Données projet'!$A$35:$I$55,4,0)),0,VLOOKUP(A26,'Données projet'!$A$35:$I$55,4,0))</f>
        <v>54.099999999999987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0.22500000000000001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15.953659896191899</v>
      </c>
      <c r="AB26" s="23">
        <f>EXP(-LN(2)/2)*AB25+(1-EXP(-LN(2)/2))/(LN(2)/2)*V26*Y26*VLOOKUP('Données projet'!$B$9,Paramètres!$A$1:$I$89,3,0)*0.475*44/12</f>
        <v>20.095778755241454</v>
      </c>
      <c r="AC26" s="24">
        <f t="shared" si="3"/>
        <v>36.049438651433356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5.6</v>
      </c>
      <c r="AI26" s="14">
        <f>IF('Données projet'!$A$62&gt;35,AI25+AH26-AQ25,IF(A26&lt;'Données projet'!$A$62,$AF$205^A26,IF(A26='Données projet'!$A$62,'Données projet'!$B$62,AI25+AH26-AQ25)))</f>
        <v>58.800000000000004</v>
      </c>
      <c r="AJ26" s="14">
        <f>AI26*VLOOKUP('Données projet'!$B$10,Paramètres!$A$1:$I$89,3,0)*VLOOKUP('Données projet'!$B$10,Paramètres!$A$1:$I$89,5,0)</f>
        <v>59.623200000000011</v>
      </c>
      <c r="AK26" s="14">
        <f t="shared" si="35"/>
        <v>17.072967249098898</v>
      </c>
      <c r="AL26" s="22">
        <f t="shared" si="4"/>
        <v>133.57915795884725</v>
      </c>
      <c r="AM26" s="60">
        <f t="shared" si="5"/>
        <v>418.35693573662502</v>
      </c>
      <c r="AN26" s="60">
        <f ca="1">AVERAGE(OFFSET($AM$3,0,0,'Données projet'!$E$10+1,1))-AVERAGE(OFFSET($H$3,0,0,'Données projet'!$E$10+1,1))</f>
        <v>475.47920969424894</v>
      </c>
      <c r="AO26" s="60">
        <f t="shared" si="36"/>
        <v>271.73544012419364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1.8</v>
      </c>
      <c r="BD26" s="13">
        <f>IF('Données projet'!$A$88&gt;35,BD25+BC26-BL25,IF(A26&lt;'Données projet'!$A$88,$BA$205^A26,IF(A26='Données projet'!$A$88,'Données projet'!$B$88,BD25+BC26-BL25)))</f>
        <v>21.289651346330135</v>
      </c>
      <c r="BE26" s="14">
        <f>BD26*VLOOKUP('Données projet'!$B$11,Paramètres!$A$1:$I$89,3,0)*VLOOKUP('Données projet'!$B$11,Paramètres!$A$1:$I$89,5,0)</f>
        <v>19.262876538159507</v>
      </c>
      <c r="BF26" s="14">
        <f t="shared" si="37"/>
        <v>6.2911735390560919</v>
      </c>
      <c r="BG26" s="22">
        <f t="shared" si="7"/>
        <v>44.506637217817172</v>
      </c>
      <c r="BH26" s="60">
        <f t="shared" si="8"/>
        <v>329.28441499559494</v>
      </c>
      <c r="BI26" s="60">
        <f ca="1">AVERAGE(OFFSET($BH$3,0,0,'Données projet'!$E$11+1,1))-AVERAGE(OFFSET($H$3,0,0,'Données projet'!$E$11+1,1))</f>
        <v>325.2649384779973</v>
      </c>
      <c r="BJ26" s="60">
        <f t="shared" si="38"/>
        <v>146.70159365068315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>
        <f>VLOOKUP(A26,'Données projet'!$A$113:$I$133,2,0)</f>
        <v>194</v>
      </c>
      <c r="BW26" s="13">
        <f>VLOOKUP(A26,'Données projet'!$A$113:$I$133,9,0)</f>
        <v>23</v>
      </c>
      <c r="BX26" s="13">
        <f t="array" ref="BX26">INDEX(BW:BW,MIN(IF(ISNUMBER(BW26:BW222),ROW(BW26:BW222),"")))</f>
        <v>23</v>
      </c>
      <c r="BY26" s="13">
        <f>IF('Données projet'!$A$114&gt;35,BY25+BX26-CG25,IF(A26&lt;'Données projet'!$A$114,$BV$205^A26,IF(A26='Données projet'!$A$114,'Données projet'!$B$114,BY25+BX26-CG25)))</f>
        <v>194</v>
      </c>
      <c r="BZ26" s="14">
        <f>BY26*VLOOKUP('Données projet'!$B$12,Paramètres!$A$1:$I$89,3,0)*VLOOKUP('Données projet'!$B$12,Paramètres!$A$1:$I$89,5,0)</f>
        <v>85.748000000000019</v>
      </c>
      <c r="CA26" s="14">
        <f t="shared" si="39"/>
        <v>23.536874444180217</v>
      </c>
      <c r="CB26" s="22">
        <f t="shared" si="10"/>
        <v>190.33782299028056</v>
      </c>
      <c r="CC26" s="60">
        <f t="shared" si="11"/>
        <v>475.11560076805836</v>
      </c>
      <c r="CD26" s="60">
        <f ca="1">AVERAGE(OFFSET($CC$3,0,0,'Données projet'!$E$12+1,1))-AVERAGE(OFFSET($H$3,0,0,'Données projet'!$E$12+1,1))</f>
        <v>401.84375324751227</v>
      </c>
      <c r="CE26" s="60">
        <f t="shared" si="40"/>
        <v>350.39368043404164</v>
      </c>
      <c r="CF26" s="16">
        <f>IF(ISNA(VLOOKUP(A26,'Données projet'!$A$113:$I$133,3,0)),0,VLOOKUP(A26,'Données projet'!$A$113:$I$133,3,0))</f>
        <v>1</v>
      </c>
      <c r="CG26" s="16">
        <f>IF(ISNA(VLOOKUP(A26,'Données projet'!$A$113:$I$133,4,0)),0,VLOOKUP(A26,'Données projet'!$A$113:$I$133,4,0))</f>
        <v>63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0.27500000000000002</v>
      </c>
      <c r="CJ26" s="17">
        <f>IF(ISNA(VLOOKUP(A26,'Données projet'!$A$113:$I$133,7,0)),0%,VLOOKUP(A26,'Données projet'!$A$113:$I$133,7,0))</f>
        <v>0.5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10.118368943423834</v>
      </c>
      <c r="CM26" s="23">
        <f>EXP(-LN(2)/2)*CM25+(1-EXP(-LN(2)/2))/(LN(2)/2)*CG26*CJ26*VLOOKUP('Données projet'!$B$12,Paramètres!$A$1:$I$89,3,0)*0.475*44/12</f>
        <v>15.764070278460984</v>
      </c>
      <c r="CN26" s="24">
        <f t="shared" si="12"/>
        <v>25.882439221884816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4.857846153846153</v>
      </c>
      <c r="CT26" s="13">
        <f>IF('Données projet'!$A$140&gt;35,CT25+CS26-DB25,IF(A26&lt;'Données projet'!$A$140,$CQ$205^A26,IF(A26='Données projet'!$A$140,'Données projet'!$B$140,CT25+CS26-DB25)))</f>
        <v>82.724293003182126</v>
      </c>
      <c r="CU26" s="18">
        <f>CT26*VLOOKUP('Données projet'!$B$13,Paramètres!$A$1:$I$89,3,0)*VLOOKUP('Données projet'!$B$13,Paramètres!$A$1:$I$89,5,0)</f>
        <v>49.469127215902915</v>
      </c>
      <c r="CV26" s="14">
        <f t="shared" si="41"/>
        <v>14.476574396172257</v>
      </c>
      <c r="CW26" s="22">
        <f t="shared" si="13"/>
        <v>111.37209697436424</v>
      </c>
      <c r="CX26" s="60">
        <f t="shared" si="14"/>
        <v>396.14987475214201</v>
      </c>
      <c r="CY26" s="60">
        <f ca="1">AVERAGE(OFFSET($CX$3,0,0,'Données projet'!$E$13+1,1))-AVERAGE(OFFSET($H$3,0,0,'Données projet'!$E$13+1,1))</f>
        <v>232.73140429491525</v>
      </c>
      <c r="CZ26" s="60">
        <f t="shared" si="42"/>
        <v>201.02719152328638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4.8717948717948714</v>
      </c>
      <c r="DO26" s="13">
        <f>IF('Données projet'!$A$166&gt;35,DO25+DN26-DW25,IF(A26&lt;'Données projet'!$A$166,$DL$205^A26,IF(A26='Données projet'!$A$166,'Données projet'!$B$166,DO25+DN26-DW25)))</f>
        <v>59.487179487179482</v>
      </c>
      <c r="DP26" s="18">
        <f>DO26*VLOOKUP('Données projet'!$B$14,Paramètres!$A$1:$I$89,3,0)*VLOOKUP('Données projet'!$B$14,Paramètres!$A$1:$I$89,5,0)</f>
        <v>56.607999999999997</v>
      </c>
      <c r="DQ26" s="14">
        <f t="shared" si="43"/>
        <v>16.307782061471485</v>
      </c>
      <c r="DR26" s="22">
        <f t="shared" si="16"/>
        <v>126.99498709039614</v>
      </c>
      <c r="DS26" s="60">
        <f t="shared" si="17"/>
        <v>411.77276486817391</v>
      </c>
      <c r="DT26" s="60">
        <f ca="1">AVERAGE(OFFSET($DS$3,0,0,'Données projet'!$E$14+1,1))-AVERAGE(OFFSET($H$3,0,0,'Données projet'!$E$14+1,1))</f>
        <v>302.15577364214136</v>
      </c>
      <c r="DU26" s="60">
        <f t="shared" si="44"/>
        <v>197.15142751137051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6.5384615384615374</v>
      </c>
      <c r="EJ26" s="13">
        <f>IF('Données projet'!$A$192&gt;35,EJ25+EI26-ER25,IF(A26&lt;'Données projet'!$A$192,$EG$205^A26,IF(A26='Données projet'!$A$192,'Données projet'!$B$192,EJ25+EI26-ER25)))</f>
        <v>78.589743589743563</v>
      </c>
      <c r="EK26" s="18">
        <f>EJ26*VLOOKUP('Données projet'!$B$15,Paramètres!$A$1:$I$89,3,0)*VLOOKUP('Données projet'!$B$15,Paramètres!$A$1:$I$89,5,0)</f>
        <v>82.141999999999982</v>
      </c>
      <c r="EL26" s="14">
        <f t="shared" si="45"/>
        <v>22.660106151503225</v>
      </c>
      <c r="EM26" s="22">
        <f t="shared" si="19"/>
        <v>182.53033488053475</v>
      </c>
      <c r="EN26" s="60">
        <f t="shared" si="20"/>
        <v>467.30811265831255</v>
      </c>
      <c r="EO26" s="60">
        <f ca="1">AVERAGE(OFFSET($EN$3,0,0,'Données projet'!$E$15+1,1))-AVERAGE(OFFSET($H$3,0,0,'Données projet'!$E$15+1,1))</f>
        <v>493.70175665335978</v>
      </c>
      <c r="EP26" s="60">
        <f t="shared" si="46"/>
        <v>325.12357781685949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0" t="e">
        <f t="shared" si="23"/>
        <v>#N/A</v>
      </c>
      <c r="FJ26" s="60" t="e">
        <f ca="1">AVERAGE(OFFSET($FI$3,0,0,'Données projet'!$E$16+1,1))-AVERAGE(OFFSET($H$3,0,0,'Données projet'!$E$16+1,1))</f>
        <v>#N/A</v>
      </c>
      <c r="FK26" s="60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0" t="e">
        <f t="shared" si="26"/>
        <v>#N/A</v>
      </c>
      <c r="GE26" s="60" t="e">
        <f ca="1">AVERAGE(OFFSET($GD$3,0,0,'Données projet'!$E$17+1,1))-AVERAGE(OFFSET($H$3,0,0,'Données projet'!$E$17+1,1))</f>
        <v>#N/A</v>
      </c>
      <c r="GF26" s="60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5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8">
        <f t="shared" si="1"/>
        <v>256.66666666666669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15.073076923076925</v>
      </c>
      <c r="N27" s="14">
        <f>IF('Données projet'!$A$36&gt;35,N26+M27-V26,IF(A27&lt;'Données projet'!$A$36,$K$205^A27,IF(A27='Données projet'!$A$36,'Données projet'!$B$36,N26+M27-V26)))</f>
        <v>134.78076923076921</v>
      </c>
      <c r="O27" s="14">
        <f>N27*VLOOKUP('Données projet'!$B$9,Paramètres!$A$1:$I$89,3,0)*VLOOKUP('Données projet'!$B$9,Paramètres!$A$1:$I$89,5,0)</f>
        <v>80.598899999999986</v>
      </c>
      <c r="P27" s="14">
        <f t="shared" si="33"/>
        <v>22.283554667877272</v>
      </c>
      <c r="Q27" s="22">
        <f t="shared" si="2"/>
        <v>179.18694187988618</v>
      </c>
      <c r="R27" s="60">
        <f t="shared" si="0"/>
        <v>465.18694187988615</v>
      </c>
      <c r="S27" s="60">
        <f ca="1">AVERAGE(OFFSET($R$3,0,0,'Données projet'!$E$9+1,1))-AVERAGE(OFFSET($H$3,0,0,'Données projet'!$E$9+1,1))</f>
        <v>260.02504691866199</v>
      </c>
      <c r="T27" s="60">
        <f t="shared" si="34"/>
        <v>270.11268336406368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15.51740622736402</v>
      </c>
      <c r="AB27" s="23">
        <f>EXP(-LN(2)/2)*AB26+(1-EXP(-LN(2)/2))/(LN(2)/2)*V27*Y27*VLOOKUP('Données projet'!$B$9,Paramètres!$A$1:$I$89,3,0)*0.475*44/12</f>
        <v>14.20986143105579</v>
      </c>
      <c r="AC27" s="24">
        <f t="shared" si="3"/>
        <v>29.727267658419812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5.6</v>
      </c>
      <c r="AI27" s="14">
        <f>IF('Données projet'!$A$62&gt;35,AI26+AH27-AQ26,IF(A27&lt;'Données projet'!$A$62,$AF$205^A27,IF(A27='Données projet'!$A$62,'Données projet'!$B$62,AI26+AH27-AQ26)))</f>
        <v>64.400000000000006</v>
      </c>
      <c r="AJ27" s="14">
        <f>AI27*VLOOKUP('Données projet'!$B$10,Paramètres!$A$1:$I$89,3,0)*VLOOKUP('Données projet'!$B$10,Paramètres!$A$1:$I$89,5,0)</f>
        <v>65.301600000000008</v>
      </c>
      <c r="AK27" s="14">
        <f t="shared" si="35"/>
        <v>18.502003309535596</v>
      </c>
      <c r="AL27" s="22">
        <f t="shared" si="4"/>
        <v>145.95794243077449</v>
      </c>
      <c r="AM27" s="60">
        <f t="shared" si="5"/>
        <v>431.95794243077449</v>
      </c>
      <c r="AN27" s="60">
        <f ca="1">AVERAGE(OFFSET($AM$3,0,0,'Données projet'!$E$10+1,1))-AVERAGE(OFFSET($H$3,0,0,'Données projet'!$E$10+1,1))</f>
        <v>475.47920969424894</v>
      </c>
      <c r="AO27" s="60">
        <f t="shared" si="36"/>
        <v>271.73544012419364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1.8</v>
      </c>
      <c r="BD27" s="13">
        <f>IF('Données projet'!$A$88&gt;35,BD26+BC27-BL26,IF(A27&lt;'Données projet'!$A$88,$BA$205^A27,IF(A27='Données projet'!$A$88,'Données projet'!$B$88,BD26+BC27-BL26)))</f>
        <v>24.317280693371075</v>
      </c>
      <c r="BE27" s="14">
        <f>BD27*VLOOKUP('Données projet'!$B$11,Paramètres!$A$1:$I$89,3,0)*VLOOKUP('Données projet'!$B$11,Paramètres!$A$1:$I$89,5,0)</f>
        <v>22.002275571362148</v>
      </c>
      <c r="BF27" s="14">
        <f t="shared" si="37"/>
        <v>7.0754886075443943</v>
      </c>
      <c r="BG27" s="22">
        <f t="shared" si="7"/>
        <v>50.643772611595551</v>
      </c>
      <c r="BH27" s="60">
        <f t="shared" si="8"/>
        <v>336.64377261159552</v>
      </c>
      <c r="BI27" s="60">
        <f ca="1">AVERAGE(OFFSET($BH$3,0,0,'Données projet'!$E$11+1,1))-AVERAGE(OFFSET($H$3,0,0,'Données projet'!$E$11+1,1))</f>
        <v>325.2649384779973</v>
      </c>
      <c r="BJ27" s="60">
        <f t="shared" si="38"/>
        <v>146.70159365068315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27.2</v>
      </c>
      <c r="BY27" s="13">
        <f>IF('Données projet'!$A$114&gt;35,BY26+BX27-CG26,IF(A27&lt;'Données projet'!$A$114,$BV$205^A27,IF(A27='Données projet'!$A$114,'Données projet'!$B$114,BY26+BX27-CG26)))</f>
        <v>158.19999999999999</v>
      </c>
      <c r="BZ27" s="14">
        <f>BY27*VLOOKUP('Données projet'!$B$12,Paramètres!$A$1:$I$89,3,0)*VLOOKUP('Données projet'!$B$12,Paramètres!$A$1:$I$89,5,0)</f>
        <v>69.924399999999991</v>
      </c>
      <c r="CA27" s="14">
        <f t="shared" si="39"/>
        <v>19.654682246357986</v>
      </c>
      <c r="CB27" s="22">
        <f t="shared" si="10"/>
        <v>156.01690157907348</v>
      </c>
      <c r="CC27" s="60">
        <f t="shared" si="11"/>
        <v>442.01690157907348</v>
      </c>
      <c r="CD27" s="60">
        <f ca="1">AVERAGE(OFFSET($CC$3,0,0,'Données projet'!$E$12+1,1))-AVERAGE(OFFSET($H$3,0,0,'Données projet'!$E$12+1,1))</f>
        <v>401.84375324751227</v>
      </c>
      <c r="CE27" s="60">
        <f t="shared" si="40"/>
        <v>350.39368043404164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9.8416816125640114</v>
      </c>
      <c r="CM27" s="23">
        <f>EXP(-LN(2)/2)*CM26+(1-EXP(-LN(2)/2))/(LN(2)/2)*CG27*CJ27*VLOOKUP('Données projet'!$B$12,Paramètres!$A$1:$I$89,3,0)*0.475*44/12</f>
        <v>11.146880993001069</v>
      </c>
      <c r="CN27" s="24">
        <f t="shared" si="12"/>
        <v>20.988562605565079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4.857846153846153</v>
      </c>
      <c r="CT27" s="13">
        <f>IF('Données projet'!$A$140&gt;35,CT26+CS27-DB26,IF(A27&lt;'Données projet'!$A$140,$CQ$205^A27,IF(A27='Données projet'!$A$140,'Données projet'!$B$140,CT26+CS27-DB26)))</f>
        <v>100.23246587248458</v>
      </c>
      <c r="CU27" s="18">
        <f>CT27*VLOOKUP('Données projet'!$B$13,Paramètres!$A$1:$I$89,3,0)*VLOOKUP('Données projet'!$B$13,Paramètres!$A$1:$I$89,5,0)</f>
        <v>59.939014591745789</v>
      </c>
      <c r="CV27" s="14">
        <f t="shared" si="41"/>
        <v>17.152849075403395</v>
      </c>
      <c r="CW27" s="22">
        <f t="shared" si="13"/>
        <v>134.26832922028481</v>
      </c>
      <c r="CX27" s="60">
        <f t="shared" si="14"/>
        <v>420.26832922028484</v>
      </c>
      <c r="CY27" s="60">
        <f ca="1">AVERAGE(OFFSET($CX$3,0,0,'Données projet'!$E$13+1,1))-AVERAGE(OFFSET($H$3,0,0,'Données projet'!$E$13+1,1))</f>
        <v>232.73140429491525</v>
      </c>
      <c r="CZ27" s="60">
        <f t="shared" si="42"/>
        <v>201.02719152328638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4.8717948717948714</v>
      </c>
      <c r="DO27" s="13">
        <f>IF('Données projet'!$A$166&gt;35,DO26+DN27-DW26,IF(A27&lt;'Données projet'!$A$166,$DL$205^A27,IF(A27='Données projet'!$A$166,'Données projet'!$B$166,DO26+DN27-DW26)))</f>
        <v>64.358974358974351</v>
      </c>
      <c r="DP27" s="18">
        <f>DO27*VLOOKUP('Données projet'!$B$14,Paramètres!$A$1:$I$89,3,0)*VLOOKUP('Données projet'!$B$14,Paramètres!$A$1:$I$89,5,0)</f>
        <v>61.244</v>
      </c>
      <c r="DQ27" s="14">
        <f t="shared" si="43"/>
        <v>17.482414611857141</v>
      </c>
      <c r="DR27" s="22">
        <f t="shared" si="16"/>
        <v>137.11517211565118</v>
      </c>
      <c r="DS27" s="60">
        <f t="shared" si="17"/>
        <v>423.11517211565115</v>
      </c>
      <c r="DT27" s="60">
        <f ca="1">AVERAGE(OFFSET($DS$3,0,0,'Données projet'!$E$14+1,1))-AVERAGE(OFFSET($H$3,0,0,'Données projet'!$E$14+1,1))</f>
        <v>302.15577364214136</v>
      </c>
      <c r="DU27" s="60">
        <f t="shared" si="44"/>
        <v>197.15142751137051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6.5384615384615374</v>
      </c>
      <c r="EJ27" s="13">
        <f>IF('Données projet'!$A$192&gt;35,EJ26+EI27-ER26,IF(A27&lt;'Données projet'!$A$192,$EG$205^A27,IF(A27='Données projet'!$A$192,'Données projet'!$B$192,EJ26+EI27-ER26)))</f>
        <v>85.128205128205096</v>
      </c>
      <c r="EK27" s="18">
        <f>EJ27*VLOOKUP('Données projet'!$B$15,Paramètres!$A$1:$I$89,3,0)*VLOOKUP('Données projet'!$B$15,Paramètres!$A$1:$I$89,5,0)</f>
        <v>88.975999999999971</v>
      </c>
      <c r="EL27" s="14">
        <f t="shared" si="45"/>
        <v>24.318096618795476</v>
      </c>
      <c r="EM27" s="22">
        <f t="shared" si="19"/>
        <v>197.32055161106871</v>
      </c>
      <c r="EN27" s="60">
        <f t="shared" si="20"/>
        <v>483.32055161106871</v>
      </c>
      <c r="EO27" s="60">
        <f ca="1">AVERAGE(OFFSET($EN$3,0,0,'Données projet'!$E$15+1,1))-AVERAGE(OFFSET($H$3,0,0,'Données projet'!$E$15+1,1))</f>
        <v>493.70175665335978</v>
      </c>
      <c r="EP27" s="60">
        <f t="shared" si="46"/>
        <v>325.12357781685949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0" t="e">
        <f t="shared" si="23"/>
        <v>#N/A</v>
      </c>
      <c r="FJ27" s="60" t="e">
        <f ca="1">AVERAGE(OFFSET($FI$3,0,0,'Données projet'!$E$16+1,1))-AVERAGE(OFFSET($H$3,0,0,'Données projet'!$E$16+1,1))</f>
        <v>#N/A</v>
      </c>
      <c r="FK27" s="60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0" t="e">
        <f t="shared" si="26"/>
        <v>#N/A</v>
      </c>
      <c r="GE27" s="60" t="e">
        <f ca="1">AVERAGE(OFFSET($GD$3,0,0,'Données projet'!$E$17+1,1))-AVERAGE(OFFSET($H$3,0,0,'Données projet'!$E$17+1,1))</f>
        <v>#N/A</v>
      </c>
      <c r="GF27" s="60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5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8">
        <f t="shared" si="1"/>
        <v>256.66666666666669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15.073076923076925</v>
      </c>
      <c r="N28" s="14">
        <f>IF('Données projet'!$A$36&gt;35,N27+M28-V27,IF(A28&lt;'Données projet'!$A$36,$K$205^A28,IF(A28='Données projet'!$A$36,'Données projet'!$B$36,N27+M28-V27)))</f>
        <v>149.85384615384612</v>
      </c>
      <c r="O28" s="14">
        <f>N28*VLOOKUP('Données projet'!$B$9,Paramètres!$A$1:$I$89,3,0)*VLOOKUP('Données projet'!$B$9,Paramètres!$A$1:$I$89,5,0)</f>
        <v>89.6126</v>
      </c>
      <c r="P28" s="14">
        <f t="shared" si="33"/>
        <v>24.471769998555317</v>
      </c>
      <c r="Q28" s="22">
        <f t="shared" si="2"/>
        <v>198.69694441415049</v>
      </c>
      <c r="R28" s="60">
        <f t="shared" si="0"/>
        <v>485.91916663637272</v>
      </c>
      <c r="S28" s="60">
        <f ca="1">AVERAGE(OFFSET($R$3,0,0,'Données projet'!$E$9+1,1))-AVERAGE(OFFSET($H$3,0,0,'Données projet'!$E$9+1,1))</f>
        <v>260.02504691866199</v>
      </c>
      <c r="T28" s="60">
        <f t="shared" si="34"/>
        <v>270.11268336406368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15.093081938051823</v>
      </c>
      <c r="AB28" s="23">
        <f>EXP(-LN(2)/2)*AB27+(1-EXP(-LN(2)/2))/(LN(2)/2)*V28*Y28*VLOOKUP('Données projet'!$B$9,Paramètres!$A$1:$I$89,3,0)*0.475*44/12</f>
        <v>10.047889377620729</v>
      </c>
      <c r="AC28" s="24">
        <f t="shared" si="3"/>
        <v>25.140971315672552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70</v>
      </c>
      <c r="AG28" s="13">
        <f>VLOOKUP(A28,'Données projet'!$A$61:$I$81,9,0)</f>
        <v>5.6</v>
      </c>
      <c r="AH28" s="13">
        <f t="array" ref="AH28">INDEX(AG:AG,MIN(IF(ISNUMBER(AG28:AG224),ROW(AG28:AG224),"")))</f>
        <v>5.6</v>
      </c>
      <c r="AI28" s="14">
        <f>IF('Données projet'!$A$62&gt;35,AI27+AH28-AQ27,IF(A28&lt;'Données projet'!$A$62,$AF$205^A28,IF(A28='Données projet'!$A$62,'Données projet'!$B$62,AI27+AH28-AQ27)))</f>
        <v>70</v>
      </c>
      <c r="AJ28" s="14">
        <f>AI28*VLOOKUP('Données projet'!$B$10,Paramètres!$A$1:$I$89,3,0)*VLOOKUP('Données projet'!$B$10,Paramètres!$A$1:$I$89,5,0)</f>
        <v>70.98</v>
      </c>
      <c r="AK28" s="14">
        <f t="shared" si="35"/>
        <v>19.916628839746853</v>
      </c>
      <c r="AL28" s="22">
        <f t="shared" si="4"/>
        <v>158.31162856255909</v>
      </c>
      <c r="AM28" s="60">
        <f t="shared" si="5"/>
        <v>445.53385078478129</v>
      </c>
      <c r="AN28" s="60">
        <f ca="1">AVERAGE(OFFSET($AM$3,0,0,'Données projet'!$E$10+1,1))-AVERAGE(OFFSET($H$3,0,0,'Données projet'!$E$10+1,1))</f>
        <v>475.47920969424894</v>
      </c>
      <c r="AO28" s="60">
        <f t="shared" si="36"/>
        <v>271.73544012419364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1.8</v>
      </c>
      <c r="BD28" s="13">
        <f>IF('Données projet'!$A$88&gt;35,BD27+BC28-BL27,IF(A28&lt;'Données projet'!$A$88,$BA$205^A28,IF(A28='Données projet'!$A$88,'Données projet'!$B$88,BD27+BC28-BL27)))</f>
        <v>27.775473195906979</v>
      </c>
      <c r="BE28" s="14">
        <f>BD28*VLOOKUP('Données projet'!$B$11,Paramètres!$A$1:$I$89,3,0)*VLOOKUP('Données projet'!$B$11,Paramètres!$A$1:$I$89,5,0)</f>
        <v>25.131248147656638</v>
      </c>
      <c r="BF28" s="14">
        <f t="shared" si="37"/>
        <v>7.9575835453748658</v>
      </c>
      <c r="BG28" s="22">
        <f t="shared" si="7"/>
        <v>57.629715198696537</v>
      </c>
      <c r="BH28" s="60">
        <f t="shared" si="8"/>
        <v>344.85193742091877</v>
      </c>
      <c r="BI28" s="60">
        <f ca="1">AVERAGE(OFFSET($BH$3,0,0,'Données projet'!$E$11+1,1))-AVERAGE(OFFSET($H$3,0,0,'Données projet'!$E$11+1,1))</f>
        <v>325.2649384779973</v>
      </c>
      <c r="BJ28" s="60">
        <f t="shared" si="38"/>
        <v>146.70159365068315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27.2</v>
      </c>
      <c r="BY28" s="13">
        <f>IF('Données projet'!$A$114&gt;35,BY27+BX28-CG27,IF(A28&lt;'Données projet'!$A$114,$BV$205^A28,IF(A28='Données projet'!$A$114,'Données projet'!$B$114,BY27+BX28-CG27)))</f>
        <v>185.39999999999998</v>
      </c>
      <c r="BZ28" s="14">
        <f>BY28*VLOOKUP('Données projet'!$B$12,Paramètres!$A$1:$I$89,3,0)*VLOOKUP('Données projet'!$B$12,Paramètres!$A$1:$I$89,5,0)</f>
        <v>81.946799999999996</v>
      </c>
      <c r="CA28" s="14">
        <f t="shared" si="39"/>
        <v>22.61251871594532</v>
      </c>
      <c r="CB28" s="22">
        <f t="shared" si="10"/>
        <v>182.10748009693808</v>
      </c>
      <c r="CC28" s="60">
        <f t="shared" si="11"/>
        <v>469.32970231916033</v>
      </c>
      <c r="CD28" s="60">
        <f ca="1">AVERAGE(OFFSET($CC$3,0,0,'Données projet'!$E$12+1,1))-AVERAGE(OFFSET($H$3,0,0,'Données projet'!$E$12+1,1))</f>
        <v>401.84375324751227</v>
      </c>
      <c r="CE28" s="60">
        <f t="shared" si="40"/>
        <v>350.39368043404164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9.5725603113169058</v>
      </c>
      <c r="CM28" s="23">
        <f>EXP(-LN(2)/2)*CM27+(1-EXP(-LN(2)/2))/(LN(2)/2)*CG28*CJ28*VLOOKUP('Données projet'!$B$12,Paramètres!$A$1:$I$89,3,0)*0.475*44/12</f>
        <v>7.882035139230493</v>
      </c>
      <c r="CN28" s="24">
        <f t="shared" si="12"/>
        <v>17.454595450547398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121.44615384615383</v>
      </c>
      <c r="CR28" s="13">
        <f>VLOOKUP(A28,'Données projet'!$A$139:$I$159,9,0)</f>
        <v>4.857846153846153</v>
      </c>
      <c r="CS28" s="13">
        <f t="array" ref="CS28">INDEX(CR:CR,MIN(IF(ISNUMBER(CR28:CR224),ROW(CR28:CR224),"")))</f>
        <v>4.857846153846153</v>
      </c>
      <c r="CT28" s="13">
        <f>IF('Données projet'!$A$140&gt;35,CT27+CS28-DB27,IF(A28&lt;'Données projet'!$A$140,$CQ$205^A28,IF(A28='Données projet'!$A$140,'Données projet'!$B$140,CT27+CS28-DB27)))</f>
        <v>121.44615384615383</v>
      </c>
      <c r="CU28" s="18">
        <f>CT28*VLOOKUP('Données projet'!$B$13,Paramètres!$A$1:$I$89,3,0)*VLOOKUP('Données projet'!$B$13,Paramètres!$A$1:$I$89,5,0)</f>
        <v>72.624799999999993</v>
      </c>
      <c r="CV28" s="14">
        <f t="shared" si="41"/>
        <v>20.323884874405149</v>
      </c>
      <c r="CW28" s="22">
        <f t="shared" si="13"/>
        <v>161.88562615625563</v>
      </c>
      <c r="CX28" s="60">
        <f t="shared" si="14"/>
        <v>449.10784837847785</v>
      </c>
      <c r="CY28" s="60">
        <f ca="1">AVERAGE(OFFSET($CX$3,0,0,'Données projet'!$E$13+1,1))-AVERAGE(OFFSET($H$3,0,0,'Données projet'!$E$13+1,1))</f>
        <v>232.73140429491525</v>
      </c>
      <c r="CZ28" s="60">
        <f t="shared" si="42"/>
        <v>201.02719152328638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51.446153846153841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0.22500000000000001</v>
      </c>
      <c r="DE28" s="17">
        <f>IF(ISNA(VLOOKUP(A28,'Données projet'!$A$139:$I$159,7,0)),0%,VLOOKUP(A28,'Données projet'!$A$139:$I$159,7,0))</f>
        <v>0.5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9.1464299485997973</v>
      </c>
      <c r="DH28" s="23">
        <f>EXP(-LN(2)/2)*DH27+(1-EXP(-LN(2)/2))/(LN(2)/2)*DB28*DE28*VLOOKUP('Données projet'!$B$13,Paramètres!$A$1:$I$89,3,0)*0.475*44/12</f>
        <v>17.416450093471109</v>
      </c>
      <c r="DI28" s="24">
        <f t="shared" si="15"/>
        <v>26.562880042070908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69.230769230769226</v>
      </c>
      <c r="DM28" s="13">
        <f>VLOOKUP(A28,'Données projet'!$A$165:$I$185,9,0)</f>
        <v>4.8717948717948714</v>
      </c>
      <c r="DN28" s="13">
        <f t="array" ref="DN28">INDEX(DM:DM,MIN(IF(ISNUMBER(DM28:DM224),ROW(DM28:DM224),"")))</f>
        <v>4.8717948717948714</v>
      </c>
      <c r="DO28" s="13">
        <f>IF('Données projet'!$A$166&gt;35,DO27+DN28-DW27,IF(A28&lt;'Données projet'!$A$166,$DL$205^A28,IF(A28='Données projet'!$A$166,'Données projet'!$B$166,DO27+DN28-DW27)))</f>
        <v>69.230769230769226</v>
      </c>
      <c r="DP28" s="18">
        <f>DO28*VLOOKUP('Données projet'!$B$14,Paramètres!$A$1:$I$89,3,0)*VLOOKUP('Données projet'!$B$14,Paramètres!$A$1:$I$89,5,0)</f>
        <v>65.88</v>
      </c>
      <c r="DQ28" s="14">
        <f t="shared" si="43"/>
        <v>18.64673236319793</v>
      </c>
      <c r="DR28" s="22">
        <f t="shared" si="16"/>
        <v>147.21739219923637</v>
      </c>
      <c r="DS28" s="60">
        <f t="shared" si="17"/>
        <v>434.4396144214586</v>
      </c>
      <c r="DT28" s="60">
        <f ca="1">AVERAGE(OFFSET($DS$3,0,0,'Données projet'!$E$14+1,1))-AVERAGE(OFFSET($H$3,0,0,'Données projet'!$E$14+1,1))</f>
        <v>302.15577364214136</v>
      </c>
      <c r="DU28" s="60">
        <f t="shared" si="44"/>
        <v>197.15142751137051</v>
      </c>
      <c r="DV28" s="16">
        <f>IF(ISNA(VLOOKUP(A28,'Données projet'!$A$165:$I$185,3,0)),0,VLOOKUP(A28,'Données projet'!$A$165:$I$185,3,0))</f>
        <v>1</v>
      </c>
      <c r="DW28" s="16">
        <f>IF(ISNA(VLOOKUP(A28,'Données projet'!$A$165:$I$185,4,0)),0,VLOOKUP(A28,'Données projet'!$A$165:$I$185,4,0))</f>
        <v>19.23076923076923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91.666666666666657</v>
      </c>
      <c r="EH28" s="13">
        <f>VLOOKUP(A28,'Données projet'!$A$191:$I$211,9,0)</f>
        <v>6.5384615384615374</v>
      </c>
      <c r="EI28" s="13">
        <f t="array" ref="EI28">INDEX(EH:EH,MIN(IF(ISNUMBER(EH28:EH224),ROW(EH28:EH224),"")))</f>
        <v>6.5384615384615374</v>
      </c>
      <c r="EJ28" s="13">
        <f>IF('Données projet'!$A$192&gt;35,EJ27+EI28-ER27,IF(A28&lt;'Données projet'!$A$192,$EG$205^A28,IF(A28='Données projet'!$A$192,'Données projet'!$B$192,EJ27+EI28-ER27)))</f>
        <v>91.666666666666629</v>
      </c>
      <c r="EK28" s="18">
        <f>EJ28*VLOOKUP('Données projet'!$B$15,Paramètres!$A$1:$I$89,3,0)*VLOOKUP('Données projet'!$B$15,Paramètres!$A$1:$I$89,5,0)</f>
        <v>95.80999999999996</v>
      </c>
      <c r="EL28" s="14">
        <f t="shared" si="45"/>
        <v>25.961314793499493</v>
      </c>
      <c r="EM28" s="22">
        <f t="shared" si="19"/>
        <v>212.08503993201154</v>
      </c>
      <c r="EN28" s="60">
        <f t="shared" si="20"/>
        <v>499.30726215423374</v>
      </c>
      <c r="EO28" s="60">
        <f ca="1">AVERAGE(OFFSET($EN$3,0,0,'Données projet'!$E$15+1,1))-AVERAGE(OFFSET($H$3,0,0,'Données projet'!$E$15+1,1))</f>
        <v>493.70175665335978</v>
      </c>
      <c r="EP28" s="60">
        <f t="shared" si="46"/>
        <v>325.12357781685949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0" t="e">
        <f t="shared" si="23"/>
        <v>#N/A</v>
      </c>
      <c r="FJ28" s="60" t="e">
        <f ca="1">AVERAGE(OFFSET($FI$3,0,0,'Données projet'!$E$16+1,1))-AVERAGE(OFFSET($H$3,0,0,'Données projet'!$E$16+1,1))</f>
        <v>#N/A</v>
      </c>
      <c r="FK28" s="60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0" t="e">
        <f t="shared" si="26"/>
        <v>#N/A</v>
      </c>
      <c r="GE28" s="60" t="e">
        <f ca="1">AVERAGE(OFFSET($GD$3,0,0,'Données projet'!$E$17+1,1))-AVERAGE(OFFSET($H$3,0,0,'Données projet'!$E$17+1,1))</f>
        <v>#N/A</v>
      </c>
      <c r="GF28" s="60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5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8">
        <f t="shared" si="1"/>
        <v>256.66666666666669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15.073076923076925</v>
      </c>
      <c r="N29" s="14">
        <f>IF('Données projet'!$A$36&gt;35,N28+M29-V28,IF(A29&lt;'Données projet'!$A$36,$K$205^A29,IF(A29='Données projet'!$A$36,'Données projet'!$B$36,N28+M29-V28)))</f>
        <v>164.92692307692306</v>
      </c>
      <c r="O29" s="14">
        <f>N29*VLOOKUP('Données projet'!$B$9,Paramètres!$A$1:$I$89,3,0)*VLOOKUP('Données projet'!$B$9,Paramètres!$A$1:$I$89,5,0)</f>
        <v>98.626300000000001</v>
      </c>
      <c r="P29" s="14">
        <f t="shared" si="33"/>
        <v>26.634469472597342</v>
      </c>
      <c r="Q29" s="22">
        <f t="shared" si="2"/>
        <v>218.16250683144037</v>
      </c>
      <c r="R29" s="60">
        <f t="shared" si="0"/>
        <v>506.60695127588485</v>
      </c>
      <c r="S29" s="60">
        <f ca="1">AVERAGE(OFFSET($R$3,0,0,'Données projet'!$E$9+1,1))-AVERAGE(OFFSET($H$3,0,0,'Données projet'!$E$9+1,1))</f>
        <v>260.02504691866199</v>
      </c>
      <c r="T29" s="60">
        <f t="shared" si="34"/>
        <v>270.11268336406368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14.680360818745113</v>
      </c>
      <c r="AB29" s="23">
        <f>EXP(-LN(2)/2)*AB28+(1-EXP(-LN(2)/2))/(LN(2)/2)*V29*Y29*VLOOKUP('Données projet'!$B$9,Paramètres!$A$1:$I$89,3,0)*0.475*44/12</f>
        <v>7.1049307155278969</v>
      </c>
      <c r="AC29" s="24">
        <f t="shared" si="3"/>
        <v>21.785291534273011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77</v>
      </c>
      <c r="AJ29" s="14">
        <f>AI29*VLOOKUP('Données projet'!$B$10,Paramètres!$A$1:$I$89,3,0)*VLOOKUP('Données projet'!$B$10,Paramètres!$A$1:$I$89,5,0)</f>
        <v>78.078000000000003</v>
      </c>
      <c r="AK29" s="14">
        <f t="shared" si="35"/>
        <v>21.666582091642084</v>
      </c>
      <c r="AL29" s="22">
        <f t="shared" si="4"/>
        <v>173.72181380960993</v>
      </c>
      <c r="AM29" s="60">
        <f t="shared" si="5"/>
        <v>462.16625825405436</v>
      </c>
      <c r="AN29" s="60">
        <f ca="1">AVERAGE(OFFSET($AM$3,0,0,'Données projet'!$E$10+1,1))-AVERAGE(OFFSET($H$3,0,0,'Données projet'!$E$10+1,1))</f>
        <v>475.47920969424894</v>
      </c>
      <c r="AO29" s="60">
        <f t="shared" si="36"/>
        <v>271.73544012419364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1.8</v>
      </c>
      <c r="BD29" s="13">
        <f>IF('Données projet'!$A$88&gt;35,BD28+BC29-BL28,IF(A29&lt;'Données projet'!$A$88,$BA$205^A29,IF(A29='Données projet'!$A$88,'Données projet'!$B$88,BD28+BC29-BL28)))</f>
        <v>31.725459807142535</v>
      </c>
      <c r="BE29" s="14">
        <f>BD29*VLOOKUP('Données projet'!$B$11,Paramètres!$A$1:$I$89,3,0)*VLOOKUP('Données projet'!$B$11,Paramètres!$A$1:$I$89,5,0)</f>
        <v>28.705196033502563</v>
      </c>
      <c r="BF29" s="14">
        <f t="shared" si="37"/>
        <v>8.9496484828059941</v>
      </c>
      <c r="BG29" s="22">
        <f t="shared" si="7"/>
        <v>65.582187532570742</v>
      </c>
      <c r="BH29" s="60">
        <f t="shared" si="8"/>
        <v>354.0266319770152</v>
      </c>
      <c r="BI29" s="60">
        <f ca="1">AVERAGE(OFFSET($BH$3,0,0,'Données projet'!$E$11+1,1))-AVERAGE(OFFSET($H$3,0,0,'Données projet'!$E$11+1,1))</f>
        <v>325.2649384779973</v>
      </c>
      <c r="BJ29" s="60">
        <f t="shared" si="38"/>
        <v>146.70159365068315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27.2</v>
      </c>
      <c r="BY29" s="13">
        <f>IF('Données projet'!$A$114&gt;35,BY28+BX29-CG28,IF(A29&lt;'Données projet'!$A$114,$BV$205^A29,IF(A29='Données projet'!$A$114,'Données projet'!$B$114,BY28+BX29-CG28)))</f>
        <v>212.59999999999997</v>
      </c>
      <c r="BZ29" s="14">
        <f>BY29*VLOOKUP('Données projet'!$B$12,Paramètres!$A$1:$I$89,3,0)*VLOOKUP('Données projet'!$B$12,Paramètres!$A$1:$I$89,5,0)</f>
        <v>93.969199999999987</v>
      </c>
      <c r="CA29" s="14">
        <f t="shared" si="39"/>
        <v>25.520082779226129</v>
      </c>
      <c r="CB29" s="22">
        <f t="shared" si="10"/>
        <v>208.11050084048546</v>
      </c>
      <c r="CC29" s="60">
        <f t="shared" si="11"/>
        <v>496.55494528492989</v>
      </c>
      <c r="CD29" s="60">
        <f ca="1">AVERAGE(OFFSET($CC$3,0,0,'Données projet'!$E$12+1,1))-AVERAGE(OFFSET($H$3,0,0,'Données projet'!$E$12+1,1))</f>
        <v>401.84375324751227</v>
      </c>
      <c r="CE29" s="60">
        <f t="shared" si="40"/>
        <v>350.39368043404164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9.3107981462048759</v>
      </c>
      <c r="CM29" s="23">
        <f>EXP(-LN(2)/2)*CM28+(1-EXP(-LN(2)/2))/(LN(2)/2)*CG29*CJ29*VLOOKUP('Données projet'!$B$12,Paramètres!$A$1:$I$89,3,0)*0.475*44/12</f>
        <v>5.5734404965005355</v>
      </c>
      <c r="CN29" s="24">
        <f t="shared" si="12"/>
        <v>14.884238642705412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10.670329670329668</v>
      </c>
      <c r="CT29" s="13">
        <f>IF('Données projet'!$A$140&gt;35,CT28+CS29-DB28,IF(A29&lt;'Données projet'!$A$140,$CQ$205^A29,IF(A29='Données projet'!$A$140,'Données projet'!$B$140,CT28+CS29-DB28)))</f>
        <v>80.670329670329664</v>
      </c>
      <c r="CU29" s="18">
        <f>CT29*VLOOKUP('Données projet'!$B$13,Paramètres!$A$1:$I$89,3,0)*VLOOKUP('Données projet'!$B$13,Paramètres!$A$1:$I$89,5,0)</f>
        <v>48.240857142857145</v>
      </c>
      <c r="CV29" s="14">
        <f t="shared" si="41"/>
        <v>14.158510681147941</v>
      </c>
      <c r="CW29" s="22">
        <f t="shared" si="13"/>
        <v>108.67889896014218</v>
      </c>
      <c r="CX29" s="60">
        <f t="shared" si="14"/>
        <v>397.12334340458665</v>
      </c>
      <c r="CY29" s="60">
        <f ca="1">AVERAGE(OFFSET($CX$3,0,0,'Données projet'!$E$13+1,1))-AVERAGE(OFFSET($H$3,0,0,'Données projet'!$E$13+1,1))</f>
        <v>232.73140429491525</v>
      </c>
      <c r="CZ29" s="60">
        <f t="shared" si="42"/>
        <v>201.02719152328638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8.8963203406654898</v>
      </c>
      <c r="DH29" s="23">
        <f>EXP(-LN(2)/2)*DH28+(1-EXP(-LN(2)/2))/(LN(2)/2)*DB29*DE29*VLOOKUP('Données projet'!$B$13,Paramètres!$A$1:$I$89,3,0)*0.475*44/12</f>
        <v>12.315289965290502</v>
      </c>
      <c r="DI29" s="24">
        <f t="shared" si="15"/>
        <v>21.211610305955993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5.1282051282051269</v>
      </c>
      <c r="DO29" s="13">
        <f>IF('Données projet'!$A$166&gt;35,DO28+DN29-DW28,IF(A29&lt;'Données projet'!$A$166,$DL$205^A29,IF(A29='Données projet'!$A$166,'Données projet'!$B$166,DO28+DN29-DW28)))</f>
        <v>55.128205128205124</v>
      </c>
      <c r="DP29" s="18">
        <f>DO29*VLOOKUP('Données projet'!$B$14,Paramètres!$A$1:$I$89,3,0)*VLOOKUP('Données projet'!$B$14,Paramètres!$A$1:$I$89,5,0)</f>
        <v>52.459999999999994</v>
      </c>
      <c r="DQ29" s="14">
        <f t="shared" si="43"/>
        <v>15.247278696731632</v>
      </c>
      <c r="DR29" s="22">
        <f t="shared" si="16"/>
        <v>117.92351039680756</v>
      </c>
      <c r="DS29" s="60">
        <f t="shared" si="17"/>
        <v>406.36795484125201</v>
      </c>
      <c r="DT29" s="60">
        <f ca="1">AVERAGE(OFFSET($DS$3,0,0,'Données projet'!$E$14+1,1))-AVERAGE(OFFSET($H$3,0,0,'Données projet'!$E$14+1,1))</f>
        <v>302.15577364214136</v>
      </c>
      <c r="DU29" s="60">
        <f t="shared" si="44"/>
        <v>197.15142751137051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6.7948717948717956</v>
      </c>
      <c r="EJ29" s="13">
        <f>IF('Données projet'!$A$192&gt;35,EJ28+EI29-ER28,IF(A29&lt;'Données projet'!$A$192,$EG$205^A29,IF(A29='Données projet'!$A$192,'Données projet'!$B$192,EJ28+EI29-ER28)))</f>
        <v>98.461538461538424</v>
      </c>
      <c r="EK29" s="18">
        <f>EJ29*VLOOKUP('Données projet'!$B$15,Paramètres!$A$1:$I$89,3,0)*VLOOKUP('Données projet'!$B$15,Paramètres!$A$1:$I$89,5,0)</f>
        <v>102.91199999999996</v>
      </c>
      <c r="EL29" s="14">
        <f t="shared" si="45"/>
        <v>27.65457819507073</v>
      </c>
      <c r="EM29" s="22">
        <f t="shared" si="19"/>
        <v>227.40345702308142</v>
      </c>
      <c r="EN29" s="60">
        <f t="shared" si="20"/>
        <v>515.84790146752584</v>
      </c>
      <c r="EO29" s="60">
        <f ca="1">AVERAGE(OFFSET($EN$3,0,0,'Données projet'!$E$15+1,1))-AVERAGE(OFFSET($H$3,0,0,'Données projet'!$E$15+1,1))</f>
        <v>493.70175665335978</v>
      </c>
      <c r="EP29" s="60">
        <f t="shared" si="46"/>
        <v>325.12357781685949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0" t="e">
        <f t="shared" si="23"/>
        <v>#N/A</v>
      </c>
      <c r="FJ29" s="60" t="e">
        <f ca="1">AVERAGE(OFFSET($FI$3,0,0,'Données projet'!$E$16+1,1))-AVERAGE(OFFSET($H$3,0,0,'Données projet'!$E$16+1,1))</f>
        <v>#N/A</v>
      </c>
      <c r="FK29" s="60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0" t="e">
        <f t="shared" si="26"/>
        <v>#N/A</v>
      </c>
      <c r="GE29" s="60" t="e">
        <f ca="1">AVERAGE(OFFSET($GD$3,0,0,'Données projet'!$E$17+1,1))-AVERAGE(OFFSET($H$3,0,0,'Données projet'!$E$17+1,1))</f>
        <v>#N/A</v>
      </c>
      <c r="GF29" s="60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5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8">
        <f t="shared" si="1"/>
        <v>256.66666666666669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15.073076923076925</v>
      </c>
      <c r="N30" s="14">
        <f>IF('Données projet'!$A$36&gt;35,N29+M30-V29,IF(A30&lt;'Données projet'!$A$36,$K$205^A30,IF(A30='Données projet'!$A$36,'Données projet'!$B$36,N29+M30-V29)))</f>
        <v>180</v>
      </c>
      <c r="O30" s="14">
        <f>N30*VLOOKUP('Données projet'!$B$9,Paramètres!$A$1:$I$89,3,0)*VLOOKUP('Données projet'!$B$9,Paramètres!$A$1:$I$89,5,0)</f>
        <v>107.64</v>
      </c>
      <c r="P30" s="14">
        <f t="shared" si="33"/>
        <v>28.774250263353583</v>
      </c>
      <c r="Q30" s="22">
        <f t="shared" si="2"/>
        <v>237.58815254200749</v>
      </c>
      <c r="R30" s="60">
        <f t="shared" si="0"/>
        <v>527.25481920867423</v>
      </c>
      <c r="S30" s="60">
        <f ca="1">AVERAGE(OFFSET($R$3,0,0,'Données projet'!$E$9+1,1))-AVERAGE(OFFSET($H$3,0,0,'Données projet'!$E$9+1,1))</f>
        <v>260.02504691866199</v>
      </c>
      <c r="T30" s="60">
        <f t="shared" si="34"/>
        <v>270.11268336406368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14.278925580149904</v>
      </c>
      <c r="AB30" s="23">
        <f>EXP(-LN(2)/2)*AB29+(1-EXP(-LN(2)/2))/(LN(2)/2)*V30*Y30*VLOOKUP('Données projet'!$B$9,Paramètres!$A$1:$I$89,3,0)*0.475*44/12</f>
        <v>5.0239446888103654</v>
      </c>
      <c r="AC30" s="24">
        <f t="shared" si="3"/>
        <v>19.30287026896027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84</v>
      </c>
      <c r="AJ30" s="14">
        <f>AI30*VLOOKUP('Données projet'!$B$10,Paramètres!$A$1:$I$89,3,0)*VLOOKUP('Données projet'!$B$10,Paramètres!$A$1:$I$89,5,0)</f>
        <v>85.176000000000002</v>
      </c>
      <c r="AK30" s="14">
        <f t="shared" si="35"/>
        <v>23.398088487656441</v>
      </c>
      <c r="AL30" s="22">
        <f t="shared" si="4"/>
        <v>189.09987078266829</v>
      </c>
      <c r="AM30" s="60">
        <f t="shared" si="5"/>
        <v>478.76653744933498</v>
      </c>
      <c r="AN30" s="60">
        <f ca="1">AVERAGE(OFFSET($AM$3,0,0,'Données projet'!$E$10+1,1))-AVERAGE(OFFSET($H$3,0,0,'Données projet'!$E$10+1,1))</f>
        <v>475.47920969424894</v>
      </c>
      <c r="AO30" s="60">
        <f t="shared" si="36"/>
        <v>271.73544012419364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1.8</v>
      </c>
      <c r="BD30" s="13">
        <f>IF('Données projet'!$A$88&gt;35,BD29+BC30-BL29,IF(A30&lt;'Données projet'!$A$88,$BA$205^A30,IF(A30='Données projet'!$A$88,'Données projet'!$B$88,BD29+BC30-BL29)))</f>
        <v>36.237179214751805</v>
      </c>
      <c r="BE30" s="14">
        <f>BD30*VLOOKUP('Données projet'!$B$11,Paramètres!$A$1:$I$89,3,0)*VLOOKUP('Données projet'!$B$11,Paramètres!$A$1:$I$89,5,0)</f>
        <v>32.78739975350743</v>
      </c>
      <c r="BF30" s="14">
        <f t="shared" si="37"/>
        <v>10.065393282907534</v>
      </c>
      <c r="BG30" s="22">
        <f t="shared" si="7"/>
        <v>74.635281205089385</v>
      </c>
      <c r="BH30" s="60">
        <f t="shared" si="8"/>
        <v>364.30194787175606</v>
      </c>
      <c r="BI30" s="60">
        <f ca="1">AVERAGE(OFFSET($BH$3,0,0,'Données projet'!$E$11+1,1))-AVERAGE(OFFSET($H$3,0,0,'Données projet'!$E$11+1,1))</f>
        <v>325.2649384779973</v>
      </c>
      <c r="BJ30" s="60">
        <f t="shared" si="38"/>
        <v>146.70159365068315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27.2</v>
      </c>
      <c r="BY30" s="13">
        <f>IF('Données projet'!$A$114&gt;35,BY29+BX30-CG29,IF(A30&lt;'Données projet'!$A$114,$BV$205^A30,IF(A30='Données projet'!$A$114,'Données projet'!$B$114,BY29+BX30-CG29)))</f>
        <v>239.79999999999995</v>
      </c>
      <c r="BZ30" s="14">
        <f>BY30*VLOOKUP('Données projet'!$B$12,Paramètres!$A$1:$I$89,3,0)*VLOOKUP('Données projet'!$B$12,Paramètres!$A$1:$I$89,5,0)</f>
        <v>105.99160000000001</v>
      </c>
      <c r="CA30" s="14">
        <f t="shared" si="39"/>
        <v>28.384543658820601</v>
      </c>
      <c r="CB30" s="22">
        <f t="shared" si="10"/>
        <v>234.03845020577921</v>
      </c>
      <c r="CC30" s="60">
        <f t="shared" si="11"/>
        <v>523.70511687244584</v>
      </c>
      <c r="CD30" s="60">
        <f ca="1">AVERAGE(OFFSET($CC$3,0,0,'Données projet'!$E$12+1,1))-AVERAGE(OFFSET($H$3,0,0,'Données projet'!$E$12+1,1))</f>
        <v>401.84375324751227</v>
      </c>
      <c r="CE30" s="60">
        <f t="shared" si="40"/>
        <v>350.39368043404164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9.0561938812633098</v>
      </c>
      <c r="CM30" s="23">
        <f>EXP(-LN(2)/2)*CM29+(1-EXP(-LN(2)/2))/(LN(2)/2)*CG30*CJ30*VLOOKUP('Données projet'!$B$12,Paramètres!$A$1:$I$89,3,0)*0.475*44/12</f>
        <v>3.9410175696152474</v>
      </c>
      <c r="CN30" s="24">
        <f t="shared" si="12"/>
        <v>12.997211450878558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10.670329670329668</v>
      </c>
      <c r="CT30" s="13">
        <f>IF('Données projet'!$A$140&gt;35,CT29+CS30-DB29,IF(A30&lt;'Données projet'!$A$140,$CQ$205^A30,IF(A30='Données projet'!$A$140,'Données projet'!$B$140,CT29+CS30-DB29)))</f>
        <v>91.340659340659329</v>
      </c>
      <c r="CU30" s="18">
        <f>CT30*VLOOKUP('Données projet'!$B$13,Paramètres!$A$1:$I$89,3,0)*VLOOKUP('Données projet'!$B$13,Paramètres!$A$1:$I$89,5,0)</f>
        <v>54.621714285714283</v>
      </c>
      <c r="CV30" s="14">
        <f t="shared" si="41"/>
        <v>15.801127124582552</v>
      </c>
      <c r="CW30" s="22">
        <f t="shared" si="13"/>
        <v>122.653115456267</v>
      </c>
      <c r="CX30" s="60">
        <f t="shared" si="14"/>
        <v>412.3197821229337</v>
      </c>
      <c r="CY30" s="60">
        <f ca="1">AVERAGE(OFFSET($CX$3,0,0,'Données projet'!$E$13+1,1))-AVERAGE(OFFSET($H$3,0,0,'Données projet'!$E$13+1,1))</f>
        <v>232.73140429491525</v>
      </c>
      <c r="CZ30" s="60">
        <f t="shared" si="42"/>
        <v>201.02719152328638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8.6530499931128375</v>
      </c>
      <c r="DH30" s="23">
        <f>EXP(-LN(2)/2)*DH29+(1-EXP(-LN(2)/2))/(LN(2)/2)*DB30*DE30*VLOOKUP('Données projet'!$B$13,Paramètres!$A$1:$I$89,3,0)*0.475*44/12</f>
        <v>8.7082250467355564</v>
      </c>
      <c r="DI30" s="24">
        <f t="shared" si="15"/>
        <v>17.361275039848394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5.1282051282051269</v>
      </c>
      <c r="DO30" s="13">
        <f>IF('Données projet'!$A$166&gt;35,DO29+DN30-DW29,IF(A30&lt;'Données projet'!$A$166,$DL$205^A30,IF(A30='Données projet'!$A$166,'Données projet'!$B$166,DO29+DN30-DW29)))</f>
        <v>60.256410256410248</v>
      </c>
      <c r="DP30" s="18">
        <f>DO30*VLOOKUP('Données projet'!$B$14,Paramètres!$A$1:$I$89,3,0)*VLOOKUP('Données projet'!$B$14,Paramètres!$A$1:$I$89,5,0)</f>
        <v>57.339999999999989</v>
      </c>
      <c r="DQ30" s="14">
        <f t="shared" si="43"/>
        <v>16.493972970431351</v>
      </c>
      <c r="DR30" s="22">
        <f t="shared" si="16"/>
        <v>128.59416959016792</v>
      </c>
      <c r="DS30" s="60">
        <f t="shared" si="17"/>
        <v>418.26083625683464</v>
      </c>
      <c r="DT30" s="60">
        <f ca="1">AVERAGE(OFFSET($DS$3,0,0,'Données projet'!$E$14+1,1))-AVERAGE(OFFSET($H$3,0,0,'Données projet'!$E$14+1,1))</f>
        <v>302.15577364214136</v>
      </c>
      <c r="DU30" s="60">
        <f t="shared" si="44"/>
        <v>197.15142751137051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6.7948717948717956</v>
      </c>
      <c r="EJ30" s="13">
        <f>IF('Données projet'!$A$192&gt;35,EJ29+EI30-ER29,IF(A30&lt;'Données projet'!$A$192,$EG$205^A30,IF(A30='Données projet'!$A$192,'Données projet'!$B$192,EJ29+EI30-ER29)))</f>
        <v>105.25641025641022</v>
      </c>
      <c r="EK30" s="18">
        <f>EJ30*VLOOKUP('Données projet'!$B$15,Paramètres!$A$1:$I$89,3,0)*VLOOKUP('Données projet'!$B$15,Paramètres!$A$1:$I$89,5,0)</f>
        <v>110.01399999999998</v>
      </c>
      <c r="EL30" s="14">
        <f t="shared" si="45"/>
        <v>29.334283057323191</v>
      </c>
      <c r="EM30" s="22">
        <f t="shared" si="19"/>
        <v>242.69825965817117</v>
      </c>
      <c r="EN30" s="60">
        <f t="shared" si="20"/>
        <v>532.36492632483782</v>
      </c>
      <c r="EO30" s="60">
        <f ca="1">AVERAGE(OFFSET($EN$3,0,0,'Données projet'!$E$15+1,1))-AVERAGE(OFFSET($H$3,0,0,'Données projet'!$E$15+1,1))</f>
        <v>493.70175665335978</v>
      </c>
      <c r="EP30" s="60">
        <f t="shared" si="46"/>
        <v>325.12357781685949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0" t="e">
        <f t="shared" si="23"/>
        <v>#N/A</v>
      </c>
      <c r="FJ30" s="60" t="e">
        <f ca="1">AVERAGE(OFFSET($FI$3,0,0,'Données projet'!$E$16+1,1))-AVERAGE(OFFSET($H$3,0,0,'Données projet'!$E$16+1,1))</f>
        <v>#N/A</v>
      </c>
      <c r="FK30" s="60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0" t="e">
        <f t="shared" si="26"/>
        <v>#N/A</v>
      </c>
      <c r="GE30" s="60" t="e">
        <f ca="1">AVERAGE(OFFSET($GD$3,0,0,'Données projet'!$E$17+1,1))-AVERAGE(OFFSET($H$3,0,0,'Données projet'!$E$17+1,1))</f>
        <v>#N/A</v>
      </c>
      <c r="GF30" s="60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5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8">
        <f t="shared" si="1"/>
        <v>256.66666666666669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15.073076923076925</v>
      </c>
      <c r="N31" s="14">
        <f>IF('Données projet'!$A$36&gt;35,N30+M31-V30,IF(A31&lt;'Données projet'!$A$36,$K$205^A31,IF(A31='Données projet'!$A$36,'Données projet'!$B$36,N30+M31-V30)))</f>
        <v>195.07307692307694</v>
      </c>
      <c r="O31" s="14">
        <f>N31*VLOOKUP('Données projet'!$B$9,Paramètres!$A$1:$I$89,3,0)*VLOOKUP('Données projet'!$B$9,Paramètres!$A$1:$I$89,5,0)</f>
        <v>116.65370000000001</v>
      </c>
      <c r="P31" s="14">
        <f t="shared" si="33"/>
        <v>30.893249762406356</v>
      </c>
      <c r="Q31" s="22">
        <f t="shared" si="2"/>
        <v>256.9776041695244</v>
      </c>
      <c r="R31" s="60">
        <f t="shared" si="0"/>
        <v>547.8664930584132</v>
      </c>
      <c r="S31" s="60">
        <f ca="1">AVERAGE(OFFSET($R$3,0,0,'Données projet'!$E$9+1,1))-AVERAGE(OFFSET($H$3,0,0,'Données projet'!$E$9+1,1))</f>
        <v>260.02504691866199</v>
      </c>
      <c r="T31" s="60">
        <f t="shared" si="34"/>
        <v>270.11268336406368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13.888467609264644</v>
      </c>
      <c r="AB31" s="23">
        <f>EXP(-LN(2)/2)*AB30+(1-EXP(-LN(2)/2))/(LN(2)/2)*V31*Y31*VLOOKUP('Données projet'!$B$9,Paramètres!$A$1:$I$89,3,0)*0.475*44/12</f>
        <v>3.5524653577639489</v>
      </c>
      <c r="AC31" s="24">
        <f t="shared" si="3"/>
        <v>17.440932967028594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91</v>
      </c>
      <c r="AJ31" s="14">
        <f>AI31*VLOOKUP('Données projet'!$B$10,Paramètres!$A$1:$I$89,3,0)*VLOOKUP('Données projet'!$B$10,Paramètres!$A$1:$I$89,5,0)</f>
        <v>92.274000000000001</v>
      </c>
      <c r="AK31" s="14">
        <f t="shared" si="35"/>
        <v>25.112860036087575</v>
      </c>
      <c r="AL31" s="22">
        <f t="shared" si="4"/>
        <v>204.4487812295192</v>
      </c>
      <c r="AM31" s="60">
        <f t="shared" si="5"/>
        <v>495.33767011840803</v>
      </c>
      <c r="AN31" s="60">
        <f ca="1">AVERAGE(OFFSET($AM$3,0,0,'Données projet'!$E$10+1,1))-AVERAGE(OFFSET($H$3,0,0,'Données projet'!$E$10+1,1))</f>
        <v>475.47920969424894</v>
      </c>
      <c r="AO31" s="60">
        <f t="shared" si="36"/>
        <v>271.73544012419364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1.8</v>
      </c>
      <c r="BD31" s="13">
        <f>IF('Données projet'!$A$88&gt;35,BD30+BC31-BL30,IF(A31&lt;'Données projet'!$A$88,$BA$205^A31,IF(A31='Données projet'!$A$88,'Données projet'!$B$88,BD30+BC31-BL30)))</f>
        <v>41.390516179261404</v>
      </c>
      <c r="BE31" s="14">
        <f>BD31*VLOOKUP('Données projet'!$B$11,Paramètres!$A$1:$I$89,3,0)*VLOOKUP('Données projet'!$B$11,Paramètres!$A$1:$I$89,5,0)</f>
        <v>37.450139038995715</v>
      </c>
      <c r="BF31" s="14">
        <f t="shared" si="37"/>
        <v>11.320237005312592</v>
      </c>
      <c r="BG31" s="22">
        <f t="shared" si="7"/>
        <v>84.941738277170302</v>
      </c>
      <c r="BH31" s="60">
        <f t="shared" si="8"/>
        <v>375.83062716605917</v>
      </c>
      <c r="BI31" s="60">
        <f ca="1">AVERAGE(OFFSET($BH$3,0,0,'Données projet'!$E$11+1,1))-AVERAGE(OFFSET($H$3,0,0,'Données projet'!$E$11+1,1))</f>
        <v>325.2649384779973</v>
      </c>
      <c r="BJ31" s="60">
        <f t="shared" si="38"/>
        <v>146.70159365068315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>
        <f>VLOOKUP(A31,'Données projet'!$A$113:$I$133,2,0)</f>
        <v>267</v>
      </c>
      <c r="BW31" s="13">
        <f>VLOOKUP(A31,'Données projet'!$A$113:$I$133,9,0)</f>
        <v>27.2</v>
      </c>
      <c r="BX31" s="13">
        <f t="array" ref="BX31">INDEX(BW:BW,MIN(IF(ISNUMBER(BW31:BW227),ROW(BW31:BW227),"")))</f>
        <v>27.2</v>
      </c>
      <c r="BY31" s="13">
        <f>IF('Données projet'!$A$114&gt;35,BY30+BX31-CG30,IF(A31&lt;'Données projet'!$A$114,$BV$205^A31,IF(A31='Données projet'!$A$114,'Données projet'!$B$114,BY30+BX31-CG30)))</f>
        <v>266.99999999999994</v>
      </c>
      <c r="BZ31" s="14">
        <f>BY31*VLOOKUP('Données projet'!$B$12,Paramètres!$A$1:$I$89,3,0)*VLOOKUP('Données projet'!$B$12,Paramètres!$A$1:$I$89,5,0)</f>
        <v>118.01399999999998</v>
      </c>
      <c r="CA31" s="14">
        <f t="shared" si="39"/>
        <v>31.211348475126677</v>
      </c>
      <c r="CB31" s="22">
        <f t="shared" si="10"/>
        <v>259.9008152608456</v>
      </c>
      <c r="CC31" s="60">
        <f t="shared" si="11"/>
        <v>550.78970414973446</v>
      </c>
      <c r="CD31" s="60">
        <f ca="1">AVERAGE(OFFSET($CC$3,0,0,'Données projet'!$E$12+1,1))-AVERAGE(OFFSET($H$3,0,0,'Données projet'!$E$12+1,1))</f>
        <v>401.84375324751227</v>
      </c>
      <c r="CE31" s="60">
        <f t="shared" si="40"/>
        <v>350.39368043404164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8.8085517833356271</v>
      </c>
      <c r="CM31" s="23">
        <f>EXP(-LN(2)/2)*CM30+(1-EXP(-LN(2)/2))/(LN(2)/2)*CG31*CJ31*VLOOKUP('Données projet'!$B$12,Paramètres!$A$1:$I$89,3,0)*0.475*44/12</f>
        <v>2.7867202482502682</v>
      </c>
      <c r="CN31" s="24">
        <f t="shared" si="12"/>
        <v>11.595272031585896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10.670329670329668</v>
      </c>
      <c r="CT31" s="13">
        <f>IF('Données projet'!$A$140&gt;35,CT30+CS31-DB30,IF(A31&lt;'Données projet'!$A$140,$CQ$205^A31,IF(A31='Données projet'!$A$140,'Données projet'!$B$140,CT30+CS31-DB30)))</f>
        <v>102.01098901098899</v>
      </c>
      <c r="CU31" s="18">
        <f>CT31*VLOOKUP('Données projet'!$B$13,Paramètres!$A$1:$I$89,3,0)*VLOOKUP('Données projet'!$B$13,Paramètres!$A$1:$I$89,5,0)</f>
        <v>61.002571428571422</v>
      </c>
      <c r="CV31" s="14">
        <f t="shared" si="41"/>
        <v>17.421505535411463</v>
      </c>
      <c r="CW31" s="22">
        <f t="shared" si="13"/>
        <v>136.58860071227019</v>
      </c>
      <c r="CX31" s="60">
        <f t="shared" si="14"/>
        <v>427.47748960115905</v>
      </c>
      <c r="CY31" s="60">
        <f ca="1">AVERAGE(OFFSET($CX$3,0,0,'Données projet'!$E$13+1,1))-AVERAGE(OFFSET($H$3,0,0,'Données projet'!$E$13+1,1))</f>
        <v>232.73140429491525</v>
      </c>
      <c r="CZ31" s="60">
        <f t="shared" si="42"/>
        <v>201.02719152328638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8.4164318860070448</v>
      </c>
      <c r="DH31" s="23">
        <f>EXP(-LN(2)/2)*DH30+(1-EXP(-LN(2)/2))/(LN(2)/2)*DB31*DE31*VLOOKUP('Données projet'!$B$13,Paramètres!$A$1:$I$89,3,0)*0.475*44/12</f>
        <v>6.1576449826452517</v>
      </c>
      <c r="DI31" s="24">
        <f t="shared" si="15"/>
        <v>14.574076868652297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5.1282051282051269</v>
      </c>
      <c r="DO31" s="13">
        <f>IF('Données projet'!$A$166&gt;35,DO30+DN31-DW30,IF(A31&lt;'Données projet'!$A$166,$DL$205^A31,IF(A31='Données projet'!$A$166,'Données projet'!$B$166,DO30+DN31-DW30)))</f>
        <v>65.384615384615373</v>
      </c>
      <c r="DP31" s="18">
        <f>DO31*VLOOKUP('Données projet'!$B$14,Paramètres!$A$1:$I$89,3,0)*VLOOKUP('Données projet'!$B$14,Paramètres!$A$1:$I$89,5,0)</f>
        <v>62.219999999999992</v>
      </c>
      <c r="DQ31" s="14">
        <f t="shared" si="43"/>
        <v>17.728362316113678</v>
      </c>
      <c r="DR31" s="22">
        <f t="shared" si="16"/>
        <v>139.24339770056466</v>
      </c>
      <c r="DS31" s="60">
        <f t="shared" si="17"/>
        <v>430.13228658945354</v>
      </c>
      <c r="DT31" s="60">
        <f ca="1">AVERAGE(OFFSET($DS$3,0,0,'Données projet'!$E$14+1,1))-AVERAGE(OFFSET($H$3,0,0,'Données projet'!$E$14+1,1))</f>
        <v>302.15577364214136</v>
      </c>
      <c r="DU31" s="60">
        <f t="shared" si="44"/>
        <v>197.15142751137051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6.7948717948717956</v>
      </c>
      <c r="EJ31" s="13">
        <f>IF('Données projet'!$A$192&gt;35,EJ30+EI31-ER30,IF(A31&lt;'Données projet'!$A$192,$EG$205^A31,IF(A31='Données projet'!$A$192,'Données projet'!$B$192,EJ30+EI31-ER30)))</f>
        <v>112.05128205128202</v>
      </c>
      <c r="EK31" s="18">
        <f>EJ31*VLOOKUP('Données projet'!$B$15,Paramètres!$A$1:$I$89,3,0)*VLOOKUP('Données projet'!$B$15,Paramètres!$A$1:$I$89,5,0)</f>
        <v>117.11599999999999</v>
      </c>
      <c r="EL31" s="14">
        <f t="shared" si="45"/>
        <v>31.001404275140228</v>
      </c>
      <c r="EM31" s="22">
        <f t="shared" si="19"/>
        <v>257.97114577920252</v>
      </c>
      <c r="EN31" s="60">
        <f t="shared" si="20"/>
        <v>548.86003466809143</v>
      </c>
      <c r="EO31" s="60">
        <f ca="1">AVERAGE(OFFSET($EN$3,0,0,'Données projet'!$E$15+1,1))-AVERAGE(OFFSET($H$3,0,0,'Données projet'!$E$15+1,1))</f>
        <v>493.70175665335978</v>
      </c>
      <c r="EP31" s="60">
        <f t="shared" si="46"/>
        <v>325.12357781685949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0" t="e">
        <f t="shared" si="23"/>
        <v>#N/A</v>
      </c>
      <c r="FJ31" s="60" t="e">
        <f ca="1">AVERAGE(OFFSET($FI$3,0,0,'Données projet'!$E$16+1,1))-AVERAGE(OFFSET($H$3,0,0,'Données projet'!$E$16+1,1))</f>
        <v>#N/A</v>
      </c>
      <c r="FK31" s="60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0" t="e">
        <f t="shared" si="26"/>
        <v>#N/A</v>
      </c>
      <c r="GE31" s="60" t="e">
        <f ca="1">AVERAGE(OFFSET($GD$3,0,0,'Données projet'!$E$17+1,1))-AVERAGE(OFFSET($H$3,0,0,'Données projet'!$E$17+1,1))</f>
        <v>#N/A</v>
      </c>
      <c r="GF31" s="60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5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8">
        <f t="shared" si="1"/>
        <v>256.66666666666669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>
        <f>VLOOKUP(A32,'Données projet'!$A$35:$I$55,2,0)</f>
        <v>210.14615384615385</v>
      </c>
      <c r="L32" s="13">
        <f>VLOOKUP(A32,'Données projet'!$A$35:$I$55,9,0)</f>
        <v>15.073076923076925</v>
      </c>
      <c r="M32" s="13">
        <f t="array" ref="M32">INDEX(L:L,MIN(IF(ISNUMBER(L32:L228),ROW(L32:L228),"")))</f>
        <v>15.073076923076925</v>
      </c>
      <c r="N32" s="14">
        <f>IF('Données projet'!$A$36&gt;35,N31+M32-V31,IF(A32&lt;'Données projet'!$A$36,$K$205^A32,IF(A32='Données projet'!$A$36,'Données projet'!$B$36,N31+M32-V31)))</f>
        <v>210.14615384615388</v>
      </c>
      <c r="O32" s="14">
        <f>N32*VLOOKUP('Données projet'!$B$9,Paramètres!$A$1:$I$89,3,0)*VLOOKUP('Données projet'!$B$9,Paramètres!$A$1:$I$89,5,0)</f>
        <v>125.66740000000003</v>
      </c>
      <c r="P32" s="14">
        <f t="shared" si="33"/>
        <v>32.993256286656127</v>
      </c>
      <c r="Q32" s="22">
        <f t="shared" si="2"/>
        <v>276.33397636592611</v>
      </c>
      <c r="R32" s="60">
        <f t="shared" si="0"/>
        <v>568.4450874770373</v>
      </c>
      <c r="S32" s="60">
        <f ca="1">AVERAGE(OFFSET($R$3,0,0,'Données projet'!$E$9+1,1))-AVERAGE(OFFSET($H$3,0,0,'Données projet'!$E$9+1,1))</f>
        <v>260.02504691866199</v>
      </c>
      <c r="T32" s="60">
        <f t="shared" si="34"/>
        <v>270.11268336406368</v>
      </c>
      <c r="U32" s="16">
        <f>IF(ISNA(VLOOKUP(A32,'Données projet'!$A$35:$I$55,3,0)),0,VLOOKUP(A32,'Données projet'!$A$35:$I$55,3,0))</f>
        <v>3</v>
      </c>
      <c r="V32" s="16">
        <f>IF(ISNA(VLOOKUP(A32,'Données projet'!$A$35:$I$55,4,0)),0,VLOOKUP(A32,'Données projet'!$A$35:$I$55,4,0))</f>
        <v>47.661538461538463</v>
      </c>
      <c r="W32" s="17">
        <f>IF(ISNA(VLOOKUP(A32,'Données projet'!$A$35:$I$55,5,0)),0%,VLOOKUP(A32,'Données projet'!$A$35:$I$55,5,0)*VLOOKUP('Données projet'!$B$9,Paramètres!$A$1:$I$89,7,0))</f>
        <v>0.27</v>
      </c>
      <c r="X32" s="17">
        <f>IF(ISNA(VLOOKUP(A32,'Données projet'!$A$35:$I$55,6,0)),0%,VLOOKUP(A32,'Données projet'!$A$35:$I$55,6,0)*VLOOKUP('Données projet'!$B$9,Paramètres!$A$1:$I$89,7,0))</f>
        <v>9.0000000000000011E-2</v>
      </c>
      <c r="Y32" s="17">
        <f>IF(ISNA(VLOOKUP(A32,'Données projet'!$A$35:$I$55,7,0)),0%,VLOOKUP(A32,'Données projet'!$A$35:$I$55,7,0))</f>
        <v>0.2</v>
      </c>
      <c r="Z32" s="23">
        <f>EXP(-LN(2)/35)*Z31+(1-EXP(-LN(2)/35))/(LN(2)/35)*V32*W32*VLOOKUP('Données projet'!$B$9,Paramètres!$A$1:$I$89,3,0)*0.475*44/12</f>
        <v>10.208486560452011</v>
      </c>
      <c r="AA32" s="23">
        <f>EXP(-LN(2)/25)*AA31+(1-EXP(-LN(2)/25))/(LN(2)/25)*Calculateur!V32*Calculateur!X32*VLOOKUP('Données projet'!$B$9,Paramètres!$A$1:$I$89,3,0)*0.475*44/12</f>
        <v>16.89811735183493</v>
      </c>
      <c r="AB32" s="23">
        <f>EXP(-LN(2)/2)*AB31+(1-EXP(-LN(2)/2))/(LN(2)/2)*V32*Y32*VLOOKUP('Données projet'!$B$9,Paramètres!$A$1:$I$89,3,0)*0.475*44/12</f>
        <v>8.9660587546412494</v>
      </c>
      <c r="AC32" s="24">
        <f t="shared" si="3"/>
        <v>36.072662666928196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98</v>
      </c>
      <c r="AJ32" s="14">
        <f>AI32*VLOOKUP('Données projet'!$B$10,Paramètres!$A$1:$I$89,3,0)*VLOOKUP('Données projet'!$B$10,Paramètres!$A$1:$I$89,5,0)</f>
        <v>99.372000000000014</v>
      </c>
      <c r="AK32" s="14">
        <f t="shared" si="35"/>
        <v>26.812330397327713</v>
      </c>
      <c r="AL32" s="22">
        <f t="shared" si="4"/>
        <v>219.7710421086791</v>
      </c>
      <c r="AM32" s="60">
        <f t="shared" si="5"/>
        <v>511.88215321979021</v>
      </c>
      <c r="AN32" s="60">
        <f ca="1">AVERAGE(OFFSET($AM$3,0,0,'Données projet'!$E$10+1,1))-AVERAGE(OFFSET($H$3,0,0,'Données projet'!$E$10+1,1))</f>
        <v>475.47920969424894</v>
      </c>
      <c r="AO32" s="60">
        <f t="shared" si="36"/>
        <v>271.73544012419364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1.8</v>
      </c>
      <c r="BD32" s="13">
        <f>IF('Données projet'!$A$88&gt;35,BD31+BC32-BL31,IF(A32&lt;'Données projet'!$A$88,$BA$205^A32,IF(A32='Données projet'!$A$88,'Données projet'!$B$88,BD31+BC32-BL31)))</f>
        <v>47.276715978165399</v>
      </c>
      <c r="BE32" s="14">
        <f>BD32*VLOOKUP('Données projet'!$B$11,Paramètres!$A$1:$I$89,3,0)*VLOOKUP('Données projet'!$B$11,Paramètres!$A$1:$I$89,5,0)</f>
        <v>42.775972617044054</v>
      </c>
      <c r="BF32" s="14">
        <f t="shared" si="37"/>
        <v>12.731520990248997</v>
      </c>
      <c r="BG32" s="22">
        <f t="shared" si="7"/>
        <v>96.675551366035393</v>
      </c>
      <c r="BH32" s="60">
        <f t="shared" si="8"/>
        <v>388.78666247714654</v>
      </c>
      <c r="BI32" s="60">
        <f ca="1">AVERAGE(OFFSET($BH$3,0,0,'Données projet'!$E$11+1,1))-AVERAGE(OFFSET($H$3,0,0,'Données projet'!$E$11+1,1))</f>
        <v>325.2649384779973</v>
      </c>
      <c r="BJ32" s="60">
        <f t="shared" si="38"/>
        <v>146.70159365068315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28.4</v>
      </c>
      <c r="BY32" s="13">
        <f>IF('Données projet'!$A$114&gt;35,BY31+BX32-CG31,IF(A32&lt;'Données projet'!$A$114,$BV$205^A32,IF(A32='Données projet'!$A$114,'Données projet'!$B$114,BY31+BX32-CG31)))</f>
        <v>295.39999999999992</v>
      </c>
      <c r="BZ32" s="14">
        <f>BY32*VLOOKUP('Données projet'!$B$12,Paramètres!$A$1:$I$89,3,0)*VLOOKUP('Données projet'!$B$12,Paramètres!$A$1:$I$89,5,0)</f>
        <v>130.56679999999997</v>
      </c>
      <c r="CA32" s="14">
        <f t="shared" si="39"/>
        <v>34.127296990378362</v>
      </c>
      <c r="CB32" s="22">
        <f t="shared" si="10"/>
        <v>286.84221892490893</v>
      </c>
      <c r="CC32" s="60">
        <f t="shared" si="11"/>
        <v>578.95333003602013</v>
      </c>
      <c r="CD32" s="60">
        <f ca="1">AVERAGE(OFFSET($CC$3,0,0,'Données projet'!$E$12+1,1))-AVERAGE(OFFSET($H$3,0,0,'Données projet'!$E$12+1,1))</f>
        <v>401.84375324751227</v>
      </c>
      <c r="CE32" s="60">
        <f t="shared" si="40"/>
        <v>350.39368043404164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8.5676814715987089</v>
      </c>
      <c r="CM32" s="23">
        <f>EXP(-LN(2)/2)*CM31+(1-EXP(-LN(2)/2))/(LN(2)/2)*CG32*CJ32*VLOOKUP('Données projet'!$B$12,Paramètres!$A$1:$I$89,3,0)*0.475*44/12</f>
        <v>1.9705087848076239</v>
      </c>
      <c r="CN32" s="24">
        <f t="shared" si="12"/>
        <v>10.538190256406333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10.670329670329668</v>
      </c>
      <c r="CT32" s="13">
        <f>IF('Données projet'!$A$140&gt;35,CT31+CS32-DB31,IF(A32&lt;'Données projet'!$A$140,$CQ$205^A32,IF(A32='Données projet'!$A$140,'Données projet'!$B$140,CT31+CS32-DB31)))</f>
        <v>112.68131868131866</v>
      </c>
      <c r="CU32" s="18">
        <f>CT32*VLOOKUP('Données projet'!$B$13,Paramètres!$A$1:$I$89,3,0)*VLOOKUP('Données projet'!$B$13,Paramètres!$A$1:$I$89,5,0)</f>
        <v>67.383428571428567</v>
      </c>
      <c r="CV32" s="14">
        <f t="shared" si="41"/>
        <v>19.022236997992007</v>
      </c>
      <c r="CW32" s="22">
        <f t="shared" si="13"/>
        <v>150.48986753340748</v>
      </c>
      <c r="CX32" s="60">
        <f t="shared" si="14"/>
        <v>442.60097864451859</v>
      </c>
      <c r="CY32" s="60">
        <f ca="1">AVERAGE(OFFSET($CX$3,0,0,'Données projet'!$E$13+1,1))-AVERAGE(OFFSET($H$3,0,0,'Données projet'!$E$13+1,1))</f>
        <v>232.73140429491525</v>
      </c>
      <c r="CZ32" s="60">
        <f t="shared" si="42"/>
        <v>201.02719152328638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8.186284113483266</v>
      </c>
      <c r="DH32" s="23">
        <f>EXP(-LN(2)/2)*DH31+(1-EXP(-LN(2)/2))/(LN(2)/2)*DB32*DE32*VLOOKUP('Données projet'!$B$13,Paramètres!$A$1:$I$89,3,0)*0.475*44/12</f>
        <v>4.3541125233677782</v>
      </c>
      <c r="DI32" s="24">
        <f t="shared" si="15"/>
        <v>12.540396636851044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5.1282051282051269</v>
      </c>
      <c r="DO32" s="13">
        <f>IF('Données projet'!$A$166&gt;35,DO31+DN32-DW31,IF(A32&lt;'Données projet'!$A$166,$DL$205^A32,IF(A32='Données projet'!$A$166,'Données projet'!$B$166,DO31+DN32-DW31)))</f>
        <v>70.512820512820497</v>
      </c>
      <c r="DP32" s="18">
        <f>DO32*VLOOKUP('Données projet'!$B$14,Paramètres!$A$1:$I$89,3,0)*VLOOKUP('Données projet'!$B$14,Paramètres!$A$1:$I$89,5,0)</f>
        <v>67.099999999999994</v>
      </c>
      <c r="DQ32" s="14">
        <f t="shared" si="43"/>
        <v>18.951521551469028</v>
      </c>
      <c r="DR32" s="22">
        <f t="shared" si="16"/>
        <v>149.87306670214187</v>
      </c>
      <c r="DS32" s="60">
        <f t="shared" si="17"/>
        <v>441.98417781325304</v>
      </c>
      <c r="DT32" s="60">
        <f ca="1">AVERAGE(OFFSET($DS$3,0,0,'Données projet'!$E$14+1,1))-AVERAGE(OFFSET($H$3,0,0,'Données projet'!$E$14+1,1))</f>
        <v>302.15577364214136</v>
      </c>
      <c r="DU32" s="60">
        <f t="shared" si="44"/>
        <v>197.15142751137051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6.7948717948717956</v>
      </c>
      <c r="EJ32" s="13">
        <f>IF('Données projet'!$A$192&gt;35,EJ31+EI32-ER31,IF(A32&lt;'Données projet'!$A$192,$EG$205^A32,IF(A32='Données projet'!$A$192,'Données projet'!$B$192,EJ31+EI32-ER31)))</f>
        <v>118.84615384615381</v>
      </c>
      <c r="EK32" s="18">
        <f>EJ32*VLOOKUP('Données projet'!$B$15,Paramètres!$A$1:$I$89,3,0)*VLOOKUP('Données projet'!$B$15,Paramètres!$A$1:$I$89,5,0)</f>
        <v>124.21799999999999</v>
      </c>
      <c r="EL32" s="14">
        <f t="shared" si="45"/>
        <v>32.656791825983653</v>
      </c>
      <c r="EM32" s="22">
        <f t="shared" si="19"/>
        <v>273.22359576358815</v>
      </c>
      <c r="EN32" s="60">
        <f t="shared" si="20"/>
        <v>565.33470687469935</v>
      </c>
      <c r="EO32" s="60">
        <f ca="1">AVERAGE(OFFSET($EN$3,0,0,'Données projet'!$E$15+1,1))-AVERAGE(OFFSET($H$3,0,0,'Données projet'!$E$15+1,1))</f>
        <v>493.70175665335978</v>
      </c>
      <c r="EP32" s="60">
        <f t="shared" si="46"/>
        <v>325.12357781685949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0" t="e">
        <f t="shared" si="23"/>
        <v>#N/A</v>
      </c>
      <c r="FJ32" s="60" t="e">
        <f ca="1">AVERAGE(OFFSET($FI$3,0,0,'Données projet'!$E$16+1,1))-AVERAGE(OFFSET($H$3,0,0,'Données projet'!$E$16+1,1))</f>
        <v>#N/A</v>
      </c>
      <c r="FK32" s="60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0" t="e">
        <f t="shared" si="26"/>
        <v>#N/A</v>
      </c>
      <c r="GE32" s="60" t="e">
        <f ca="1">AVERAGE(OFFSET($GD$3,0,0,'Données projet'!$E$17+1,1))-AVERAGE(OFFSET($H$3,0,0,'Données projet'!$E$17+1,1))</f>
        <v>#N/A</v>
      </c>
      <c r="GF32" s="60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5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8">
        <f t="shared" si="1"/>
        <v>256.66666666666669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14.298901098901101</v>
      </c>
      <c r="N33" s="14">
        <f>IF('Données projet'!$A$36&gt;35,N32+M33-V32,IF(A33&lt;'Données projet'!$A$36,$K$205^A33,IF(A33='Données projet'!$A$36,'Données projet'!$B$36,N32+M33-V32)))</f>
        <v>176.78351648351651</v>
      </c>
      <c r="O33" s="14">
        <f>N33*VLOOKUP('Données projet'!$B$9,Paramètres!$A$1:$I$89,3,0)*VLOOKUP('Données projet'!$B$9,Paramètres!$A$1:$I$89,5,0)</f>
        <v>105.71654285714287</v>
      </c>
      <c r="P33" s="14">
        <f t="shared" si="33"/>
        <v>28.319447591123378</v>
      </c>
      <c r="Q33" s="22">
        <f t="shared" si="2"/>
        <v>233.44601669739703</v>
      </c>
      <c r="R33" s="60">
        <f t="shared" si="0"/>
        <v>526.77935003073037</v>
      </c>
      <c r="S33" s="60">
        <f ca="1">AVERAGE(OFFSET($R$3,0,0,'Données projet'!$E$9+1,1))-AVERAGE(OFFSET($H$3,0,0,'Données projet'!$E$9+1,1))</f>
        <v>260.02504691866199</v>
      </c>
      <c r="T33" s="60">
        <f t="shared" si="34"/>
        <v>270.11268336406368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10.008304365563527</v>
      </c>
      <c r="AA33" s="23">
        <f>EXP(-LN(2)/25)*AA32+(1-EXP(-LN(2)/25))/(LN(2)/25)*Calculateur!V33*Calculateur!X33*VLOOKUP('Données projet'!$B$9,Paramètres!$A$1:$I$89,3,0)*0.475*44/12</f>
        <v>16.436037444215632</v>
      </c>
      <c r="AB33" s="23">
        <f>EXP(-LN(2)/2)*AB32+(1-EXP(-LN(2)/2))/(LN(2)/2)*V33*Y33*VLOOKUP('Données projet'!$B$9,Paramètres!$A$1:$I$89,3,0)*0.475*44/12</f>
        <v>6.3399609459238393</v>
      </c>
      <c r="AC33" s="24">
        <f t="shared" si="3"/>
        <v>32.784302755703003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105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105</v>
      </c>
      <c r="AJ33" s="14">
        <f>AI33*VLOOKUP('Données projet'!$B$10,Paramètres!$A$1:$I$89,3,0)*VLOOKUP('Données projet'!$B$10,Paramètres!$A$1:$I$89,5,0)</f>
        <v>106.47</v>
      </c>
      <c r="AK33" s="14">
        <f t="shared" si="35"/>
        <v>28.49771681771891</v>
      </c>
      <c r="AL33" s="22">
        <f t="shared" si="4"/>
        <v>235.06877345752704</v>
      </c>
      <c r="AM33" s="60">
        <f t="shared" si="5"/>
        <v>528.40210679086033</v>
      </c>
      <c r="AN33" s="60">
        <f ca="1">AVERAGE(OFFSET($AM$3,0,0,'Données projet'!$E$10+1,1))-AVERAGE(OFFSET($H$3,0,0,'Données projet'!$E$10+1,1))</f>
        <v>475.47920969424894</v>
      </c>
      <c r="AO33" s="60">
        <f t="shared" si="36"/>
        <v>271.73544012419364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29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54</v>
      </c>
      <c r="BB33" s="13">
        <f>VLOOKUP(A33,'Données projet'!$A$87:$I$107,9,0)</f>
        <v>1.8</v>
      </c>
      <c r="BC33" s="13">
        <f t="array" ref="BC33">INDEX(BB:BB,MIN(IF(ISNUMBER(BB33:BB229),ROW(BB33:BB229),"")))</f>
        <v>1.8</v>
      </c>
      <c r="BD33" s="13">
        <f>IF('Données projet'!$A$88&gt;35,BD32+BC33-BL32,IF(A33&lt;'Données projet'!$A$88,$BA$205^A33,IF(A33='Données projet'!$A$88,'Données projet'!$B$88,BD32+BC33-BL32)))</f>
        <v>54</v>
      </c>
      <c r="BE33" s="14">
        <f>BD33*VLOOKUP('Données projet'!$B$11,Paramètres!$A$1:$I$89,3,0)*VLOOKUP('Données projet'!$B$11,Paramètres!$A$1:$I$89,5,0)</f>
        <v>48.859199999999994</v>
      </c>
      <c r="BF33" s="14">
        <f t="shared" si="37"/>
        <v>14.318748507569314</v>
      </c>
      <c r="BG33" s="22">
        <f t="shared" si="7"/>
        <v>110.03492698401654</v>
      </c>
      <c r="BH33" s="60">
        <f t="shared" si="8"/>
        <v>403.36826031734984</v>
      </c>
      <c r="BI33" s="60">
        <f ca="1">AVERAGE(OFFSET($BH$3,0,0,'Données projet'!$E$11+1,1))-AVERAGE(OFFSET($H$3,0,0,'Données projet'!$E$11+1,1))</f>
        <v>325.2649384779973</v>
      </c>
      <c r="BJ33" s="60">
        <f t="shared" si="38"/>
        <v>146.70159365068315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28.4</v>
      </c>
      <c r="BY33" s="13">
        <f>IF('Données projet'!$A$114&gt;35,BY32+BX33-CG32,IF(A33&lt;'Données projet'!$A$114,$BV$205^A33,IF(A33='Données projet'!$A$114,'Données projet'!$B$114,BY32+BX33-CG32)))</f>
        <v>323.7999999999999</v>
      </c>
      <c r="BZ33" s="14">
        <f>BY33*VLOOKUP('Données projet'!$B$12,Paramètres!$A$1:$I$89,3,0)*VLOOKUP('Données projet'!$B$12,Paramètres!$A$1:$I$89,5,0)</f>
        <v>143.11959999999996</v>
      </c>
      <c r="CA33" s="14">
        <f t="shared" si="39"/>
        <v>37.010742832942597</v>
      </c>
      <c r="CB33" s="22">
        <f t="shared" si="10"/>
        <v>313.72701376737501</v>
      </c>
      <c r="CC33" s="60">
        <f t="shared" si="11"/>
        <v>607.06034710070833</v>
      </c>
      <c r="CD33" s="60">
        <f ca="1">AVERAGE(OFFSET($CC$3,0,0,'Données projet'!$E$12+1,1))-AVERAGE(OFFSET($H$3,0,0,'Données projet'!$E$12+1,1))</f>
        <v>401.84375324751227</v>
      </c>
      <c r="CE33" s="60">
        <f t="shared" si="40"/>
        <v>350.39368043404164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8.3333977712030549</v>
      </c>
      <c r="CM33" s="23">
        <f>EXP(-LN(2)/2)*CM32+(1-EXP(-LN(2)/2))/(LN(2)/2)*CG33*CJ33*VLOOKUP('Données projet'!$B$12,Paramètres!$A$1:$I$89,3,0)*0.475*44/12</f>
        <v>1.3933601241251343</v>
      </c>
      <c r="CN33" s="24">
        <f t="shared" si="12"/>
        <v>9.7267578953281895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10.670329670329668</v>
      </c>
      <c r="CT33" s="13">
        <f>IF('Données projet'!$A$140&gt;35,CT32+CS33-DB32,IF(A33&lt;'Données projet'!$A$140,$CQ$205^A33,IF(A33='Données projet'!$A$140,'Données projet'!$B$140,CT32+CS33-DB32)))</f>
        <v>123.35164835164832</v>
      </c>
      <c r="CU33" s="18">
        <f>CT33*VLOOKUP('Données projet'!$B$13,Paramètres!$A$1:$I$89,3,0)*VLOOKUP('Données projet'!$B$13,Paramètres!$A$1:$I$89,5,0)</f>
        <v>73.764285714285705</v>
      </c>
      <c r="CV33" s="14">
        <f t="shared" si="41"/>
        <v>20.605393629228015</v>
      </c>
      <c r="CW33" s="22">
        <f t="shared" si="13"/>
        <v>164.36052485661972</v>
      </c>
      <c r="CX33" s="60">
        <f t="shared" si="14"/>
        <v>457.69385818995306</v>
      </c>
      <c r="CY33" s="60">
        <f ca="1">AVERAGE(OFFSET($CX$3,0,0,'Données projet'!$E$13+1,1))-AVERAGE(OFFSET($H$3,0,0,'Données projet'!$E$13+1,1))</f>
        <v>232.73140429491525</v>
      </c>
      <c r="CZ33" s="60">
        <f t="shared" si="42"/>
        <v>201.02719152328638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7.9624297439020948</v>
      </c>
      <c r="DH33" s="23">
        <f>EXP(-LN(2)/2)*DH32+(1-EXP(-LN(2)/2))/(LN(2)/2)*DB33*DE33*VLOOKUP('Données projet'!$B$13,Paramètres!$A$1:$I$89,3,0)*0.475*44/12</f>
        <v>3.0788224913226259</v>
      </c>
      <c r="DI33" s="24">
        <f t="shared" si="15"/>
        <v>11.041252235224722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75.641025641025635</v>
      </c>
      <c r="DM33" s="13">
        <f>VLOOKUP(A33,'Données projet'!$A$165:$I$185,9,0)</f>
        <v>5.1282051282051269</v>
      </c>
      <c r="DN33" s="13">
        <f t="array" ref="DN33">INDEX(DM:DM,MIN(IF(ISNUMBER(DM33:DM229),ROW(DM33:DM229),"")))</f>
        <v>5.1282051282051269</v>
      </c>
      <c r="DO33" s="13">
        <f>IF('Données projet'!$A$166&gt;35,DO32+DN33-DW32,IF(A33&lt;'Données projet'!$A$166,$DL$205^A33,IF(A33='Données projet'!$A$166,'Données projet'!$B$166,DO32+DN33-DW32)))</f>
        <v>75.641025641025621</v>
      </c>
      <c r="DP33" s="18">
        <f>DO33*VLOOKUP('Données projet'!$B$14,Paramètres!$A$1:$I$89,3,0)*VLOOKUP('Données projet'!$B$14,Paramètres!$A$1:$I$89,5,0)</f>
        <v>71.979999999999976</v>
      </c>
      <c r="DQ33" s="14">
        <f t="shared" si="43"/>
        <v>20.164360293609917</v>
      </c>
      <c r="DR33" s="22">
        <f t="shared" si="16"/>
        <v>160.48476084470389</v>
      </c>
      <c r="DS33" s="60">
        <f t="shared" si="17"/>
        <v>453.8180941780372</v>
      </c>
      <c r="DT33" s="60">
        <f ca="1">AVERAGE(OFFSET($DS$3,0,0,'Données projet'!$E$14+1,1))-AVERAGE(OFFSET($H$3,0,0,'Données projet'!$E$14+1,1))</f>
        <v>302.15577364214136</v>
      </c>
      <c r="DU33" s="60">
        <f t="shared" si="44"/>
        <v>197.15142751137051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125.64102564102564</v>
      </c>
      <c r="EH33" s="13">
        <f>VLOOKUP(A33,'Données projet'!$A$191:$I$211,9,0)</f>
        <v>6.7948717948717956</v>
      </c>
      <c r="EI33" s="13">
        <f t="array" ref="EI33">INDEX(EH:EH,MIN(IF(ISNUMBER(EH33:EH229),ROW(EH33:EH229),"")))</f>
        <v>6.7948717948717956</v>
      </c>
      <c r="EJ33" s="13">
        <f>IF('Données projet'!$A$192&gt;35,EJ32+EI33-ER32,IF(A33&lt;'Données projet'!$A$192,$EG$205^A33,IF(A33='Données projet'!$A$192,'Données projet'!$B$192,EJ32+EI33-ER32)))</f>
        <v>125.64102564102561</v>
      </c>
      <c r="EK33" s="18">
        <f>EJ33*VLOOKUP('Données projet'!$B$15,Paramètres!$A$1:$I$89,3,0)*VLOOKUP('Données projet'!$B$15,Paramètres!$A$1:$I$89,5,0)</f>
        <v>131.32</v>
      </c>
      <c r="EL33" s="14">
        <f t="shared" si="45"/>
        <v>34.30119300489546</v>
      </c>
      <c r="EM33" s="22">
        <f t="shared" si="19"/>
        <v>288.45691115019287</v>
      </c>
      <c r="EN33" s="60">
        <f t="shared" si="20"/>
        <v>581.79024448352618</v>
      </c>
      <c r="EO33" s="60">
        <f ca="1">AVERAGE(OFFSET($EN$3,0,0,'Données projet'!$E$15+1,1))-AVERAGE(OFFSET($H$3,0,0,'Données projet'!$E$15+1,1))</f>
        <v>493.70175665335978</v>
      </c>
      <c r="EP33" s="60">
        <f t="shared" si="46"/>
        <v>325.12357781685949</v>
      </c>
      <c r="EQ33" s="16">
        <f>IF(ISNA(VLOOKUP(A33,'Données projet'!$A$191:$I$211,3,0)),0,VLOOKUP(A33,'Données projet'!$A$191:$I$211,3,0))</f>
        <v>1</v>
      </c>
      <c r="ER33" s="16">
        <f>IF(ISNA(VLOOKUP(A33,'Données projet'!$A$191:$I$211,4,0)),0,VLOOKUP(A33,'Données projet'!$A$191:$I$211,4,0))</f>
        <v>28.205128205128204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0" t="e">
        <f t="shared" si="23"/>
        <v>#N/A</v>
      </c>
      <c r="FJ33" s="60" t="e">
        <f ca="1">AVERAGE(OFFSET($FI$3,0,0,'Données projet'!$E$16+1,1))-AVERAGE(OFFSET($H$3,0,0,'Données projet'!$E$16+1,1))</f>
        <v>#N/A</v>
      </c>
      <c r="FK33" s="60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0" t="e">
        <f t="shared" si="26"/>
        <v>#N/A</v>
      </c>
      <c r="GE33" s="60" t="e">
        <f ca="1">AVERAGE(OFFSET($GD$3,0,0,'Données projet'!$E$17+1,1))-AVERAGE(OFFSET($H$3,0,0,'Données projet'!$E$17+1,1))</f>
        <v>#N/A</v>
      </c>
      <c r="GF33" s="60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5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8">
        <f t="shared" si="1"/>
        <v>256.66666666666669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14.298901098901101</v>
      </c>
      <c r="N34" s="14">
        <f>IF('Données projet'!$A$36&gt;35,N33+M34-V33,IF(A34&lt;'Données projet'!$A$36,$K$205^A34,IF(A34='Données projet'!$A$36,'Données projet'!$B$36,N33+M34-V33)))</f>
        <v>191.08241758241761</v>
      </c>
      <c r="O34" s="14">
        <f>N34*VLOOKUP('Données projet'!$B$9,Paramètres!$A$1:$I$89,3,0)*VLOOKUP('Données projet'!$B$9,Paramètres!$A$1:$I$89,5,0)</f>
        <v>114.26728571428573</v>
      </c>
      <c r="P34" s="14">
        <f t="shared" si="33"/>
        <v>30.334152496808123</v>
      </c>
      <c r="Q34" s="22">
        <f t="shared" si="2"/>
        <v>251.84750488432181</v>
      </c>
      <c r="R34" s="60">
        <f t="shared" si="0"/>
        <v>545.18083821765515</v>
      </c>
      <c r="S34" s="60">
        <f ca="1">AVERAGE(OFFSET($R$3,0,0,'Données projet'!$E$9+1,1))-AVERAGE(OFFSET($H$3,0,0,'Données projet'!$E$9+1,1))</f>
        <v>260.02504691866199</v>
      </c>
      <c r="T34" s="60">
        <f t="shared" si="34"/>
        <v>270.11268336406368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9.8120476214177241</v>
      </c>
      <c r="AA34" s="23">
        <f>EXP(-LN(2)/25)*AA33+(1-EXP(-LN(2)/25))/(LN(2)/25)*Calculateur!V34*Calculateur!X34*VLOOKUP('Données projet'!$B$9,Paramètres!$A$1:$I$89,3,0)*0.475*44/12</f>
        <v>15.986593135969912</v>
      </c>
      <c r="AB34" s="23">
        <f>EXP(-LN(2)/2)*AB33+(1-EXP(-LN(2)/2))/(LN(2)/2)*V34*Y34*VLOOKUP('Données projet'!$B$9,Paramètres!$A$1:$I$89,3,0)*0.475*44/12</f>
        <v>4.4830293773206256</v>
      </c>
      <c r="AC34" s="24">
        <f t="shared" si="3"/>
        <v>30.281670134708264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8</v>
      </c>
      <c r="AI34" s="14">
        <f>IF('Données projet'!$A$62&gt;35,AI33+AH34-AQ33,IF(A34&lt;'Données projet'!$A$62,$AF$205^A34,IF(A34='Données projet'!$A$62,'Données projet'!$B$62,AI33+AH34-AQ33)))</f>
        <v>84</v>
      </c>
      <c r="AJ34" s="14">
        <f>AI34*VLOOKUP('Données projet'!$B$10,Paramètres!$A$1:$I$89,3,0)*VLOOKUP('Données projet'!$B$10,Paramètres!$A$1:$I$89,5,0)</f>
        <v>85.176000000000002</v>
      </c>
      <c r="AK34" s="14">
        <f t="shared" si="35"/>
        <v>23.398088487656441</v>
      </c>
      <c r="AL34" s="22">
        <f t="shared" si="4"/>
        <v>189.09987078266829</v>
      </c>
      <c r="AM34" s="60">
        <f t="shared" si="5"/>
        <v>482.4332041160016</v>
      </c>
      <c r="AN34" s="60">
        <f ca="1">AVERAGE(OFFSET($AM$3,0,0,'Données projet'!$E$10+1,1))-AVERAGE(OFFSET($H$3,0,0,'Données projet'!$E$10+1,1))</f>
        <v>475.47920969424894</v>
      </c>
      <c r="AO34" s="60">
        <f t="shared" si="36"/>
        <v>271.73544012419364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5.2</v>
      </c>
      <c r="BD34" s="13">
        <f>IF('Données projet'!$A$88&gt;35,BD33+BC34-BL33,IF(A34&lt;'Données projet'!$A$88,$BA$205^A34,IF(A34='Données projet'!$A$88,'Données projet'!$B$88,BD33+BC34-BL33)))</f>
        <v>59.2</v>
      </c>
      <c r="BE34" s="14">
        <f>BD34*VLOOKUP('Données projet'!$B$11,Paramètres!$A$1:$I$89,3,0)*VLOOKUP('Données projet'!$B$11,Paramètres!$A$1:$I$89,5,0)</f>
        <v>53.564160000000001</v>
      </c>
      <c r="BF34" s="14">
        <f t="shared" si="37"/>
        <v>15.530498469746302</v>
      </c>
      <c r="BG34" s="22">
        <f t="shared" si="7"/>
        <v>120.33986350147482</v>
      </c>
      <c r="BH34" s="60">
        <f t="shared" si="8"/>
        <v>413.67319683480815</v>
      </c>
      <c r="BI34" s="60">
        <f ca="1">AVERAGE(OFFSET($BH$3,0,0,'Données projet'!$E$11+1,1))-AVERAGE(OFFSET($H$3,0,0,'Données projet'!$E$11+1,1))</f>
        <v>325.2649384779973</v>
      </c>
      <c r="BJ34" s="60">
        <f t="shared" si="38"/>
        <v>146.70159365068315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28.4</v>
      </c>
      <c r="BY34" s="13">
        <f>IF('Données projet'!$A$114&gt;35,BY33+BX34-CG33,IF(A34&lt;'Données projet'!$A$114,$BV$205^A34,IF(A34='Données projet'!$A$114,'Données projet'!$B$114,BY33+BX34-CG33)))</f>
        <v>352.19999999999987</v>
      </c>
      <c r="BZ34" s="14">
        <f>BY34*VLOOKUP('Données projet'!$B$12,Paramètres!$A$1:$I$89,3,0)*VLOOKUP('Données projet'!$B$12,Paramètres!$A$1:$I$89,5,0)</f>
        <v>155.67239999999995</v>
      </c>
      <c r="CA34" s="14">
        <f t="shared" si="39"/>
        <v>39.86486091051038</v>
      </c>
      <c r="CB34" s="22">
        <f t="shared" si="10"/>
        <v>340.5607294191388</v>
      </c>
      <c r="CC34" s="60">
        <f t="shared" si="11"/>
        <v>633.89406275247211</v>
      </c>
      <c r="CD34" s="60">
        <f ca="1">AVERAGE(OFFSET($CC$3,0,0,'Données projet'!$E$12+1,1))-AVERAGE(OFFSET($H$3,0,0,'Données projet'!$E$12+1,1))</f>
        <v>401.84375324751227</v>
      </c>
      <c r="CE34" s="60">
        <f t="shared" si="40"/>
        <v>350.39368043404164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8.1055205709151643</v>
      </c>
      <c r="CM34" s="23">
        <f>EXP(-LN(2)/2)*CM33+(1-EXP(-LN(2)/2))/(LN(2)/2)*CG34*CJ34*VLOOKUP('Données projet'!$B$12,Paramètres!$A$1:$I$89,3,0)*0.475*44/12</f>
        <v>0.98525439240381207</v>
      </c>
      <c r="CN34" s="24">
        <f t="shared" si="12"/>
        <v>9.0907749633189763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10.670329670329668</v>
      </c>
      <c r="CT34" s="13">
        <f>IF('Données projet'!$A$140&gt;35,CT33+CS34-DB33,IF(A34&lt;'Données projet'!$A$140,$CQ$205^A34,IF(A34='Données projet'!$A$140,'Données projet'!$B$140,CT33+CS34-DB33)))</f>
        <v>134.02197802197799</v>
      </c>
      <c r="CU34" s="18">
        <f>CT34*VLOOKUP('Données projet'!$B$13,Paramètres!$A$1:$I$89,3,0)*VLOOKUP('Données projet'!$B$13,Paramètres!$A$1:$I$89,5,0)</f>
        <v>80.145142857142844</v>
      </c>
      <c r="CV34" s="14">
        <f t="shared" si="41"/>
        <v>22.172668567066701</v>
      </c>
      <c r="CW34" s="22">
        <f t="shared" si="13"/>
        <v>178.2035215638316</v>
      </c>
      <c r="CX34" s="60">
        <f t="shared" si="14"/>
        <v>471.53685489716491</v>
      </c>
      <c r="CY34" s="60">
        <f ca="1">AVERAGE(OFFSET($CX$3,0,0,'Données projet'!$E$13+1,1))-AVERAGE(OFFSET($H$3,0,0,'Données projet'!$E$13+1,1))</f>
        <v>232.73140429491525</v>
      </c>
      <c r="CZ34" s="60">
        <f t="shared" si="42"/>
        <v>201.02719152328638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7.74469668382911</v>
      </c>
      <c r="DH34" s="23">
        <f>EXP(-LN(2)/2)*DH33+(1-EXP(-LN(2)/2))/(LN(2)/2)*DB34*DE34*VLOOKUP('Données projet'!$B$13,Paramètres!$A$1:$I$89,3,0)*0.475*44/12</f>
        <v>2.1770562616838891</v>
      </c>
      <c r="DI34" s="24">
        <f t="shared" si="15"/>
        <v>9.9217529455129991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5.1282051282051295</v>
      </c>
      <c r="DO34" s="13">
        <f>IF('Données projet'!$A$166&gt;35,DO33+DN34-DW33,IF(A34&lt;'Données projet'!$A$166,$DL$205^A34,IF(A34='Données projet'!$A$166,'Données projet'!$B$166,DO33+DN34-DW33)))</f>
        <v>80.769230769230745</v>
      </c>
      <c r="DP34" s="18">
        <f>DO34*VLOOKUP('Données projet'!$B$14,Paramètres!$A$1:$I$89,3,0)*VLOOKUP('Données projet'!$B$14,Paramètres!$A$1:$I$89,5,0)</f>
        <v>76.859999999999971</v>
      </c>
      <c r="DQ34" s="14">
        <f t="shared" si="43"/>
        <v>21.367657841637747</v>
      </c>
      <c r="DR34" s="22">
        <f t="shared" si="16"/>
        <v>171.07983740751902</v>
      </c>
      <c r="DS34" s="60">
        <f t="shared" si="17"/>
        <v>464.41317074085237</v>
      </c>
      <c r="DT34" s="60">
        <f ca="1">AVERAGE(OFFSET($DS$3,0,0,'Données projet'!$E$14+1,1))-AVERAGE(OFFSET($H$3,0,0,'Données projet'!$E$14+1,1))</f>
        <v>302.15577364214136</v>
      </c>
      <c r="DU34" s="60">
        <f t="shared" si="44"/>
        <v>197.15142751137051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6.7948717948717956</v>
      </c>
      <c r="EJ34" s="13">
        <f>IF('Données projet'!$A$192&gt;35,EJ33+EI34-ER33,IF(A34&lt;'Données projet'!$A$192,$EG$205^A34,IF(A34='Données projet'!$A$192,'Données projet'!$B$192,EJ33+EI34-ER33)))</f>
        <v>104.2307692307692</v>
      </c>
      <c r="EK34" s="18">
        <f>EJ34*VLOOKUP('Données projet'!$B$15,Paramètres!$A$1:$I$89,3,0)*VLOOKUP('Données projet'!$B$15,Paramètres!$A$1:$I$89,5,0)</f>
        <v>108.94199999999996</v>
      </c>
      <c r="EL34" s="14">
        <f t="shared" si="45"/>
        <v>29.08157148085148</v>
      </c>
      <c r="EM34" s="22">
        <f t="shared" si="19"/>
        <v>240.39105366248293</v>
      </c>
      <c r="EN34" s="60">
        <f t="shared" si="20"/>
        <v>533.7243869958163</v>
      </c>
      <c r="EO34" s="60">
        <f ca="1">AVERAGE(OFFSET($EN$3,0,0,'Données projet'!$E$15+1,1))-AVERAGE(OFFSET($H$3,0,0,'Données projet'!$E$15+1,1))</f>
        <v>493.70175665335978</v>
      </c>
      <c r="EP34" s="60">
        <f t="shared" si="46"/>
        <v>325.12357781685949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0" t="e">
        <f t="shared" si="23"/>
        <v>#N/A</v>
      </c>
      <c r="FJ34" s="60" t="e">
        <f ca="1">AVERAGE(OFFSET($FI$3,0,0,'Données projet'!$E$16+1,1))-AVERAGE(OFFSET($H$3,0,0,'Données projet'!$E$16+1,1))</f>
        <v>#N/A</v>
      </c>
      <c r="FK34" s="60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0" t="e">
        <f t="shared" si="26"/>
        <v>#N/A</v>
      </c>
      <c r="GE34" s="60" t="e">
        <f ca="1">AVERAGE(OFFSET($GD$3,0,0,'Données projet'!$E$17+1,1))-AVERAGE(OFFSET($H$3,0,0,'Données projet'!$E$17+1,1))</f>
        <v>#N/A</v>
      </c>
      <c r="GF34" s="60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5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8">
        <f t="shared" si="1"/>
        <v>256.66666666666669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14.298901098901101</v>
      </c>
      <c r="N35" s="14">
        <f>IF('Données projet'!$A$36&gt;35,N34+M35-V34,IF(A35&lt;'Données projet'!$A$36,$K$205^A35,IF(A35='Données projet'!$A$36,'Données projet'!$B$36,N34+M35-V34)))</f>
        <v>205.3813186813187</v>
      </c>
      <c r="O35" s="14">
        <f>N35*VLOOKUP('Données projet'!$B$9,Paramètres!$A$1:$I$89,3,0)*VLOOKUP('Données projet'!$B$9,Paramètres!$A$1:$I$89,5,0)</f>
        <v>122.81802857142858</v>
      </c>
      <c r="P35" s="14">
        <f t="shared" si="33"/>
        <v>32.331367630744694</v>
      </c>
      <c r="Q35" s="22">
        <f t="shared" ref="Q35:Q66" si="53">(O35+P35)*0.475*44/12</f>
        <v>270.21853171878513</v>
      </c>
      <c r="R35" s="60">
        <f t="shared" si="0"/>
        <v>563.5518650521185</v>
      </c>
      <c r="S35" s="60">
        <f ca="1">AVERAGE(OFFSET($R$3,0,0,'Données projet'!$E$9+1,1))-AVERAGE(OFFSET($H$3,0,0,'Données projet'!$E$9+1,1))</f>
        <v>260.02504691866199</v>
      </c>
      <c r="T35" s="60">
        <f t="shared" si="34"/>
        <v>270.11268336406368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9.619639352319826</v>
      </c>
      <c r="AA35" s="23">
        <f>EXP(-LN(2)/25)*AA34+(1-EXP(-LN(2)/25))/(LN(2)/25)*Calculateur!V35*Calculateur!X35*VLOOKUP('Données projet'!$B$9,Paramètres!$A$1:$I$89,3,0)*0.475*44/12</f>
        <v>15.549438905968419</v>
      </c>
      <c r="AB35" s="23">
        <f>EXP(-LN(2)/2)*AB34+(1-EXP(-LN(2)/2))/(LN(2)/2)*V35*Y35*VLOOKUP('Données projet'!$B$9,Paramètres!$A$1:$I$89,3,0)*0.475*44/12</f>
        <v>3.1699804729619201</v>
      </c>
      <c r="AC35" s="24">
        <f t="shared" si="3"/>
        <v>28.339058731250166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8</v>
      </c>
      <c r="AI35" s="14">
        <f>IF('Données projet'!$A$62&gt;35,AI34+AH35-AQ34,IF(A35&lt;'Données projet'!$A$62,$AF$205^A35,IF(A35='Données projet'!$A$62,'Données projet'!$B$62,AI34+AH35-AQ34)))</f>
        <v>92</v>
      </c>
      <c r="AJ35" s="14">
        <f>AI35*VLOOKUP('Données projet'!$B$10,Paramètres!$A$1:$I$89,3,0)*VLOOKUP('Données projet'!$B$10,Paramètres!$A$1:$I$89,5,0)</f>
        <v>93.288000000000011</v>
      </c>
      <c r="AK35" s="14">
        <f t="shared" si="35"/>
        <v>25.356547829040977</v>
      </c>
      <c r="AL35" s="22">
        <f t="shared" si="4"/>
        <v>206.63925413557971</v>
      </c>
      <c r="AM35" s="60">
        <f t="shared" si="5"/>
        <v>499.97258746891305</v>
      </c>
      <c r="AN35" s="60">
        <f ca="1">AVERAGE(OFFSET($AM$3,0,0,'Données projet'!$E$10+1,1))-AVERAGE(OFFSET($H$3,0,0,'Données projet'!$E$10+1,1))</f>
        <v>475.47920969424894</v>
      </c>
      <c r="AO35" s="60">
        <f t="shared" si="36"/>
        <v>271.73544012419364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5.2</v>
      </c>
      <c r="BD35" s="13">
        <f>IF('Données projet'!$A$88&gt;35,BD34+BC35-BL34,IF(A35&lt;'Données projet'!$A$88,$BA$205^A35,IF(A35='Données projet'!$A$88,'Données projet'!$B$88,BD34+BC35-BL34)))</f>
        <v>64.400000000000006</v>
      </c>
      <c r="BE35" s="14">
        <f>BD35*VLOOKUP('Données projet'!$B$11,Paramètres!$A$1:$I$89,3,0)*VLOOKUP('Données projet'!$B$11,Paramètres!$A$1:$I$89,5,0)</f>
        <v>58.269120000000008</v>
      </c>
      <c r="BF35" s="14">
        <f t="shared" si="37"/>
        <v>16.729905486873804</v>
      </c>
      <c r="BG35" s="22">
        <f t="shared" si="7"/>
        <v>130.62330272297189</v>
      </c>
      <c r="BH35" s="60">
        <f t="shared" si="8"/>
        <v>423.95663605630523</v>
      </c>
      <c r="BI35" s="60">
        <f ca="1">AVERAGE(OFFSET($BH$3,0,0,'Données projet'!$E$11+1,1))-AVERAGE(OFFSET($H$3,0,0,'Données projet'!$E$11+1,1))</f>
        <v>325.2649384779973</v>
      </c>
      <c r="BJ35" s="60">
        <f t="shared" si="38"/>
        <v>146.70159365068315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28.4</v>
      </c>
      <c r="BY35" s="13">
        <f>IF('Données projet'!$A$114&gt;35,BY34+BX35-CG34,IF(A35&lt;'Données projet'!$A$114,$BV$205^A35,IF(A35='Données projet'!$A$114,'Données projet'!$B$114,BY34+BX35-CG34)))</f>
        <v>380.59999999999985</v>
      </c>
      <c r="BZ35" s="14">
        <f>BY35*VLOOKUP('Données projet'!$B$12,Paramètres!$A$1:$I$89,3,0)*VLOOKUP('Données projet'!$B$12,Paramètres!$A$1:$I$89,5,0)</f>
        <v>168.22519999999997</v>
      </c>
      <c r="CA35" s="14">
        <f t="shared" si="39"/>
        <v>42.69228495978895</v>
      </c>
      <c r="CB35" s="22">
        <f t="shared" si="10"/>
        <v>367.34795297163237</v>
      </c>
      <c r="CC35" s="60">
        <f t="shared" si="11"/>
        <v>660.68128630496562</v>
      </c>
      <c r="CD35" s="60">
        <f ca="1">AVERAGE(OFFSET($CC$3,0,0,'Données projet'!$E$12+1,1))-AVERAGE(OFFSET($H$3,0,0,'Données projet'!$E$12+1,1))</f>
        <v>401.84375324751227</v>
      </c>
      <c r="CE35" s="60">
        <f t="shared" si="40"/>
        <v>350.39368043404164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7.8838746846526879</v>
      </c>
      <c r="CM35" s="23">
        <f>EXP(-LN(2)/2)*CM34+(1-EXP(-LN(2)/2))/(LN(2)/2)*CG35*CJ35*VLOOKUP('Données projet'!$B$12,Paramètres!$A$1:$I$89,3,0)*0.475*44/12</f>
        <v>0.69668006206256727</v>
      </c>
      <c r="CN35" s="24">
        <f t="shared" si="12"/>
        <v>8.5805547467152543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>
        <f>VLOOKUP(A35,'Données projet'!$A$139:$I$159,2,0)</f>
        <v>144.69230769230768</v>
      </c>
      <c r="CR35" s="13">
        <f>VLOOKUP(A35,'Données projet'!$A$139:$I$159,9,0)</f>
        <v>10.670329670329668</v>
      </c>
      <c r="CS35" s="13">
        <f t="array" ref="CS35">INDEX(CR:CR,MIN(IF(ISNUMBER(CR35:CR231),ROW(CR35:CR231),"")))</f>
        <v>10.670329670329668</v>
      </c>
      <c r="CT35" s="13">
        <f>IF('Données projet'!$A$140&gt;35,CT34+CS35-DB34,IF(A35&lt;'Données projet'!$A$140,$CQ$205^A35,IF(A35='Données projet'!$A$140,'Données projet'!$B$140,CT34+CS35-DB34)))</f>
        <v>144.69230769230765</v>
      </c>
      <c r="CU35" s="18">
        <f>CT35*VLOOKUP('Données projet'!$B$13,Paramètres!$A$1:$I$89,3,0)*VLOOKUP('Données projet'!$B$13,Paramètres!$A$1:$I$89,5,0)</f>
        <v>86.525999999999996</v>
      </c>
      <c r="CV35" s="14">
        <f t="shared" si="41"/>
        <v>23.725470008852188</v>
      </c>
      <c r="CW35" s="22">
        <f t="shared" si="13"/>
        <v>192.02131026541755</v>
      </c>
      <c r="CX35" s="60">
        <f t="shared" si="14"/>
        <v>485.35464359875084</v>
      </c>
      <c r="CY35" s="60">
        <f ca="1">AVERAGE(OFFSET($CX$3,0,0,'Données projet'!$E$13+1,1))-AVERAGE(OFFSET($H$3,0,0,'Données projet'!$E$13+1,1))</f>
        <v>232.73140429491525</v>
      </c>
      <c r="CZ35" s="60">
        <f t="shared" si="42"/>
        <v>201.02719152328638</v>
      </c>
      <c r="DA35" s="16">
        <f>IF(ISNA(VLOOKUP(A35,'Données projet'!$A$139:$I$159,3,0)),0,VLOOKUP(A35,'Données projet'!$A$139:$I$159,3,0))</f>
        <v>2</v>
      </c>
      <c r="DB35" s="16">
        <f>IF(ISNA(VLOOKUP(A35,'Données projet'!$A$139:$I$159,4,0)),0,VLOOKUP(A35,'Données projet'!$A$139:$I$159,4,0))</f>
        <v>41.469230769230762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7.5329175457339055</v>
      </c>
      <c r="DH35" s="23">
        <f>EXP(-LN(2)/2)*DH34+(1-EXP(-LN(2)/2))/(LN(2)/2)*DB35*DE35*VLOOKUP('Données projet'!$B$13,Paramètres!$A$1:$I$89,3,0)*0.475*44/12</f>
        <v>1.5394112456613129</v>
      </c>
      <c r="DI35" s="24">
        <f t="shared" si="15"/>
        <v>9.0723287913952184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5.1282051282051295</v>
      </c>
      <c r="DO35" s="13">
        <f>IF('Données projet'!$A$166&gt;35,DO34+DN35-DW34,IF(A35&lt;'Données projet'!$A$166,$DL$205^A35,IF(A35='Données projet'!$A$166,'Données projet'!$B$166,DO34+DN35-DW34)))</f>
        <v>85.897435897435869</v>
      </c>
      <c r="DP35" s="18">
        <f>DO35*VLOOKUP('Données projet'!$B$14,Paramètres!$A$1:$I$89,3,0)*VLOOKUP('Données projet'!$B$14,Paramètres!$A$1:$I$89,5,0)</f>
        <v>81.739999999999966</v>
      </c>
      <c r="DQ35" s="14">
        <f t="shared" si="43"/>
        <v>22.562088941798432</v>
      </c>
      <c r="DR35" s="22">
        <f t="shared" si="16"/>
        <v>181.6594715736322</v>
      </c>
      <c r="DS35" s="60">
        <f t="shared" si="17"/>
        <v>474.99280490696549</v>
      </c>
      <c r="DT35" s="60">
        <f ca="1">AVERAGE(OFFSET($DS$3,0,0,'Données projet'!$E$14+1,1))-AVERAGE(OFFSET($H$3,0,0,'Données projet'!$E$14+1,1))</f>
        <v>302.15577364214136</v>
      </c>
      <c r="DU35" s="60">
        <f t="shared" si="44"/>
        <v>197.15142751137051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6.7948717948717956</v>
      </c>
      <c r="EJ35" s="13">
        <f>IF('Données projet'!$A$192&gt;35,EJ34+EI35-ER34,IF(A35&lt;'Données projet'!$A$192,$EG$205^A35,IF(A35='Données projet'!$A$192,'Données projet'!$B$192,EJ34+EI35-ER34)))</f>
        <v>111.02564102564099</v>
      </c>
      <c r="EK35" s="18">
        <f>EJ35*VLOOKUP('Données projet'!$B$15,Paramètres!$A$1:$I$89,3,0)*VLOOKUP('Données projet'!$B$15,Paramètres!$A$1:$I$89,5,0)</f>
        <v>116.04399999999997</v>
      </c>
      <c r="EL35" s="14">
        <f t="shared" si="45"/>
        <v>30.750534860350001</v>
      </c>
      <c r="EM35" s="22">
        <f t="shared" si="19"/>
        <v>255.66714821510956</v>
      </c>
      <c r="EN35" s="60">
        <f t="shared" si="20"/>
        <v>549.00048154844285</v>
      </c>
      <c r="EO35" s="60">
        <f ca="1">AVERAGE(OFFSET($EN$3,0,0,'Données projet'!$E$15+1,1))-AVERAGE(OFFSET($H$3,0,0,'Données projet'!$E$15+1,1))</f>
        <v>493.70175665335978</v>
      </c>
      <c r="EP35" s="60">
        <f t="shared" si="46"/>
        <v>325.12357781685949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0" t="e">
        <f t="shared" si="23"/>
        <v>#N/A</v>
      </c>
      <c r="FJ35" s="60" t="e">
        <f ca="1">AVERAGE(OFFSET($FI$3,0,0,'Données projet'!$E$16+1,1))-AVERAGE(OFFSET($H$3,0,0,'Données projet'!$E$16+1,1))</f>
        <v>#N/A</v>
      </c>
      <c r="FK35" s="60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0" t="e">
        <f t="shared" si="26"/>
        <v>#N/A</v>
      </c>
      <c r="GE35" s="60" t="e">
        <f ca="1">AVERAGE(OFFSET($GD$3,0,0,'Données projet'!$E$17+1,1))-AVERAGE(OFFSET($H$3,0,0,'Données projet'!$E$17+1,1))</f>
        <v>#N/A</v>
      </c>
      <c r="GF35" s="60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5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8">
        <f t="shared" si="1"/>
        <v>256.66666666666669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14.298901098901101</v>
      </c>
      <c r="N36" s="14">
        <f>IF('Données projet'!$A$36&gt;35,N35+M36-V35,IF(A36&lt;'Données projet'!$A$36,$K$205^A36,IF(A36='Données projet'!$A$36,'Données projet'!$B$36,N35+M36-V35)))</f>
        <v>219.6802197802198</v>
      </c>
      <c r="O36" s="14">
        <f>N36*VLOOKUP('Données projet'!$B$9,Paramètres!$A$1:$I$89,3,0)*VLOOKUP('Données projet'!$B$9,Paramètres!$A$1:$I$89,5,0)</f>
        <v>131.36877142857145</v>
      </c>
      <c r="P36" s="14">
        <f t="shared" si="33"/>
        <v>34.312449162076589</v>
      </c>
      <c r="Q36" s="22">
        <f t="shared" si="53"/>
        <v>288.56145919537863</v>
      </c>
      <c r="R36" s="60">
        <f t="shared" si="0"/>
        <v>581.89479252871195</v>
      </c>
      <c r="S36" s="60">
        <f ca="1">AVERAGE(OFFSET($R$3,0,0,'Données projet'!$E$9+1,1))-AVERAGE(OFFSET($H$3,0,0,'Données projet'!$E$9+1,1))</f>
        <v>260.02504691866199</v>
      </c>
      <c r="T36" s="60">
        <f t="shared" si="34"/>
        <v>270.11268336406368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9.4310040920214817</v>
      </c>
      <c r="AA36" s="23">
        <f>EXP(-LN(2)/25)*AA35+(1-EXP(-LN(2)/25))/(LN(2)/25)*Calculateur!V36*Calculateur!X36*VLOOKUP('Données projet'!$B$9,Paramètres!$A$1:$I$89,3,0)*0.475*44/12</f>
        <v>15.124238681375259</v>
      </c>
      <c r="AB36" s="23">
        <f>EXP(-LN(2)/2)*AB35+(1-EXP(-LN(2)/2))/(LN(2)/2)*V36*Y36*VLOOKUP('Données projet'!$B$9,Paramètres!$A$1:$I$89,3,0)*0.475*44/12</f>
        <v>2.2415146886603132</v>
      </c>
      <c r="AC36" s="24">
        <f t="shared" si="3"/>
        <v>26.796757462057055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8</v>
      </c>
      <c r="AI36" s="14">
        <f>IF('Données projet'!$A$62&gt;35,AI35+AH36-AQ35,IF(A36&lt;'Données projet'!$A$62,$AF$205^A36,IF(A36='Données projet'!$A$62,'Données projet'!$B$62,AI35+AH36-AQ35)))</f>
        <v>100</v>
      </c>
      <c r="AJ36" s="14">
        <f>AI36*VLOOKUP('Données projet'!$B$10,Paramètres!$A$1:$I$89,3,0)*VLOOKUP('Données projet'!$B$10,Paramètres!$A$1:$I$89,5,0)</f>
        <v>101.4</v>
      </c>
      <c r="AK36" s="14">
        <f t="shared" si="35"/>
        <v>27.295257887453797</v>
      </c>
      <c r="AL36" s="22">
        <f t="shared" si="4"/>
        <v>224.14424082064872</v>
      </c>
      <c r="AM36" s="60">
        <f t="shared" si="5"/>
        <v>517.477574153982</v>
      </c>
      <c r="AN36" s="60">
        <f ca="1">AVERAGE(OFFSET($AM$3,0,0,'Données projet'!$E$10+1,1))-AVERAGE(OFFSET($H$3,0,0,'Données projet'!$E$10+1,1))</f>
        <v>475.47920969424894</v>
      </c>
      <c r="AO36" s="60">
        <f t="shared" si="36"/>
        <v>271.73544012419364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5.2</v>
      </c>
      <c r="BD36" s="13">
        <f>IF('Données projet'!$A$88&gt;35,BD35+BC36-BL35,IF(A36&lt;'Données projet'!$A$88,$BA$205^A36,IF(A36='Données projet'!$A$88,'Données projet'!$B$88,BD35+BC36-BL35)))</f>
        <v>69.600000000000009</v>
      </c>
      <c r="BE36" s="14">
        <f>BD36*VLOOKUP('Données projet'!$B$11,Paramètres!$A$1:$I$89,3,0)*VLOOKUP('Données projet'!$B$11,Paramètres!$A$1:$I$89,5,0)</f>
        <v>62.974080000000008</v>
      </c>
      <c r="BF36" s="14">
        <f t="shared" si="37"/>
        <v>17.91807950185715</v>
      </c>
      <c r="BG36" s="22">
        <f t="shared" si="7"/>
        <v>140.88717779906787</v>
      </c>
      <c r="BH36" s="60">
        <f t="shared" si="8"/>
        <v>434.22051113240116</v>
      </c>
      <c r="BI36" s="60">
        <f ca="1">AVERAGE(OFFSET($BH$3,0,0,'Données projet'!$E$11+1,1))-AVERAGE(OFFSET($H$3,0,0,'Données projet'!$E$11+1,1))</f>
        <v>325.2649384779973</v>
      </c>
      <c r="BJ36" s="60">
        <f t="shared" si="38"/>
        <v>146.70159365068315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>
        <f>VLOOKUP(A36,'Données projet'!$A$113:$I$133,2,0)</f>
        <v>409</v>
      </c>
      <c r="BW36" s="13">
        <f>VLOOKUP(A36,'Données projet'!$A$113:$I$133,9,0)</f>
        <v>28.4</v>
      </c>
      <c r="BX36" s="13">
        <f t="array" ref="BX36">INDEX(BW:BW,MIN(IF(ISNUMBER(BW36:BW232),ROW(BW36:BW232),"")))</f>
        <v>28.4</v>
      </c>
      <c r="BY36" s="13">
        <f>IF('Données projet'!$A$114&gt;35,BY35+BX36-CG35,IF(A36&lt;'Données projet'!$A$114,$BV$205^A36,IF(A36='Données projet'!$A$114,'Données projet'!$B$114,BY35+BX36-CG35)))</f>
        <v>408.99999999999983</v>
      </c>
      <c r="BZ36" s="14">
        <f>BY36*VLOOKUP('Données projet'!$B$12,Paramètres!$A$1:$I$89,3,0)*VLOOKUP('Données projet'!$B$12,Paramètres!$A$1:$I$89,5,0)</f>
        <v>180.77799999999993</v>
      </c>
      <c r="CA36" s="14">
        <f t="shared" si="39"/>
        <v>45.495233361104816</v>
      </c>
      <c r="CB36" s="22">
        <f t="shared" si="10"/>
        <v>394.09254810392412</v>
      </c>
      <c r="CC36" s="60">
        <f t="shared" si="11"/>
        <v>687.42588143725743</v>
      </c>
      <c r="CD36" s="60">
        <f ca="1">AVERAGE(OFFSET($CC$3,0,0,'Données projet'!$E$12+1,1))-AVERAGE(OFFSET($H$3,0,0,'Données projet'!$E$12+1,1))</f>
        <v>401.84375324751227</v>
      </c>
      <c r="CE36" s="60">
        <f t="shared" si="40"/>
        <v>350.39368043404164</v>
      </c>
      <c r="CF36" s="16">
        <f>IF(ISNA(VLOOKUP(A36,'Données projet'!$A$113:$I$133,3,0)),0,VLOOKUP(A36,'Données projet'!$A$113:$I$133,3,0))</f>
        <v>2</v>
      </c>
      <c r="CG36" s="16">
        <f>IF(ISNA(VLOOKUP(A36,'Données projet'!$A$113:$I$133,4,0)),0,VLOOKUP(A36,'Données projet'!$A$113:$I$133,4,0))</f>
        <v>126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7.6682897168059094</v>
      </c>
      <c r="CM36" s="23">
        <f>EXP(-LN(2)/2)*CM35+(1-EXP(-LN(2)/2))/(LN(2)/2)*CG36*CJ36*VLOOKUP('Données projet'!$B$12,Paramètres!$A$1:$I$89,3,0)*0.475*44/12</f>
        <v>0.49262719620190615</v>
      </c>
      <c r="CN36" s="24">
        <f t="shared" si="12"/>
        <v>8.1609169130078154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10.711538461538463</v>
      </c>
      <c r="CT36" s="13">
        <f>IF('Données projet'!$A$140&gt;35,CT35+CS36-DB35,IF(A36&lt;'Données projet'!$A$140,$CQ$205^A36,IF(A36='Données projet'!$A$140,'Données projet'!$B$140,CT35+CS36-DB35)))</f>
        <v>113.93461538461534</v>
      </c>
      <c r="CU36" s="18">
        <f>CT36*VLOOKUP('Données projet'!$B$13,Paramètres!$A$1:$I$89,3,0)*VLOOKUP('Données projet'!$B$13,Paramètres!$A$1:$I$89,5,0)</f>
        <v>68.132899999999978</v>
      </c>
      <c r="CV36" s="14">
        <f t="shared" si="41"/>
        <v>19.20906381173236</v>
      </c>
      <c r="CW36" s="22">
        <f t="shared" si="13"/>
        <v>152.12058697210048</v>
      </c>
      <c r="CX36" s="60">
        <f t="shared" si="14"/>
        <v>445.45392030543383</v>
      </c>
      <c r="CY36" s="60">
        <f ca="1">AVERAGE(OFFSET($CX$3,0,0,'Données projet'!$E$13+1,1))-AVERAGE(OFFSET($H$3,0,0,'Données projet'!$E$13+1,1))</f>
        <v>232.73140429491525</v>
      </c>
      <c r="CZ36" s="60">
        <f t="shared" si="42"/>
        <v>201.02719152328638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7.3269295193068951</v>
      </c>
      <c r="DH36" s="23">
        <f>EXP(-LN(2)/2)*DH35+(1-EXP(-LN(2)/2))/(LN(2)/2)*DB36*DE36*VLOOKUP('Données projet'!$B$13,Paramètres!$A$1:$I$89,3,0)*0.475*44/12</f>
        <v>1.0885281308419446</v>
      </c>
      <c r="DI36" s="24">
        <f t="shared" si="15"/>
        <v>8.4154576501488396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5.1282051282051295</v>
      </c>
      <c r="DO36" s="13">
        <f>IF('Données projet'!$A$166&gt;35,DO35+DN36-DW35,IF(A36&lt;'Données projet'!$A$166,$DL$205^A36,IF(A36='Données projet'!$A$166,'Données projet'!$B$166,DO35+DN36-DW35)))</f>
        <v>91.025641025640994</v>
      </c>
      <c r="DP36" s="18">
        <f>DO36*VLOOKUP('Données projet'!$B$14,Paramètres!$A$1:$I$89,3,0)*VLOOKUP('Données projet'!$B$14,Paramètres!$A$1:$I$89,5,0)</f>
        <v>86.619999999999976</v>
      </c>
      <c r="DQ36" s="14">
        <f t="shared" si="43"/>
        <v>23.748243221909036</v>
      </c>
      <c r="DR36" s="22">
        <f t="shared" si="16"/>
        <v>192.22469027815819</v>
      </c>
      <c r="DS36" s="60">
        <f t="shared" si="17"/>
        <v>485.55802361149154</v>
      </c>
      <c r="DT36" s="60">
        <f ca="1">AVERAGE(OFFSET($DS$3,0,0,'Données projet'!$E$14+1,1))-AVERAGE(OFFSET($H$3,0,0,'Données projet'!$E$14+1,1))</f>
        <v>302.15577364214136</v>
      </c>
      <c r="DU36" s="60">
        <f t="shared" si="44"/>
        <v>197.15142751137051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6.7948717948717956</v>
      </c>
      <c r="EJ36" s="13">
        <f>IF('Données projet'!$A$192&gt;35,EJ35+EI36-ER35,IF(A36&lt;'Données projet'!$A$192,$EG$205^A36,IF(A36='Données projet'!$A$192,'Données projet'!$B$192,EJ35+EI36-ER35)))</f>
        <v>117.82051282051279</v>
      </c>
      <c r="EK36" s="18">
        <f>EJ36*VLOOKUP('Données projet'!$B$15,Paramètres!$A$1:$I$89,3,0)*VLOOKUP('Données projet'!$B$15,Paramètres!$A$1:$I$89,5,0)</f>
        <v>123.14599999999997</v>
      </c>
      <c r="EL36" s="14">
        <f t="shared" si="45"/>
        <v>32.407643337050729</v>
      </c>
      <c r="EM36" s="22">
        <f t="shared" si="19"/>
        <v>270.92259547869656</v>
      </c>
      <c r="EN36" s="60">
        <f t="shared" si="20"/>
        <v>564.25592881202988</v>
      </c>
      <c r="EO36" s="60">
        <f ca="1">AVERAGE(OFFSET($EN$3,0,0,'Données projet'!$E$15+1,1))-AVERAGE(OFFSET($H$3,0,0,'Données projet'!$E$15+1,1))</f>
        <v>493.70175665335978</v>
      </c>
      <c r="EP36" s="60">
        <f t="shared" si="46"/>
        <v>325.12357781685949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0" t="e">
        <f t="shared" si="23"/>
        <v>#N/A</v>
      </c>
      <c r="FJ36" s="60" t="e">
        <f ca="1">AVERAGE(OFFSET($FI$3,0,0,'Données projet'!$E$16+1,1))-AVERAGE(OFFSET($H$3,0,0,'Données projet'!$E$16+1,1))</f>
        <v>#N/A</v>
      </c>
      <c r="FK36" s="60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0" t="e">
        <f t="shared" si="26"/>
        <v>#N/A</v>
      </c>
      <c r="GE36" s="60" t="e">
        <f ca="1">AVERAGE(OFFSET($GD$3,0,0,'Données projet'!$E$17+1,1))-AVERAGE(OFFSET($H$3,0,0,'Données projet'!$E$17+1,1))</f>
        <v>#N/A</v>
      </c>
      <c r="GF36" s="60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5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8">
        <f t="shared" si="1"/>
        <v>256.66666666666669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14.298901098901101</v>
      </c>
      <c r="N37" s="14">
        <f>IF('Données projet'!$A$36&gt;35,N36+M37-V36,IF(A37&lt;'Données projet'!$A$36,$K$205^A37,IF(A37='Données projet'!$A$36,'Données projet'!$B$36,N36+M37-V36)))</f>
        <v>233.9791208791209</v>
      </c>
      <c r="O37" s="14">
        <f>N37*VLOOKUP('Données projet'!$B$9,Paramètres!$A$1:$I$89,3,0)*VLOOKUP('Données projet'!$B$9,Paramètres!$A$1:$I$89,5,0)</f>
        <v>139.91951428571431</v>
      </c>
      <c r="P37" s="14">
        <f t="shared" si="33"/>
        <v>36.278566731027588</v>
      </c>
      <c r="Q37" s="22">
        <f t="shared" si="53"/>
        <v>306.87832443749215</v>
      </c>
      <c r="R37" s="60">
        <f t="shared" si="0"/>
        <v>600.21165777082547</v>
      </c>
      <c r="S37" s="60">
        <f ca="1">AVERAGE(OFFSET($R$3,0,0,'Données projet'!$E$9+1,1))-AVERAGE(OFFSET($H$3,0,0,'Données projet'!$E$9+1,1))</f>
        <v>260.02504691866199</v>
      </c>
      <c r="T37" s="60">
        <f t="shared" si="34"/>
        <v>270.11268336406368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9.2460678541214403</v>
      </c>
      <c r="AA37" s="23">
        <f>EXP(-LN(2)/25)*AA36+(1-EXP(-LN(2)/25))/(LN(2)/25)*Calculateur!V37*Calculateur!X37*VLOOKUP('Données projet'!$B$9,Paramètres!$A$1:$I$89,3,0)*0.475*44/12</f>
        <v>14.710665579283907</v>
      </c>
      <c r="AB37" s="23">
        <f>EXP(-LN(2)/2)*AB36+(1-EXP(-LN(2)/2))/(LN(2)/2)*V37*Y37*VLOOKUP('Données projet'!$B$9,Paramètres!$A$1:$I$89,3,0)*0.475*44/12</f>
        <v>1.5849902364809605</v>
      </c>
      <c r="AC37" s="24">
        <f t="shared" si="3"/>
        <v>25.541723669886309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8</v>
      </c>
      <c r="AI37" s="14">
        <f>IF('Données projet'!$A$62&gt;35,AI36+AH37-AQ36,IF(A37&lt;'Données projet'!$A$62,$AF$205^A37,IF(A37='Données projet'!$A$62,'Données projet'!$B$62,AI36+AH37-AQ36)))</f>
        <v>108</v>
      </c>
      <c r="AJ37" s="14">
        <f>AI37*VLOOKUP('Données projet'!$B$10,Paramètres!$A$1:$I$89,3,0)*VLOOKUP('Données projet'!$B$10,Paramètres!$A$1:$I$89,5,0)</f>
        <v>109.51200000000001</v>
      </c>
      <c r="AK37" s="14">
        <f t="shared" si="35"/>
        <v>29.215978230632555</v>
      </c>
      <c r="AL37" s="22">
        <f t="shared" si="4"/>
        <v>241.61789541835174</v>
      </c>
      <c r="AM37" s="60">
        <f t="shared" si="5"/>
        <v>534.95122875168499</v>
      </c>
      <c r="AN37" s="60">
        <f ca="1">AVERAGE(OFFSET($AM$3,0,0,'Données projet'!$E$10+1,1))-AVERAGE(OFFSET($H$3,0,0,'Données projet'!$E$10+1,1))</f>
        <v>475.47920969424894</v>
      </c>
      <c r="AO37" s="60">
        <f t="shared" si="36"/>
        <v>271.73544012419364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5.2</v>
      </c>
      <c r="BD37" s="13">
        <f>IF('Données projet'!$A$88&gt;35,BD36+BC37-BL36,IF(A37&lt;'Données projet'!$A$88,$BA$205^A37,IF(A37='Données projet'!$A$88,'Données projet'!$B$88,BD36+BC37-BL36)))</f>
        <v>74.800000000000011</v>
      </c>
      <c r="BE37" s="14">
        <f>BD37*VLOOKUP('Données projet'!$B$11,Paramètres!$A$1:$I$89,3,0)*VLOOKUP('Données projet'!$B$11,Paramètres!$A$1:$I$89,5,0)</f>
        <v>67.679040000000001</v>
      </c>
      <c r="BF37" s="14">
        <f t="shared" si="37"/>
        <v>19.095955192788225</v>
      </c>
      <c r="BG37" s="22">
        <f t="shared" si="7"/>
        <v>151.13311662743948</v>
      </c>
      <c r="BH37" s="60">
        <f t="shared" si="8"/>
        <v>444.46644996077282</v>
      </c>
      <c r="BI37" s="60">
        <f ca="1">AVERAGE(OFFSET($BH$3,0,0,'Données projet'!$E$11+1,1))-AVERAGE(OFFSET($H$3,0,0,'Données projet'!$E$11+1,1))</f>
        <v>325.2649384779973</v>
      </c>
      <c r="BJ37" s="60">
        <f t="shared" si="38"/>
        <v>146.70159365068315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27.8</v>
      </c>
      <c r="BY37" s="13">
        <f>IF('Données projet'!$A$114&gt;35,BY36+BX37-CG36,IF(A37&lt;'Données projet'!$A$114,$BV$205^A37,IF(A37='Données projet'!$A$114,'Données projet'!$B$114,BY36+BX37-CG36)))</f>
        <v>310.79999999999984</v>
      </c>
      <c r="BZ37" s="14">
        <f>BY37*VLOOKUP('Données projet'!$B$12,Paramètres!$A$1:$I$89,3,0)*VLOOKUP('Données projet'!$B$12,Paramètres!$A$1:$I$89,5,0)</f>
        <v>137.37359999999995</v>
      </c>
      <c r="CA37" s="14">
        <f t="shared" si="39"/>
        <v>35.694672579892874</v>
      </c>
      <c r="CB37" s="22">
        <f t="shared" si="10"/>
        <v>301.42724140998001</v>
      </c>
      <c r="CC37" s="60">
        <f t="shared" si="11"/>
        <v>594.76057474331333</v>
      </c>
      <c r="CD37" s="60">
        <f ca="1">AVERAGE(OFFSET($CC$3,0,0,'Données projet'!$E$12+1,1))-AVERAGE(OFFSET($H$3,0,0,'Données projet'!$E$12+1,1))</f>
        <v>401.84375324751227</v>
      </c>
      <c r="CE37" s="60">
        <f t="shared" si="40"/>
        <v>350.39368043404164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7.4585999312420217</v>
      </c>
      <c r="CM37" s="23">
        <f>EXP(-LN(2)/2)*CM36+(1-EXP(-LN(2)/2))/(LN(2)/2)*CG37*CJ37*VLOOKUP('Données projet'!$B$12,Paramètres!$A$1:$I$89,3,0)*0.475*44/12</f>
        <v>0.34834003103128369</v>
      </c>
      <c r="CN37" s="24">
        <f t="shared" si="12"/>
        <v>7.8069399622733053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10.711538461538463</v>
      </c>
      <c r="CT37" s="13">
        <f>IF('Données projet'!$A$140&gt;35,CT36+CS37-DB36,IF(A37&lt;'Données projet'!$A$140,$CQ$205^A37,IF(A37='Données projet'!$A$140,'Données projet'!$B$140,CT36+CS37-DB36)))</f>
        <v>124.64615384615381</v>
      </c>
      <c r="CU37" s="18">
        <f>CT37*VLOOKUP('Données projet'!$B$13,Paramètres!$A$1:$I$89,3,0)*VLOOKUP('Données projet'!$B$13,Paramètres!$A$1:$I$89,5,0)</f>
        <v>74.538399999999982</v>
      </c>
      <c r="CV37" s="14">
        <f t="shared" si="41"/>
        <v>20.796348726838161</v>
      </c>
      <c r="CW37" s="22">
        <f t="shared" si="13"/>
        <v>166.04135403257644</v>
      </c>
      <c r="CX37" s="60">
        <f t="shared" si="14"/>
        <v>459.37468736590972</v>
      </c>
      <c r="CY37" s="60">
        <f ca="1">AVERAGE(OFFSET($CX$3,0,0,'Données projet'!$E$13+1,1))-AVERAGE(OFFSET($H$3,0,0,'Données projet'!$E$13+1,1))</f>
        <v>232.73140429491525</v>
      </c>
      <c r="CZ37" s="60">
        <f t="shared" si="42"/>
        <v>201.02719152328638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7.1265742462949708</v>
      </c>
      <c r="DH37" s="23">
        <f>EXP(-LN(2)/2)*DH36+(1-EXP(-LN(2)/2))/(LN(2)/2)*DB37*DE37*VLOOKUP('Données projet'!$B$13,Paramètres!$A$1:$I$89,3,0)*0.475*44/12</f>
        <v>0.76970562283065647</v>
      </c>
      <c r="DI37" s="24">
        <f t="shared" si="15"/>
        <v>7.8962798691256273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5.1282051282051295</v>
      </c>
      <c r="DO37" s="13">
        <f>IF('Données projet'!$A$166&gt;35,DO36+DN37-DW36,IF(A37&lt;'Données projet'!$A$166,$DL$205^A37,IF(A37='Données projet'!$A$166,'Données projet'!$B$166,DO36+DN37-DW36)))</f>
        <v>96.153846153846118</v>
      </c>
      <c r="DP37" s="18">
        <f>DO37*VLOOKUP('Données projet'!$B$14,Paramètres!$A$1:$I$89,3,0)*VLOOKUP('Données projet'!$B$14,Paramètres!$A$1:$I$89,5,0)</f>
        <v>91.499999999999972</v>
      </c>
      <c r="DQ37" s="14">
        <f t="shared" si="43"/>
        <v>24.926640120455158</v>
      </c>
      <c r="DR37" s="22">
        <f t="shared" si="16"/>
        <v>202.77639820979269</v>
      </c>
      <c r="DS37" s="60">
        <f t="shared" si="17"/>
        <v>496.10973154312603</v>
      </c>
      <c r="DT37" s="60">
        <f ca="1">AVERAGE(OFFSET($DS$3,0,0,'Données projet'!$E$14+1,1))-AVERAGE(OFFSET($H$3,0,0,'Données projet'!$E$14+1,1))</f>
        <v>302.15577364214136</v>
      </c>
      <c r="DU37" s="60">
        <f t="shared" si="44"/>
        <v>197.15142751137051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6.7948717948717956</v>
      </c>
      <c r="EJ37" s="13">
        <f>IF('Données projet'!$A$192&gt;35,EJ36+EI37-ER36,IF(A37&lt;'Données projet'!$A$192,$EG$205^A37,IF(A37='Données projet'!$A$192,'Données projet'!$B$192,EJ36+EI37-ER36)))</f>
        <v>124.61538461538458</v>
      </c>
      <c r="EK37" s="18">
        <f>EJ37*VLOOKUP('Données projet'!$B$15,Paramètres!$A$1:$I$89,3,0)*VLOOKUP('Données projet'!$B$15,Paramètres!$A$1:$I$89,5,0)</f>
        <v>130.24799999999999</v>
      </c>
      <c r="EL37" s="14">
        <f t="shared" si="45"/>
        <v>34.053658492903352</v>
      </c>
      <c r="EM37" s="22">
        <f t="shared" si="19"/>
        <v>286.15872187513997</v>
      </c>
      <c r="EN37" s="60">
        <f t="shared" si="20"/>
        <v>579.49205520847329</v>
      </c>
      <c r="EO37" s="60">
        <f ca="1">AVERAGE(OFFSET($EN$3,0,0,'Données projet'!$E$15+1,1))-AVERAGE(OFFSET($H$3,0,0,'Données projet'!$E$15+1,1))</f>
        <v>493.70175665335978</v>
      </c>
      <c r="EP37" s="60">
        <f t="shared" si="46"/>
        <v>325.12357781685949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0" t="e">
        <f t="shared" si="23"/>
        <v>#N/A</v>
      </c>
      <c r="FJ37" s="60" t="e">
        <f ca="1">AVERAGE(OFFSET($FI$3,0,0,'Données projet'!$E$16+1,1))-AVERAGE(OFFSET($H$3,0,0,'Données projet'!$E$16+1,1))</f>
        <v>#N/A</v>
      </c>
      <c r="FK37" s="60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0" t="e">
        <f t="shared" si="26"/>
        <v>#N/A</v>
      </c>
      <c r="GE37" s="60" t="e">
        <f ca="1">AVERAGE(OFFSET($GD$3,0,0,'Données projet'!$E$17+1,1))-AVERAGE(OFFSET($H$3,0,0,'Données projet'!$E$17+1,1))</f>
        <v>#N/A</v>
      </c>
      <c r="GF37" s="60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5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8">
        <f t="shared" si="1"/>
        <v>256.66666666666669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14.298901098901101</v>
      </c>
      <c r="N38" s="14">
        <f>IF('Données projet'!$A$36&gt;35,N37+M38-V37,IF(A38&lt;'Données projet'!$A$36,$K$205^A38,IF(A38='Données projet'!$A$36,'Données projet'!$B$36,N37+M38-V37)))</f>
        <v>248.278021978022</v>
      </c>
      <c r="O38" s="14">
        <f>N38*VLOOKUP('Données projet'!$B$9,Paramètres!$A$1:$I$89,3,0)*VLOOKUP('Données projet'!$B$9,Paramètres!$A$1:$I$89,5,0)</f>
        <v>148.47025714285718</v>
      </c>
      <c r="P38" s="14">
        <f t="shared" si="33"/>
        <v>38.230738941903269</v>
      </c>
      <c r="Q38" s="22">
        <f t="shared" si="53"/>
        <v>325.17090151429107</v>
      </c>
      <c r="R38" s="60">
        <f t="shared" si="0"/>
        <v>618.50423484762439</v>
      </c>
      <c r="S38" s="60">
        <f ca="1">AVERAGE(OFFSET($R$3,0,0,'Données projet'!$E$9+1,1))-AVERAGE(OFFSET($H$3,0,0,'Données projet'!$E$9+1,1))</f>
        <v>260.02504691866199</v>
      </c>
      <c r="T38" s="60">
        <f t="shared" si="34"/>
        <v>270.11268336406368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9.0647581030466515</v>
      </c>
      <c r="AA38" s="23">
        <f>EXP(-LN(2)/25)*AA37+(1-EXP(-LN(2)/25))/(LN(2)/25)*Calculateur!V38*Calculateur!X38*VLOOKUP('Données projet'!$B$9,Paramètres!$A$1:$I$89,3,0)*0.475*44/12</f>
        <v>14.308401655418107</v>
      </c>
      <c r="AB38" s="23">
        <f>EXP(-LN(2)/2)*AB37+(1-EXP(-LN(2)/2))/(LN(2)/2)*V38*Y38*VLOOKUP('Données projet'!$B$9,Paramètres!$A$1:$I$89,3,0)*0.475*44/12</f>
        <v>1.1207573443301568</v>
      </c>
      <c r="AC38" s="24">
        <f t="shared" si="3"/>
        <v>24.493917102794917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8</v>
      </c>
      <c r="AH38" s="13">
        <f t="array" ref="AH38">INDEX(AG:AG,MIN(IF(ISNUMBER(AG38:AG234),ROW(AG38:AG234),"")))</f>
        <v>8</v>
      </c>
      <c r="AI38" s="14">
        <f>IF('Données projet'!$A$62&gt;35,AI37+AH38-AQ37,IF(A38&lt;'Données projet'!$A$62,$AF$205^A38,IF(A38='Données projet'!$A$62,'Données projet'!$B$62,AI37+AH38-AQ37)))</f>
        <v>116</v>
      </c>
      <c r="AJ38" s="14">
        <f>AI38*VLOOKUP('Données projet'!$B$10,Paramètres!$A$1:$I$89,3,0)*VLOOKUP('Données projet'!$B$10,Paramètres!$A$1:$I$89,5,0)</f>
        <v>117.62400000000001</v>
      </c>
      <c r="AK38" s="14">
        <f t="shared" si="35"/>
        <v>31.120192961985413</v>
      </c>
      <c r="AL38" s="22">
        <f t="shared" si="4"/>
        <v>259.06280274212457</v>
      </c>
      <c r="AM38" s="60">
        <f t="shared" si="5"/>
        <v>552.39613607545789</v>
      </c>
      <c r="AN38" s="60">
        <f ca="1">AVERAGE(OFFSET($AM$3,0,0,'Données projet'!$E$10+1,1))-AVERAGE(OFFSET($H$3,0,0,'Données projet'!$E$10+1,1))</f>
        <v>475.47920969424894</v>
      </c>
      <c r="AO38" s="60">
        <f t="shared" si="36"/>
        <v>271.73544012419364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5.2</v>
      </c>
      <c r="BD38" s="13">
        <f>IF('Données projet'!$A$88&gt;35,BD37+BC38-BL37,IF(A38&lt;'Données projet'!$A$88,$BA$205^A38,IF(A38='Données projet'!$A$88,'Données projet'!$B$88,BD37+BC38-BL37)))</f>
        <v>80.000000000000014</v>
      </c>
      <c r="BE38" s="14">
        <f>BD38*VLOOKUP('Données projet'!$B$11,Paramètres!$A$1:$I$89,3,0)*VLOOKUP('Données projet'!$B$11,Paramètres!$A$1:$I$89,5,0)</f>
        <v>72.384000000000015</v>
      </c>
      <c r="BF38" s="14">
        <f t="shared" si="37"/>
        <v>20.264329923804397</v>
      </c>
      <c r="BG38" s="22">
        <f t="shared" si="7"/>
        <v>161.362507950626</v>
      </c>
      <c r="BH38" s="60">
        <f t="shared" si="8"/>
        <v>454.69584128395934</v>
      </c>
      <c r="BI38" s="60">
        <f ca="1">AVERAGE(OFFSET($BH$3,0,0,'Données projet'!$E$11+1,1))-AVERAGE(OFFSET($H$3,0,0,'Données projet'!$E$11+1,1))</f>
        <v>325.2649384779973</v>
      </c>
      <c r="BJ38" s="60">
        <f t="shared" si="38"/>
        <v>146.70159365068315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27.8</v>
      </c>
      <c r="BY38" s="13">
        <f>IF('Données projet'!$A$114&gt;35,BY37+BX38-CG37,IF(A38&lt;'Données projet'!$A$114,$BV$205^A38,IF(A38='Données projet'!$A$114,'Données projet'!$B$114,BY37+BX38-CG37)))</f>
        <v>338.59999999999985</v>
      </c>
      <c r="BZ38" s="14">
        <f>BY38*VLOOKUP('Données projet'!$B$12,Paramètres!$A$1:$I$89,3,0)*VLOOKUP('Données projet'!$B$12,Paramètres!$A$1:$I$89,5,0)</f>
        <v>149.66119999999995</v>
      </c>
      <c r="CA38" s="14">
        <f t="shared" si="39"/>
        <v>38.501581975462315</v>
      </c>
      <c r="CB38" s="22">
        <f t="shared" si="10"/>
        <v>327.71684527393012</v>
      </c>
      <c r="CC38" s="60">
        <f t="shared" si="11"/>
        <v>621.05017860726343</v>
      </c>
      <c r="CD38" s="60">
        <f ca="1">AVERAGE(OFFSET($CC$3,0,0,'Données projet'!$E$12+1,1))-AVERAGE(OFFSET($H$3,0,0,'Données projet'!$E$12+1,1))</f>
        <v>401.84375324751227</v>
      </c>
      <c r="CE38" s="60">
        <f t="shared" si="40"/>
        <v>350.39368043404164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7.2546441238914854</v>
      </c>
      <c r="CM38" s="23">
        <f>EXP(-LN(2)/2)*CM37+(1-EXP(-LN(2)/2))/(LN(2)/2)*CG38*CJ38*VLOOKUP('Données projet'!$B$12,Paramètres!$A$1:$I$89,3,0)*0.475*44/12</f>
        <v>0.2463135981009531</v>
      </c>
      <c r="CN38" s="24">
        <f t="shared" si="12"/>
        <v>7.5009577219924388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10.711538461538463</v>
      </c>
      <c r="CT38" s="13">
        <f>IF('Données projet'!$A$140&gt;35,CT37+CS38-DB37,IF(A38&lt;'Données projet'!$A$140,$CQ$205^A38,IF(A38='Données projet'!$A$140,'Données projet'!$B$140,CT37+CS38-DB37)))</f>
        <v>135.35769230769228</v>
      </c>
      <c r="CU38" s="18">
        <f>CT38*VLOOKUP('Données projet'!$B$13,Paramètres!$A$1:$I$89,3,0)*VLOOKUP('Données projet'!$B$13,Paramètres!$A$1:$I$89,5,0)</f>
        <v>80.943899999999985</v>
      </c>
      <c r="CV38" s="14">
        <f t="shared" si="41"/>
        <v>22.367814797749343</v>
      </c>
      <c r="CW38" s="22">
        <f t="shared" si="13"/>
        <v>179.93456993941342</v>
      </c>
      <c r="CX38" s="60">
        <f t="shared" si="14"/>
        <v>473.26790327274671</v>
      </c>
      <c r="CY38" s="60">
        <f ca="1">AVERAGE(OFFSET($CX$3,0,0,'Données projet'!$E$13+1,1))-AVERAGE(OFFSET($H$3,0,0,'Données projet'!$E$13+1,1))</f>
        <v>232.73140429491525</v>
      </c>
      <c r="CZ38" s="60">
        <f t="shared" si="42"/>
        <v>201.02719152328638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6.9316976987597831</v>
      </c>
      <c r="DH38" s="23">
        <f>EXP(-LN(2)/2)*DH37+(1-EXP(-LN(2)/2))/(LN(2)/2)*DB38*DE38*VLOOKUP('Données projet'!$B$13,Paramètres!$A$1:$I$89,3,0)*0.475*44/12</f>
        <v>0.54426406542097228</v>
      </c>
      <c r="DI38" s="24">
        <f t="shared" si="15"/>
        <v>7.4759617641807559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101.28205128205128</v>
      </c>
      <c r="DM38" s="13">
        <f>VLOOKUP(A38,'Données projet'!$A$165:$I$185,9,0)</f>
        <v>5.1282051282051295</v>
      </c>
      <c r="DN38" s="13">
        <f t="array" ref="DN38">INDEX(DM:DM,MIN(IF(ISNUMBER(DM38:DM234),ROW(DM38:DM234),"")))</f>
        <v>5.1282051282051295</v>
      </c>
      <c r="DO38" s="13">
        <f>IF('Données projet'!$A$166&gt;35,DO37+DN38-DW37,IF(A38&lt;'Données projet'!$A$166,$DL$205^A38,IF(A38='Données projet'!$A$166,'Données projet'!$B$166,DO37+DN38-DW37)))</f>
        <v>101.28205128205124</v>
      </c>
      <c r="DP38" s="18">
        <f>DO38*VLOOKUP('Données projet'!$B$14,Paramètres!$A$1:$I$89,3,0)*VLOOKUP('Données projet'!$B$14,Paramètres!$A$1:$I$89,5,0)</f>
        <v>96.379999999999967</v>
      </c>
      <c r="DQ38" s="14">
        <f t="shared" si="43"/>
        <v>26.097740539854946</v>
      </c>
      <c r="DR38" s="22">
        <f t="shared" si="16"/>
        <v>213.31539810691399</v>
      </c>
      <c r="DS38" s="60">
        <f t="shared" si="17"/>
        <v>506.64873144024727</v>
      </c>
      <c r="DT38" s="60">
        <f ca="1">AVERAGE(OFFSET($DS$3,0,0,'Données projet'!$E$14+1,1))-AVERAGE(OFFSET($H$3,0,0,'Données projet'!$E$14+1,1))</f>
        <v>302.15577364214136</v>
      </c>
      <c r="DU38" s="60">
        <f t="shared" si="44"/>
        <v>197.15142751137051</v>
      </c>
      <c r="DV38" s="16">
        <f>IF(ISNA(VLOOKUP(A38,'Données projet'!$A$165:$I$185,3,0)),0,VLOOKUP(A38,'Données projet'!$A$165:$I$185,3,0))</f>
        <v>2</v>
      </c>
      <c r="DW38" s="16">
        <f>IF(ISNA(VLOOKUP(A38,'Données projet'!$A$165:$I$185,4,0)),0,VLOOKUP(A38,'Données projet'!$A$165:$I$185,4,0))</f>
        <v>19.871794871794872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131.41025641025641</v>
      </c>
      <c r="EH38" s="13">
        <f>VLOOKUP(A38,'Données projet'!$A$191:$I$211,9,0)</f>
        <v>6.7948717948717956</v>
      </c>
      <c r="EI38" s="13">
        <f t="array" ref="EI38">INDEX(EH:EH,MIN(IF(ISNUMBER(EH38:EH234),ROW(EH38:EH234),"")))</f>
        <v>6.7948717948717956</v>
      </c>
      <c r="EJ38" s="13">
        <f>IF('Données projet'!$A$192&gt;35,EJ37+EI38-ER37,IF(A38&lt;'Données projet'!$A$192,$EG$205^A38,IF(A38='Données projet'!$A$192,'Données projet'!$B$192,EJ37+EI38-ER37)))</f>
        <v>131.41025641025638</v>
      </c>
      <c r="EK38" s="18">
        <f>EJ38*VLOOKUP('Données projet'!$B$15,Paramètres!$A$1:$I$89,3,0)*VLOOKUP('Données projet'!$B$15,Paramètres!$A$1:$I$89,5,0)</f>
        <v>137.35</v>
      </c>
      <c r="EL38" s="14">
        <f t="shared" si="45"/>
        <v>35.68925416600387</v>
      </c>
      <c r="EM38" s="22">
        <f t="shared" si="19"/>
        <v>301.37670100579004</v>
      </c>
      <c r="EN38" s="60">
        <f t="shared" si="20"/>
        <v>594.71003433912335</v>
      </c>
      <c r="EO38" s="60">
        <f ca="1">AVERAGE(OFFSET($EN$3,0,0,'Données projet'!$E$15+1,1))-AVERAGE(OFFSET($H$3,0,0,'Données projet'!$E$15+1,1))</f>
        <v>493.70175665335978</v>
      </c>
      <c r="EP38" s="60">
        <f t="shared" si="46"/>
        <v>325.12357781685949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0" t="e">
        <f t="shared" si="23"/>
        <v>#N/A</v>
      </c>
      <c r="FJ38" s="60" t="e">
        <f ca="1">AVERAGE(OFFSET($FI$3,0,0,'Données projet'!$E$16+1,1))-AVERAGE(OFFSET($H$3,0,0,'Données projet'!$E$16+1,1))</f>
        <v>#N/A</v>
      </c>
      <c r="FK38" s="60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0" t="e">
        <f t="shared" si="26"/>
        <v>#N/A</v>
      </c>
      <c r="GE38" s="60" t="e">
        <f ca="1">AVERAGE(OFFSET($GD$3,0,0,'Données projet'!$E$17+1,1))-AVERAGE(OFFSET($H$3,0,0,'Données projet'!$E$17+1,1))</f>
        <v>#N/A</v>
      </c>
      <c r="GF38" s="60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5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8">
        <f t="shared" si="1"/>
        <v>256.66666666666669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>
        <f>VLOOKUP(A39,'Données projet'!$A$35:$I$55,2,0)</f>
        <v>262.57692307692309</v>
      </c>
      <c r="L39" s="13">
        <f>VLOOKUP(A39,'Données projet'!$A$35:$I$55,9,0)</f>
        <v>14.298901098901101</v>
      </c>
      <c r="M39" s="13">
        <f t="array" ref="M39">INDEX(L:L,MIN(IF(ISNUMBER(L39:L235),ROW(L39:L235),"")))</f>
        <v>14.298901098901101</v>
      </c>
      <c r="N39" s="14">
        <f>IF('Données projet'!$A$36&gt;35,N38+M39-V38,IF(A39&lt;'Données projet'!$A$36,$K$205^A39,IF(A39='Données projet'!$A$36,'Données projet'!$B$36,N38+M39-V38)))</f>
        <v>262.57692307692309</v>
      </c>
      <c r="O39" s="14">
        <f>N39*VLOOKUP('Données projet'!$B$9,Paramètres!$A$1:$I$89,3,0)*VLOOKUP('Données projet'!$B$9,Paramètres!$A$1:$I$89,5,0)</f>
        <v>157.02100000000002</v>
      </c>
      <c r="P39" s="14">
        <f t="shared" si="33"/>
        <v>40.169860444278903</v>
      </c>
      <c r="Q39" s="22">
        <f t="shared" si="53"/>
        <v>343.44074860711908</v>
      </c>
      <c r="R39" s="60">
        <f t="shared" si="0"/>
        <v>636.77408194045233</v>
      </c>
      <c r="S39" s="60">
        <f ca="1">AVERAGE(OFFSET($R$3,0,0,'Données projet'!$E$9+1,1))-AVERAGE(OFFSET($H$3,0,0,'Données projet'!$E$9+1,1))</f>
        <v>260.02504691866199</v>
      </c>
      <c r="T39" s="60">
        <f t="shared" si="34"/>
        <v>270.11268336406368</v>
      </c>
      <c r="U39" s="16">
        <f>IF(ISNA(VLOOKUP(A39,'Données projet'!$A$35:$I$55,3,0)),0,VLOOKUP(A39,'Données projet'!$A$35:$I$55,3,0))</f>
        <v>4</v>
      </c>
      <c r="V39" s="16">
        <f>IF(ISNA(VLOOKUP(A39,'Données projet'!$A$35:$I$55,4,0)),0,VLOOKUP(A39,'Données projet'!$A$35:$I$55,4,0))</f>
        <v>64.553846153846166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8.8870037256024101</v>
      </c>
      <c r="AA39" s="23">
        <f>EXP(-LN(2)/25)*AA38+(1-EXP(-LN(2)/25))/(LN(2)/25)*Calculateur!V39*Calculateur!X39*VLOOKUP('Données projet'!$B$9,Paramètres!$A$1:$I$89,3,0)*0.475*44/12</f>
        <v>13.917137659704558</v>
      </c>
      <c r="AB39" s="23">
        <f>EXP(-LN(2)/2)*AB38+(1-EXP(-LN(2)/2))/(LN(2)/2)*V39*Y39*VLOOKUP('Données projet'!$B$9,Paramètres!$A$1:$I$89,3,0)*0.475*44/12</f>
        <v>0.79249511824048036</v>
      </c>
      <c r="AC39" s="24">
        <f t="shared" si="3"/>
        <v>23.596636503547451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124.4</v>
      </c>
      <c r="AJ39" s="14">
        <f>AI39*VLOOKUP('Données projet'!$B$10,Paramètres!$A$1:$I$89,3,0)*VLOOKUP('Données projet'!$B$10,Paramètres!$A$1:$I$89,5,0)</f>
        <v>126.1416</v>
      </c>
      <c r="AK39" s="14">
        <f t="shared" si="35"/>
        <v>33.10323903126482</v>
      </c>
      <c r="AL39" s="22">
        <f t="shared" si="4"/>
        <v>277.35142797945286</v>
      </c>
      <c r="AM39" s="60">
        <f t="shared" si="5"/>
        <v>570.68476131278612</v>
      </c>
      <c r="AN39" s="60">
        <f ca="1">AVERAGE(OFFSET($AM$3,0,0,'Données projet'!$E$10+1,1))-AVERAGE(OFFSET($H$3,0,0,'Données projet'!$E$10+1,1))</f>
        <v>475.47920969424894</v>
      </c>
      <c r="AO39" s="60">
        <f t="shared" si="36"/>
        <v>271.73544012419364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5.2</v>
      </c>
      <c r="BD39" s="13">
        <f>IF('Données projet'!$A$88&gt;35,BD38+BC39-BL38,IF(A39&lt;'Données projet'!$A$88,$BA$205^A39,IF(A39='Données projet'!$A$88,'Données projet'!$B$88,BD38+BC39-BL38)))</f>
        <v>85.200000000000017</v>
      </c>
      <c r="BE39" s="14">
        <f>BD39*VLOOKUP('Données projet'!$B$11,Paramètres!$A$1:$I$89,3,0)*VLOOKUP('Données projet'!$B$11,Paramètres!$A$1:$I$89,5,0)</f>
        <v>77.088960000000014</v>
      </c>
      <c r="BF39" s="14">
        <f t="shared" si="37"/>
        <v>21.423891539868706</v>
      </c>
      <c r="BG39" s="22">
        <f t="shared" si="7"/>
        <v>171.57654976527135</v>
      </c>
      <c r="BH39" s="60">
        <f t="shared" si="8"/>
        <v>464.90988309860467</v>
      </c>
      <c r="BI39" s="60">
        <f ca="1">AVERAGE(OFFSET($BH$3,0,0,'Données projet'!$E$11+1,1))-AVERAGE(OFFSET($H$3,0,0,'Données projet'!$E$11+1,1))</f>
        <v>325.2649384779973</v>
      </c>
      <c r="BJ39" s="60">
        <f t="shared" si="38"/>
        <v>146.70159365068315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27.8</v>
      </c>
      <c r="BY39" s="13">
        <f>IF('Données projet'!$A$114&gt;35,BY38+BX39-CG38,IF(A39&lt;'Données projet'!$A$114,$BV$205^A39,IF(A39='Données projet'!$A$114,'Données projet'!$B$114,BY38+BX39-CG38)))</f>
        <v>366.39999999999986</v>
      </c>
      <c r="BZ39" s="14">
        <f>BY39*VLOOKUP('Données projet'!$B$12,Paramètres!$A$1:$I$89,3,0)*VLOOKUP('Données projet'!$B$12,Paramètres!$A$1:$I$89,5,0)</f>
        <v>161.94879999999995</v>
      </c>
      <c r="CA39" s="14">
        <f t="shared" si="39"/>
        <v>41.281762498122319</v>
      </c>
      <c r="CB39" s="22">
        <f t="shared" si="10"/>
        <v>353.95989635089626</v>
      </c>
      <c r="CC39" s="60">
        <f t="shared" si="11"/>
        <v>647.29322968422957</v>
      </c>
      <c r="CD39" s="60">
        <f ca="1">AVERAGE(OFFSET($CC$3,0,0,'Données projet'!$E$12+1,1))-AVERAGE(OFFSET($H$3,0,0,'Données projet'!$E$12+1,1))</f>
        <v>401.84375324751227</v>
      </c>
      <c r="CE39" s="60">
        <f t="shared" si="40"/>
        <v>350.39368043404164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7.0562654988185187</v>
      </c>
      <c r="CM39" s="23">
        <f>EXP(-LN(2)/2)*CM38+(1-EXP(-LN(2)/2))/(LN(2)/2)*CG39*CJ39*VLOOKUP('Données projet'!$B$12,Paramètres!$A$1:$I$89,3,0)*0.475*44/12</f>
        <v>0.17417001551564187</v>
      </c>
      <c r="CN39" s="24">
        <f t="shared" si="12"/>
        <v>7.230435514334161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10.711538461538463</v>
      </c>
      <c r="CT39" s="13">
        <f>IF('Données projet'!$A$140&gt;35,CT38+CS39-DB38,IF(A39&lt;'Données projet'!$A$140,$CQ$205^A39,IF(A39='Données projet'!$A$140,'Données projet'!$B$140,CT38+CS39-DB38)))</f>
        <v>146.06923076923073</v>
      </c>
      <c r="CU39" s="18">
        <f>CT39*VLOOKUP('Données projet'!$B$13,Paramètres!$A$1:$I$89,3,0)*VLOOKUP('Données projet'!$B$13,Paramètres!$A$1:$I$89,5,0)</f>
        <v>87.349399999999989</v>
      </c>
      <c r="CV39" s="14">
        <f t="shared" si="41"/>
        <v>23.924856172572376</v>
      </c>
      <c r="CW39" s="22">
        <f t="shared" si="13"/>
        <v>193.80266283389687</v>
      </c>
      <c r="CX39" s="60">
        <f t="shared" si="14"/>
        <v>487.13599616723019</v>
      </c>
      <c r="CY39" s="60">
        <f ca="1">AVERAGE(OFFSET($CX$3,0,0,'Données projet'!$E$13+1,1))-AVERAGE(OFFSET($H$3,0,0,'Données projet'!$E$13+1,1))</f>
        <v>232.73140429491525</v>
      </c>
      <c r="CZ39" s="60">
        <f t="shared" si="42"/>
        <v>201.02719152328638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6.7421500606650575</v>
      </c>
      <c r="DH39" s="23">
        <f>EXP(-LN(2)/2)*DH38+(1-EXP(-LN(2)/2))/(LN(2)/2)*DB39*DE39*VLOOKUP('Données projet'!$B$13,Paramètres!$A$1:$I$89,3,0)*0.475*44/12</f>
        <v>0.38485281141532823</v>
      </c>
      <c r="DI39" s="24">
        <f t="shared" si="15"/>
        <v>7.1270028720803857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4.8717948717948705</v>
      </c>
      <c r="DO39" s="13">
        <f>IF('Données projet'!$A$166&gt;35,DO38+DN39-DW38,IF(A39&lt;'Données projet'!$A$166,$DL$205^A39,IF(A39='Données projet'!$A$166,'Données projet'!$B$166,DO38+DN39-DW38)))</f>
        <v>86.282051282051242</v>
      </c>
      <c r="DP39" s="18">
        <f>DO39*VLOOKUP('Données projet'!$B$14,Paramètres!$A$1:$I$89,3,0)*VLOOKUP('Données projet'!$B$14,Paramètres!$A$1:$I$89,5,0)</f>
        <v>82.105999999999966</v>
      </c>
      <c r="DQ39" s="14">
        <f t="shared" si="43"/>
        <v>22.651330771048094</v>
      </c>
      <c r="DR39" s="22">
        <f t="shared" si="16"/>
        <v>182.45235109290869</v>
      </c>
      <c r="DS39" s="60">
        <f t="shared" si="17"/>
        <v>475.78568442624203</v>
      </c>
      <c r="DT39" s="60">
        <f ca="1">AVERAGE(OFFSET($DS$3,0,0,'Données projet'!$E$14+1,1))-AVERAGE(OFFSET($H$3,0,0,'Données projet'!$E$14+1,1))</f>
        <v>302.15577364214136</v>
      </c>
      <c r="DU39" s="60">
        <f t="shared" si="44"/>
        <v>197.15142751137051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6.5384615384615357</v>
      </c>
      <c r="EJ39" s="13">
        <f>IF('Données projet'!$A$192&gt;35,EJ38+EI39-ER38,IF(A39&lt;'Données projet'!$A$192,$EG$205^A39,IF(A39='Données projet'!$A$192,'Données projet'!$B$192,EJ38+EI39-ER38)))</f>
        <v>137.94871794871793</v>
      </c>
      <c r="EK39" s="18">
        <f>EJ39*VLOOKUP('Données projet'!$B$15,Paramètres!$A$1:$I$89,3,0)*VLOOKUP('Données projet'!$B$15,Paramètres!$A$1:$I$89,5,0)</f>
        <v>144.184</v>
      </c>
      <c r="EL39" s="14">
        <f t="shared" si="45"/>
        <v>37.253852236732257</v>
      </c>
      <c r="EM39" s="22">
        <f t="shared" si="19"/>
        <v>316.00425931230865</v>
      </c>
      <c r="EN39" s="60">
        <f t="shared" si="20"/>
        <v>609.33759264564196</v>
      </c>
      <c r="EO39" s="60">
        <f ca="1">AVERAGE(OFFSET($EN$3,0,0,'Données projet'!$E$15+1,1))-AVERAGE(OFFSET($H$3,0,0,'Données projet'!$E$15+1,1))</f>
        <v>493.70175665335978</v>
      </c>
      <c r="EP39" s="60">
        <f t="shared" si="46"/>
        <v>325.12357781685949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0" t="e">
        <f t="shared" si="23"/>
        <v>#N/A</v>
      </c>
      <c r="FJ39" s="60" t="e">
        <f ca="1">AVERAGE(OFFSET($FI$3,0,0,'Données projet'!$E$16+1,1))-AVERAGE(OFFSET($H$3,0,0,'Données projet'!$E$16+1,1))</f>
        <v>#N/A</v>
      </c>
      <c r="FK39" s="60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0" t="e">
        <f t="shared" si="26"/>
        <v>#N/A</v>
      </c>
      <c r="GE39" s="60" t="e">
        <f ca="1">AVERAGE(OFFSET($GD$3,0,0,'Données projet'!$E$17+1,1))-AVERAGE(OFFSET($H$3,0,0,'Données projet'!$E$17+1,1))</f>
        <v>#N/A</v>
      </c>
      <c r="GF39" s="60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5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8">
        <f t="shared" si="1"/>
        <v>256.66666666666669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13.141346153846158</v>
      </c>
      <c r="N40" s="14">
        <f>IF('Données projet'!$A$36&gt;35,N39+M40-V39,IF(A40&lt;'Données projet'!$A$36,$K$205^A40,IF(A40='Données projet'!$A$36,'Données projet'!$B$36,N39+M40-V39)))</f>
        <v>211.16442307692307</v>
      </c>
      <c r="O40" s="14">
        <f>N40*VLOOKUP('Données projet'!$B$9,Paramètres!$A$1:$I$89,3,0)*VLOOKUP('Données projet'!$B$9,Paramètres!$A$1:$I$89,5,0)</f>
        <v>126.27632500000001</v>
      </c>
      <c r="P40" s="14">
        <f t="shared" si="33"/>
        <v>33.134477451871625</v>
      </c>
      <c r="Q40" s="22">
        <f t="shared" si="53"/>
        <v>277.64048093700978</v>
      </c>
      <c r="R40" s="60">
        <f t="shared" si="0"/>
        <v>570.97381427034315</v>
      </c>
      <c r="S40" s="60">
        <f ca="1">AVERAGE(OFFSET($R$3,0,0,'Données projet'!$E$9+1,1))-AVERAGE(OFFSET($H$3,0,0,'Données projet'!$E$9+1,1))</f>
        <v>260.02504691866199</v>
      </c>
      <c r="T40" s="60">
        <f t="shared" si="34"/>
        <v>270.11268336406368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8.7127350030803861</v>
      </c>
      <c r="AA40" s="23">
        <f>EXP(-LN(2)/25)*AA39+(1-EXP(-LN(2)/25))/(LN(2)/25)*Calculateur!V40*Calculateur!X40*VLOOKUP('Données projet'!$B$9,Paramètres!$A$1:$I$89,3,0)*0.475*44/12</f>
        <v>13.536572798529475</v>
      </c>
      <c r="AB40" s="23">
        <f>EXP(-LN(2)/2)*AB39+(1-EXP(-LN(2)/2))/(LN(2)/2)*V40*Y40*VLOOKUP('Données projet'!$B$9,Paramètres!$A$1:$I$89,3,0)*0.475*44/12</f>
        <v>0.56037867216507853</v>
      </c>
      <c r="AC40" s="24">
        <f t="shared" si="3"/>
        <v>22.809686473774939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132.80000000000001</v>
      </c>
      <c r="AJ40" s="14">
        <f>AI40*VLOOKUP('Données projet'!$B$10,Paramètres!$A$1:$I$89,3,0)*VLOOKUP('Données projet'!$B$10,Paramètres!$A$1:$I$89,5,0)</f>
        <v>134.65920000000003</v>
      </c>
      <c r="AK40" s="14">
        <f t="shared" si="35"/>
        <v>35.07074737441733</v>
      </c>
      <c r="AL40" s="22">
        <f t="shared" si="4"/>
        <v>295.61299167711019</v>
      </c>
      <c r="AM40" s="60">
        <f t="shared" si="5"/>
        <v>588.9463250104435</v>
      </c>
      <c r="AN40" s="60">
        <f ca="1">AVERAGE(OFFSET($AM$3,0,0,'Données projet'!$E$10+1,1))-AVERAGE(OFFSET($H$3,0,0,'Données projet'!$E$10+1,1))</f>
        <v>475.47920969424894</v>
      </c>
      <c r="AO40" s="60">
        <f t="shared" si="36"/>
        <v>271.73544012419364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5.2</v>
      </c>
      <c r="BD40" s="13">
        <f>IF('Données projet'!$A$88&gt;35,BD39+BC40-BL39,IF(A40&lt;'Données projet'!$A$88,$BA$205^A40,IF(A40='Données projet'!$A$88,'Données projet'!$B$88,BD39+BC40-BL39)))</f>
        <v>90.40000000000002</v>
      </c>
      <c r="BE40" s="14">
        <f>BD40*VLOOKUP('Données projet'!$B$11,Paramètres!$A$1:$I$89,3,0)*VLOOKUP('Données projet'!$B$11,Paramètres!$A$1:$I$89,5,0)</f>
        <v>81.793920000000014</v>
      </c>
      <c r="BF40" s="14">
        <f t="shared" si="37"/>
        <v>22.575239179244807</v>
      </c>
      <c r="BG40" s="22">
        <f t="shared" si="7"/>
        <v>181.77628557051807</v>
      </c>
      <c r="BH40" s="60">
        <f t="shared" si="8"/>
        <v>475.10961890385136</v>
      </c>
      <c r="BI40" s="60">
        <f ca="1">AVERAGE(OFFSET($BH$3,0,0,'Données projet'!$E$11+1,1))-AVERAGE(OFFSET($H$3,0,0,'Données projet'!$E$11+1,1))</f>
        <v>325.2649384779973</v>
      </c>
      <c r="BJ40" s="60">
        <f t="shared" si="38"/>
        <v>146.70159365068315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27.8</v>
      </c>
      <c r="BY40" s="13">
        <f>IF('Données projet'!$A$114&gt;35,BY39+BX40-CG39,IF(A40&lt;'Données projet'!$A$114,$BV$205^A40,IF(A40='Données projet'!$A$114,'Données projet'!$B$114,BY39+BX40-CG39)))</f>
        <v>394.19999999999987</v>
      </c>
      <c r="BZ40" s="14">
        <f>BY40*VLOOKUP('Données projet'!$B$12,Paramètres!$A$1:$I$89,3,0)*VLOOKUP('Données projet'!$B$12,Paramètres!$A$1:$I$89,5,0)</f>
        <v>174.23639999999995</v>
      </c>
      <c r="CA40" s="14">
        <f t="shared" si="39"/>
        <v>44.03747274965864</v>
      </c>
      <c r="CB40" s="22">
        <f t="shared" si="10"/>
        <v>380.160328372322</v>
      </c>
      <c r="CC40" s="60">
        <f t="shared" si="11"/>
        <v>673.49366170565531</v>
      </c>
      <c r="CD40" s="60">
        <f ca="1">AVERAGE(OFFSET($CC$3,0,0,'Données projet'!$E$12+1,1))-AVERAGE(OFFSET($H$3,0,0,'Données projet'!$E$12+1,1))</f>
        <v>401.84375324751227</v>
      </c>
      <c r="CE40" s="60">
        <f t="shared" si="40"/>
        <v>350.39368043404164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6.8633115476804507</v>
      </c>
      <c r="CM40" s="23">
        <f>EXP(-LN(2)/2)*CM39+(1-EXP(-LN(2)/2))/(LN(2)/2)*CG40*CJ40*VLOOKUP('Données projet'!$B$12,Paramètres!$A$1:$I$89,3,0)*0.475*44/12</f>
        <v>0.12315679905047658</v>
      </c>
      <c r="CN40" s="24">
        <f t="shared" si="12"/>
        <v>6.986468346730927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10.711538461538463</v>
      </c>
      <c r="CT40" s="13">
        <f>IF('Données projet'!$A$140&gt;35,CT39+CS40-DB39,IF(A40&lt;'Données projet'!$A$140,$CQ$205^A40,IF(A40='Données projet'!$A$140,'Données projet'!$B$140,CT39+CS40-DB39)))</f>
        <v>156.78076923076918</v>
      </c>
      <c r="CU40" s="18">
        <f>CT40*VLOOKUP('Données projet'!$B$13,Paramètres!$A$1:$I$89,3,0)*VLOOKUP('Données projet'!$B$13,Paramètres!$A$1:$I$89,5,0)</f>
        <v>93.754899999999978</v>
      </c>
      <c r="CV40" s="14">
        <f t="shared" si="41"/>
        <v>25.468650932882476</v>
      </c>
      <c r="CW40" s="22">
        <f t="shared" si="13"/>
        <v>207.64768454143697</v>
      </c>
      <c r="CX40" s="60">
        <f t="shared" si="14"/>
        <v>500.98101787477026</v>
      </c>
      <c r="CY40" s="60">
        <f ca="1">AVERAGE(OFFSET($CX$3,0,0,'Données projet'!$E$13+1,1))-AVERAGE(OFFSET($H$3,0,0,'Données projet'!$E$13+1,1))</f>
        <v>232.73140429491525</v>
      </c>
      <c r="CZ40" s="60">
        <f t="shared" si="42"/>
        <v>201.02719152328638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6.5577856127019096</v>
      </c>
      <c r="DH40" s="23">
        <f>EXP(-LN(2)/2)*DH39+(1-EXP(-LN(2)/2))/(LN(2)/2)*DB40*DE40*VLOOKUP('Données projet'!$B$13,Paramètres!$A$1:$I$89,3,0)*0.475*44/12</f>
        <v>0.27213203271048614</v>
      </c>
      <c r="DI40" s="24">
        <f t="shared" si="15"/>
        <v>6.8299176454123955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4.8717948717948705</v>
      </c>
      <c r="DO40" s="13">
        <f>IF('Données projet'!$A$166&gt;35,DO39+DN40-DW39,IF(A40&lt;'Données projet'!$A$166,$DL$205^A40,IF(A40='Données projet'!$A$166,'Données projet'!$B$166,DO39+DN40-DW39)))</f>
        <v>91.153846153846118</v>
      </c>
      <c r="DP40" s="18">
        <f>DO40*VLOOKUP('Données projet'!$B$14,Paramètres!$A$1:$I$89,3,0)*VLOOKUP('Données projet'!$B$14,Paramètres!$A$1:$I$89,5,0)</f>
        <v>86.741999999999962</v>
      </c>
      <c r="DQ40" s="14">
        <f t="shared" si="43"/>
        <v>23.77779565644304</v>
      </c>
      <c r="DR40" s="22">
        <f t="shared" si="16"/>
        <v>192.48864410163822</v>
      </c>
      <c r="DS40" s="60">
        <f t="shared" si="17"/>
        <v>485.82197743497153</v>
      </c>
      <c r="DT40" s="60">
        <f ca="1">AVERAGE(OFFSET($DS$3,0,0,'Données projet'!$E$14+1,1))-AVERAGE(OFFSET($H$3,0,0,'Données projet'!$E$14+1,1))</f>
        <v>302.15577364214136</v>
      </c>
      <c r="DU40" s="60">
        <f t="shared" si="44"/>
        <v>197.15142751137051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6.5384615384615357</v>
      </c>
      <c r="EJ40" s="13">
        <f>IF('Données projet'!$A$192&gt;35,EJ39+EI40-ER39,IF(A40&lt;'Données projet'!$A$192,$EG$205^A40,IF(A40='Données projet'!$A$192,'Données projet'!$B$192,EJ39+EI40-ER39)))</f>
        <v>144.48717948717947</v>
      </c>
      <c r="EK40" s="18">
        <f>EJ40*VLOOKUP('Données projet'!$B$15,Paramètres!$A$1:$I$89,3,0)*VLOOKUP('Données projet'!$B$15,Paramètres!$A$1:$I$89,5,0)</f>
        <v>151.018</v>
      </c>
      <c r="EL40" s="14">
        <f t="shared" si="45"/>
        <v>38.809838626521376</v>
      </c>
      <c r="EM40" s="22">
        <f t="shared" si="19"/>
        <v>330.61681894119141</v>
      </c>
      <c r="EN40" s="60">
        <f t="shared" si="20"/>
        <v>623.95015227452473</v>
      </c>
      <c r="EO40" s="60">
        <f ca="1">AVERAGE(OFFSET($EN$3,0,0,'Données projet'!$E$15+1,1))-AVERAGE(OFFSET($H$3,0,0,'Données projet'!$E$15+1,1))</f>
        <v>493.70175665335978</v>
      </c>
      <c r="EP40" s="60">
        <f t="shared" si="46"/>
        <v>325.12357781685949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0" t="e">
        <f t="shared" si="23"/>
        <v>#N/A</v>
      </c>
      <c r="FJ40" s="60" t="e">
        <f ca="1">AVERAGE(OFFSET($FI$3,0,0,'Données projet'!$E$16+1,1))-AVERAGE(OFFSET($H$3,0,0,'Données projet'!$E$16+1,1))</f>
        <v>#N/A</v>
      </c>
      <c r="FK40" s="60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0" t="e">
        <f t="shared" si="26"/>
        <v>#N/A</v>
      </c>
      <c r="GE40" s="60" t="e">
        <f ca="1">AVERAGE(OFFSET($GD$3,0,0,'Données projet'!$E$17+1,1))-AVERAGE(OFFSET($H$3,0,0,'Données projet'!$E$17+1,1))</f>
        <v>#N/A</v>
      </c>
      <c r="GF40" s="60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5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8">
        <f t="shared" si="1"/>
        <v>256.66666666666669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13.141346153846158</v>
      </c>
      <c r="N41" s="14">
        <f>IF('Données projet'!$A$36&gt;35,N40+M41-V40,IF(A41&lt;'Données projet'!$A$36,$K$205^A41,IF(A41='Données projet'!$A$36,'Données projet'!$B$36,N40+M41-V40)))</f>
        <v>224.30576923076922</v>
      </c>
      <c r="O41" s="14">
        <f>N41*VLOOKUP('Données projet'!$B$9,Paramètres!$A$1:$I$89,3,0)*VLOOKUP('Données projet'!$B$9,Paramètres!$A$1:$I$89,5,0)</f>
        <v>134.13485</v>
      </c>
      <c r="P41" s="14">
        <f t="shared" si="33"/>
        <v>34.950053695803156</v>
      </c>
      <c r="Q41" s="22">
        <f t="shared" si="53"/>
        <v>294.48954060352384</v>
      </c>
      <c r="R41" s="60">
        <f t="shared" si="0"/>
        <v>587.82287393685715</v>
      </c>
      <c r="S41" s="60">
        <f ca="1">AVERAGE(OFFSET($R$3,0,0,'Données projet'!$E$9+1,1))-AVERAGE(OFFSET($H$3,0,0,'Données projet'!$E$9+1,1))</f>
        <v>260.02504691866199</v>
      </c>
      <c r="T41" s="60">
        <f t="shared" si="34"/>
        <v>270.11268336406368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8.5418835839135934</v>
      </c>
      <c r="AA41" s="23">
        <f>EXP(-LN(2)/25)*AA40+(1-EXP(-LN(2)/25))/(LN(2)/25)*Calculateur!V41*Calculateur!X41*VLOOKUP('Données projet'!$B$9,Paramètres!$A$1:$I$89,3,0)*0.475*44/12</f>
        <v>13.166414503496261</v>
      </c>
      <c r="AB41" s="23">
        <f>EXP(-LN(2)/2)*AB40+(1-EXP(-LN(2)/2))/(LN(2)/2)*V41*Y41*VLOOKUP('Données projet'!$B$9,Paramètres!$A$1:$I$89,3,0)*0.475*44/12</f>
        <v>0.39624755912024023</v>
      </c>
      <c r="AC41" s="24">
        <f t="shared" si="3"/>
        <v>22.104545646530095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141.20000000000002</v>
      </c>
      <c r="AJ41" s="14">
        <f>AI41*VLOOKUP('Données projet'!$B$10,Paramètres!$A$1:$I$89,3,0)*VLOOKUP('Données projet'!$B$10,Paramètres!$A$1:$I$89,5,0)</f>
        <v>143.17680000000004</v>
      </c>
      <c r="AK41" s="14">
        <f t="shared" si="35"/>
        <v>37.023812674521515</v>
      </c>
      <c r="AL41" s="22">
        <f t="shared" si="4"/>
        <v>313.84940040812506</v>
      </c>
      <c r="AM41" s="60">
        <f t="shared" si="5"/>
        <v>607.18273374145838</v>
      </c>
      <c r="AN41" s="60">
        <f ca="1">AVERAGE(OFFSET($AM$3,0,0,'Données projet'!$E$10+1,1))-AVERAGE(OFFSET($H$3,0,0,'Données projet'!$E$10+1,1))</f>
        <v>475.47920969424894</v>
      </c>
      <c r="AO41" s="60">
        <f t="shared" si="36"/>
        <v>271.73544012419364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5.2</v>
      </c>
      <c r="BD41" s="13">
        <f>IF('Données projet'!$A$88&gt;35,BD40+BC41-BL40,IF(A41&lt;'Données projet'!$A$88,$BA$205^A41,IF(A41='Données projet'!$A$88,'Données projet'!$B$88,BD40+BC41-BL40)))</f>
        <v>95.600000000000023</v>
      </c>
      <c r="BE41" s="14">
        <f>BD41*VLOOKUP('Données projet'!$B$11,Paramètres!$A$1:$I$89,3,0)*VLOOKUP('Données projet'!$B$11,Paramètres!$A$1:$I$89,5,0)</f>
        <v>86.498880000000014</v>
      </c>
      <c r="BF41" s="14">
        <f t="shared" si="37"/>
        <v>23.718899159460385</v>
      </c>
      <c r="BG41" s="22">
        <f t="shared" si="7"/>
        <v>191.9626320360602</v>
      </c>
      <c r="BH41" s="60">
        <f t="shared" si="8"/>
        <v>485.29596536939351</v>
      </c>
      <c r="BI41" s="60">
        <f ca="1">AVERAGE(OFFSET($BH$3,0,0,'Données projet'!$E$11+1,1))-AVERAGE(OFFSET($H$3,0,0,'Données projet'!$E$11+1,1))</f>
        <v>325.2649384779973</v>
      </c>
      <c r="BJ41" s="60">
        <f t="shared" si="38"/>
        <v>146.70159365068315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>
        <f>VLOOKUP(A41,'Données projet'!$A$113:$I$133,2,0)</f>
        <v>422</v>
      </c>
      <c r="BW41" s="13">
        <f>VLOOKUP(A41,'Données projet'!$A$113:$I$133,9,0)</f>
        <v>27.8</v>
      </c>
      <c r="BX41" s="13">
        <f t="array" ref="BX41">INDEX(BW:BW,MIN(IF(ISNUMBER(BW41:BW237),ROW(BW41:BW237),"")))</f>
        <v>27.8</v>
      </c>
      <c r="BY41" s="13">
        <f>IF('Données projet'!$A$114&gt;35,BY40+BX41-CG40,IF(A41&lt;'Données projet'!$A$114,$BV$205^A41,IF(A41='Données projet'!$A$114,'Données projet'!$B$114,BY40+BX41-CG40)))</f>
        <v>421.99999999999989</v>
      </c>
      <c r="BZ41" s="14">
        <f>BY41*VLOOKUP('Données projet'!$B$12,Paramètres!$A$1:$I$89,3,0)*VLOOKUP('Données projet'!$B$12,Paramètres!$A$1:$I$89,5,0)</f>
        <v>186.52399999999994</v>
      </c>
      <c r="CA41" s="14">
        <f t="shared" si="39"/>
        <v>46.770634721831932</v>
      </c>
      <c r="CB41" s="22">
        <f t="shared" si="10"/>
        <v>406.32148880719052</v>
      </c>
      <c r="CC41" s="60">
        <f t="shared" si="11"/>
        <v>699.65482214052383</v>
      </c>
      <c r="CD41" s="60">
        <f ca="1">AVERAGE(OFFSET($CC$3,0,0,'Données projet'!$E$12+1,1))-AVERAGE(OFFSET($H$3,0,0,'Données projet'!$E$12+1,1))</f>
        <v>401.84375324751227</v>
      </c>
      <c r="CE41" s="60">
        <f t="shared" si="40"/>
        <v>350.39368043404164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6.6756339324832608</v>
      </c>
      <c r="CM41" s="23">
        <f>EXP(-LN(2)/2)*CM40+(1-EXP(-LN(2)/2))/(LN(2)/2)*CG41*CJ41*VLOOKUP('Données projet'!$B$12,Paramètres!$A$1:$I$89,3,0)*0.475*44/12</f>
        <v>8.7085007757820951E-2</v>
      </c>
      <c r="CN41" s="24">
        <f t="shared" si="12"/>
        <v>6.7627189402410819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10.711538461538463</v>
      </c>
      <c r="CT41" s="13">
        <f>IF('Données projet'!$A$140&gt;35,CT40+CS41-DB40,IF(A41&lt;'Données projet'!$A$140,$CQ$205^A41,IF(A41='Données projet'!$A$140,'Données projet'!$B$140,CT40+CS41-DB40)))</f>
        <v>167.49230769230763</v>
      </c>
      <c r="CU41" s="18">
        <f>CT41*VLOOKUP('Données projet'!$B$13,Paramètres!$A$1:$I$89,3,0)*VLOOKUP('Données projet'!$B$13,Paramètres!$A$1:$I$89,5,0)</f>
        <v>100.16039999999997</v>
      </c>
      <c r="CV41" s="14">
        <f t="shared" si="41"/>
        <v>27.000207071317821</v>
      </c>
      <c r="CW41" s="22">
        <f t="shared" si="13"/>
        <v>221.4713906492118</v>
      </c>
      <c r="CX41" s="60">
        <f t="shared" si="14"/>
        <v>514.80472398254506</v>
      </c>
      <c r="CY41" s="60">
        <f ca="1">AVERAGE(OFFSET($CX$3,0,0,'Données projet'!$E$13+1,1))-AVERAGE(OFFSET($H$3,0,0,'Données projet'!$E$13+1,1))</f>
        <v>232.73140429491525</v>
      </c>
      <c r="CZ41" s="60">
        <f t="shared" si="42"/>
        <v>201.02719152328638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6.378462620263619</v>
      </c>
      <c r="DH41" s="23">
        <f>EXP(-LN(2)/2)*DH40+(1-EXP(-LN(2)/2))/(LN(2)/2)*DB41*DE41*VLOOKUP('Données projet'!$B$13,Paramètres!$A$1:$I$89,3,0)*0.475*44/12</f>
        <v>0.19242640570766412</v>
      </c>
      <c r="DI41" s="24">
        <f t="shared" si="15"/>
        <v>6.5708890259712831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4.8717948717948705</v>
      </c>
      <c r="DO41" s="13">
        <f>IF('Données projet'!$A$166&gt;35,DO40+DN41-DW40,IF(A41&lt;'Données projet'!$A$166,$DL$205^A41,IF(A41='Données projet'!$A$166,'Données projet'!$B$166,DO40+DN41-DW40)))</f>
        <v>96.025641025640994</v>
      </c>
      <c r="DP41" s="18">
        <f>DO41*VLOOKUP('Données projet'!$B$14,Paramètres!$A$1:$I$89,3,0)*VLOOKUP('Données projet'!$B$14,Paramètres!$A$1:$I$89,5,0)</f>
        <v>91.377999999999972</v>
      </c>
      <c r="DQ41" s="14">
        <f t="shared" si="43"/>
        <v>24.897270934837845</v>
      </c>
      <c r="DR41" s="22">
        <f t="shared" si="16"/>
        <v>202.51276354484253</v>
      </c>
      <c r="DS41" s="60">
        <f t="shared" si="17"/>
        <v>495.84609687817584</v>
      </c>
      <c r="DT41" s="60">
        <f ca="1">AVERAGE(OFFSET($DS$3,0,0,'Données projet'!$E$14+1,1))-AVERAGE(OFFSET($H$3,0,0,'Données projet'!$E$14+1,1))</f>
        <v>302.15577364214136</v>
      </c>
      <c r="DU41" s="60">
        <f t="shared" si="44"/>
        <v>197.15142751137051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6.5384615384615357</v>
      </c>
      <c r="EJ41" s="13">
        <f>IF('Données projet'!$A$192&gt;35,EJ40+EI41-ER40,IF(A41&lt;'Données projet'!$A$192,$EG$205^A41,IF(A41='Données projet'!$A$192,'Données projet'!$B$192,EJ40+EI41-ER40)))</f>
        <v>151.02564102564102</v>
      </c>
      <c r="EK41" s="18">
        <f>EJ41*VLOOKUP('Données projet'!$B$15,Paramètres!$A$1:$I$89,3,0)*VLOOKUP('Données projet'!$B$15,Paramètres!$A$1:$I$89,5,0)</f>
        <v>157.852</v>
      </c>
      <c r="EL41" s="14">
        <f t="shared" si="45"/>
        <v>40.357647559226351</v>
      </c>
      <c r="EM41" s="22">
        <f t="shared" si="19"/>
        <v>345.21513616565261</v>
      </c>
      <c r="EN41" s="60">
        <f t="shared" si="20"/>
        <v>638.54846949898592</v>
      </c>
      <c r="EO41" s="60">
        <f ca="1">AVERAGE(OFFSET($EN$3,0,0,'Données projet'!$E$15+1,1))-AVERAGE(OFFSET($H$3,0,0,'Données projet'!$E$15+1,1))</f>
        <v>493.70175665335978</v>
      </c>
      <c r="EP41" s="60">
        <f t="shared" si="46"/>
        <v>325.12357781685949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0" t="e">
        <f t="shared" si="23"/>
        <v>#N/A</v>
      </c>
      <c r="FJ41" s="60" t="e">
        <f ca="1">AVERAGE(OFFSET($FI$3,0,0,'Données projet'!$E$16+1,1))-AVERAGE(OFFSET($H$3,0,0,'Données projet'!$E$16+1,1))</f>
        <v>#N/A</v>
      </c>
      <c r="FK41" s="60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0" t="e">
        <f t="shared" si="26"/>
        <v>#N/A</v>
      </c>
      <c r="GE41" s="60" t="e">
        <f ca="1">AVERAGE(OFFSET($GD$3,0,0,'Données projet'!$E$17+1,1))-AVERAGE(OFFSET($H$3,0,0,'Données projet'!$E$17+1,1))</f>
        <v>#N/A</v>
      </c>
      <c r="GF41" s="60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5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8">
        <f t="shared" si="1"/>
        <v>256.66666666666669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13.141346153846158</v>
      </c>
      <c r="N42" s="14">
        <f>IF('Données projet'!$A$36&gt;35,N41+M42-V41,IF(A42&lt;'Données projet'!$A$36,$K$205^A42,IF(A42='Données projet'!$A$36,'Données projet'!$B$36,N41+M42-V41)))</f>
        <v>237.44711538461536</v>
      </c>
      <c r="O42" s="14">
        <f>N42*VLOOKUP('Données projet'!$B$9,Paramètres!$A$1:$I$89,3,0)*VLOOKUP('Données projet'!$B$9,Paramètres!$A$1:$I$89,5,0)</f>
        <v>141.99337499999999</v>
      </c>
      <c r="P42" s="14">
        <f t="shared" si="33"/>
        <v>36.753283288028733</v>
      </c>
      <c r="Q42" s="22">
        <f t="shared" si="53"/>
        <v>311.31709651831665</v>
      </c>
      <c r="R42" s="60">
        <f t="shared" si="0"/>
        <v>604.65042985164996</v>
      </c>
      <c r="S42" s="60">
        <f ca="1">AVERAGE(OFFSET($R$3,0,0,'Données projet'!$E$9+1,1))-AVERAGE(OFFSET($H$3,0,0,'Données projet'!$E$9+1,1))</f>
        <v>260.02504691866199</v>
      </c>
      <c r="T42" s="60">
        <f t="shared" si="34"/>
        <v>270.11268336406368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8.3743824568675862</v>
      </c>
      <c r="AA42" s="23">
        <f>EXP(-LN(2)/25)*AA41+(1-EXP(-LN(2)/25))/(LN(2)/25)*Calculateur!V42*Calculateur!X42*VLOOKUP('Données projet'!$B$9,Paramètres!$A$1:$I$89,3,0)*0.475*44/12</f>
        <v>12.80637820650651</v>
      </c>
      <c r="AB42" s="23">
        <f>EXP(-LN(2)/2)*AB41+(1-EXP(-LN(2)/2))/(LN(2)/2)*V42*Y42*VLOOKUP('Données projet'!$B$9,Paramètres!$A$1:$I$89,3,0)*0.475*44/12</f>
        <v>0.28018933608253926</v>
      </c>
      <c r="AC42" s="24">
        <f t="shared" si="3"/>
        <v>21.460949999456634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149.60000000000002</v>
      </c>
      <c r="AJ42" s="14">
        <f>AI42*VLOOKUP('Données projet'!$B$10,Paramètres!$A$1:$I$89,3,0)*VLOOKUP('Données projet'!$B$10,Paramètres!$A$1:$I$89,5,0)</f>
        <v>151.69440000000003</v>
      </c>
      <c r="AK42" s="14">
        <f t="shared" si="35"/>
        <v>38.963392010880654</v>
      </c>
      <c r="AL42" s="22">
        <f t="shared" si="4"/>
        <v>332.06232108561716</v>
      </c>
      <c r="AM42" s="60">
        <f t="shared" si="5"/>
        <v>625.39565441895047</v>
      </c>
      <c r="AN42" s="60">
        <f ca="1">AVERAGE(OFFSET($AM$3,0,0,'Données projet'!$E$10+1,1))-AVERAGE(OFFSET($H$3,0,0,'Données projet'!$E$10+1,1))</f>
        <v>475.47920969424894</v>
      </c>
      <c r="AO42" s="60">
        <f t="shared" si="36"/>
        <v>271.73544012419364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5.2</v>
      </c>
      <c r="BD42" s="13">
        <f>IF('Données projet'!$A$88&gt;35,BD41+BC42-BL41,IF(A42&lt;'Données projet'!$A$88,$BA$205^A42,IF(A42='Données projet'!$A$88,'Données projet'!$B$88,BD41+BC42-BL41)))</f>
        <v>100.80000000000003</v>
      </c>
      <c r="BE42" s="14">
        <f>BD42*VLOOKUP('Données projet'!$B$11,Paramètres!$A$1:$I$89,3,0)*VLOOKUP('Données projet'!$B$11,Paramètres!$A$1:$I$89,5,0)</f>
        <v>91.203840000000028</v>
      </c>
      <c r="BF42" s="14">
        <f t="shared" si="37"/>
        <v>24.855337308022545</v>
      </c>
      <c r="BG42" s="22">
        <f t="shared" si="7"/>
        <v>202.13640047813931</v>
      </c>
      <c r="BH42" s="60">
        <f t="shared" si="8"/>
        <v>495.46973381147262</v>
      </c>
      <c r="BI42" s="60">
        <f ca="1">AVERAGE(OFFSET($BH$3,0,0,'Données projet'!$E$11+1,1))-AVERAGE(OFFSET($H$3,0,0,'Données projet'!$E$11+1,1))</f>
        <v>325.2649384779973</v>
      </c>
      <c r="BJ42" s="60">
        <f t="shared" si="38"/>
        <v>146.70159365068315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25.2</v>
      </c>
      <c r="BY42" s="13">
        <f>IF('Données projet'!$A$114&gt;35,BY41+BX42-CG41,IF(A42&lt;'Données projet'!$A$114,$BV$205^A42,IF(A42='Données projet'!$A$114,'Données projet'!$B$114,BY41+BX42-CG41)))</f>
        <v>447.19999999999987</v>
      </c>
      <c r="BZ42" s="14">
        <f>BY42*VLOOKUP('Données projet'!$B$12,Paramètres!$A$1:$I$89,3,0)*VLOOKUP('Données projet'!$B$12,Paramètres!$A$1:$I$89,5,0)</f>
        <v>197.66239999999996</v>
      </c>
      <c r="CA42" s="14">
        <f t="shared" si="39"/>
        <v>49.230083004987826</v>
      </c>
      <c r="CB42" s="22">
        <f t="shared" si="10"/>
        <v>430.00440790035373</v>
      </c>
      <c r="CC42" s="60">
        <f t="shared" si="11"/>
        <v>723.33774123368698</v>
      </c>
      <c r="CD42" s="60">
        <f ca="1">AVERAGE(OFFSET($CC$3,0,0,'Données projet'!$E$12+1,1))-AVERAGE(OFFSET($H$3,0,0,'Données projet'!$E$12+1,1))</f>
        <v>401.84375324751227</v>
      </c>
      <c r="CE42" s="60">
        <f t="shared" si="40"/>
        <v>350.39368043404164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6.4930883715431751</v>
      </c>
      <c r="CM42" s="23">
        <f>EXP(-LN(2)/2)*CM41+(1-EXP(-LN(2)/2))/(LN(2)/2)*CG42*CJ42*VLOOKUP('Données projet'!$B$12,Paramètres!$A$1:$I$89,3,0)*0.475*44/12</f>
        <v>6.1578399525238296E-2</v>
      </c>
      <c r="CN42" s="24">
        <f t="shared" si="12"/>
        <v>6.5546667710684137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10.711538461538463</v>
      </c>
      <c r="CT42" s="13">
        <f>IF('Données projet'!$A$140&gt;35,CT41+CS42-DB41,IF(A42&lt;'Données projet'!$A$140,$CQ$205^A42,IF(A42='Données projet'!$A$140,'Données projet'!$B$140,CT41+CS42-DB41)))</f>
        <v>178.20384615384609</v>
      </c>
      <c r="CU42" s="18">
        <f>CT42*VLOOKUP('Données projet'!$B$13,Paramètres!$A$1:$I$89,3,0)*VLOOKUP('Données projet'!$B$13,Paramètres!$A$1:$I$89,5,0)</f>
        <v>106.56589999999997</v>
      </c>
      <c r="CV42" s="14">
        <f t="shared" si="41"/>
        <v>28.520396364277037</v>
      </c>
      <c r="CW42" s="22">
        <f t="shared" si="13"/>
        <v>235.2752995011158</v>
      </c>
      <c r="CX42" s="60">
        <f t="shared" si="14"/>
        <v>528.60863283444905</v>
      </c>
      <c r="CY42" s="60">
        <f ca="1">AVERAGE(OFFSET($CX$3,0,0,'Données projet'!$E$13+1,1))-AVERAGE(OFFSET($H$3,0,0,'Données projet'!$E$13+1,1))</f>
        <v>232.73140429491525</v>
      </c>
      <c r="CZ42" s="60">
        <f t="shared" si="42"/>
        <v>201.02719152328638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6.2040432244837396</v>
      </c>
      <c r="DH42" s="23">
        <f>EXP(-LN(2)/2)*DH41+(1-EXP(-LN(2)/2))/(LN(2)/2)*DB42*DE42*VLOOKUP('Données projet'!$B$13,Paramètres!$A$1:$I$89,3,0)*0.475*44/12</f>
        <v>0.13606601635524307</v>
      </c>
      <c r="DI42" s="24">
        <f t="shared" si="15"/>
        <v>6.3401092408389825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4.8717948717948705</v>
      </c>
      <c r="DO42" s="13">
        <f>IF('Données projet'!$A$166&gt;35,DO41+DN42-DW41,IF(A42&lt;'Données projet'!$A$166,$DL$205^A42,IF(A42='Données projet'!$A$166,'Données projet'!$B$166,DO41+DN42-DW41)))</f>
        <v>100.89743589743587</v>
      </c>
      <c r="DP42" s="18">
        <f>DO42*VLOOKUP('Données projet'!$B$14,Paramètres!$A$1:$I$89,3,0)*VLOOKUP('Données projet'!$B$14,Paramètres!$A$1:$I$89,5,0)</f>
        <v>96.013999999999982</v>
      </c>
      <c r="DQ42" s="14">
        <f t="shared" si="43"/>
        <v>26.010151676684245</v>
      </c>
      <c r="DR42" s="22">
        <f t="shared" si="16"/>
        <v>212.52539750355837</v>
      </c>
      <c r="DS42" s="60">
        <f t="shared" si="17"/>
        <v>505.85873083689171</v>
      </c>
      <c r="DT42" s="60">
        <f ca="1">AVERAGE(OFFSET($DS$3,0,0,'Données projet'!$E$14+1,1))-AVERAGE(OFFSET($H$3,0,0,'Données projet'!$E$14+1,1))</f>
        <v>302.15577364214136</v>
      </c>
      <c r="DU42" s="60">
        <f t="shared" si="44"/>
        <v>197.15142751137051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6.5384615384615357</v>
      </c>
      <c r="EJ42" s="13">
        <f>IF('Données projet'!$A$192&gt;35,EJ41+EI42-ER41,IF(A42&lt;'Données projet'!$A$192,$EG$205^A42,IF(A42='Données projet'!$A$192,'Données projet'!$B$192,EJ41+EI42-ER41)))</f>
        <v>157.56410256410257</v>
      </c>
      <c r="EK42" s="18">
        <f>EJ42*VLOOKUP('Données projet'!$B$15,Paramètres!$A$1:$I$89,3,0)*VLOOKUP('Données projet'!$B$15,Paramètres!$A$1:$I$89,5,0)</f>
        <v>164.68600000000001</v>
      </c>
      <c r="EL42" s="14">
        <f t="shared" si="45"/>
        <v>41.89767353409232</v>
      </c>
      <c r="EM42" s="22">
        <f t="shared" si="19"/>
        <v>359.79989807187752</v>
      </c>
      <c r="EN42" s="60">
        <f t="shared" si="20"/>
        <v>653.13323140521084</v>
      </c>
      <c r="EO42" s="60">
        <f ca="1">AVERAGE(OFFSET($EN$3,0,0,'Données projet'!$E$15+1,1))-AVERAGE(OFFSET($H$3,0,0,'Données projet'!$E$15+1,1))</f>
        <v>493.70175665335978</v>
      </c>
      <c r="EP42" s="60">
        <f t="shared" si="46"/>
        <v>325.12357781685949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0" t="e">
        <f t="shared" si="23"/>
        <v>#N/A</v>
      </c>
      <c r="FJ42" s="60" t="e">
        <f ca="1">AVERAGE(OFFSET($FI$3,0,0,'Données projet'!$E$16+1,1))-AVERAGE(OFFSET($H$3,0,0,'Données projet'!$E$16+1,1))</f>
        <v>#N/A</v>
      </c>
      <c r="FK42" s="60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0" t="e">
        <f t="shared" si="26"/>
        <v>#N/A</v>
      </c>
      <c r="GE42" s="60" t="e">
        <f ca="1">AVERAGE(OFFSET($GD$3,0,0,'Données projet'!$E$17+1,1))-AVERAGE(OFFSET($H$3,0,0,'Données projet'!$E$17+1,1))</f>
        <v>#N/A</v>
      </c>
      <c r="GF42" s="60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5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8">
        <f t="shared" si="1"/>
        <v>256.66666666666669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13.141346153846158</v>
      </c>
      <c r="N43" s="14">
        <f>IF('Données projet'!$A$36&gt;35,N42+M43-V42,IF(A43&lt;'Données projet'!$A$36,$K$205^A43,IF(A43='Données projet'!$A$36,'Données projet'!$B$36,N42+M43-V42)))</f>
        <v>250.5884615384615</v>
      </c>
      <c r="O43" s="14">
        <f>N43*VLOOKUP('Données projet'!$B$9,Paramètres!$A$1:$I$89,3,0)*VLOOKUP('Données projet'!$B$9,Paramètres!$A$1:$I$89,5,0)</f>
        <v>149.8519</v>
      </c>
      <c r="P43" s="14">
        <f t="shared" si="33"/>
        <v>38.544927429723309</v>
      </c>
      <c r="Q43" s="22">
        <f t="shared" si="53"/>
        <v>328.12447444010144</v>
      </c>
      <c r="R43" s="60">
        <f t="shared" si="0"/>
        <v>621.45780777343475</v>
      </c>
      <c r="S43" s="60">
        <f ca="1">AVERAGE(OFFSET($R$3,0,0,'Données projet'!$E$9+1,1))-AVERAGE(OFFSET($H$3,0,0,'Données projet'!$E$9+1,1))</f>
        <v>260.02504691866199</v>
      </c>
      <c r="T43" s="60">
        <f t="shared" si="34"/>
        <v>270.11268336406368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8.2101659247573515</v>
      </c>
      <c r="AA43" s="23">
        <f>EXP(-LN(2)/25)*AA42+(1-EXP(-LN(2)/25))/(LN(2)/25)*Calculateur!V43*Calculateur!X43*VLOOKUP('Données projet'!$B$9,Paramètres!$A$1:$I$89,3,0)*0.475*44/12</f>
        <v>12.456187120991428</v>
      </c>
      <c r="AB43" s="23">
        <f>EXP(-LN(2)/2)*AB42+(1-EXP(-LN(2)/2))/(LN(2)/2)*V43*Y43*VLOOKUP('Données projet'!$B$9,Paramètres!$A$1:$I$89,3,0)*0.475*44/12</f>
        <v>0.19812377956012012</v>
      </c>
      <c r="AC43" s="24">
        <f t="shared" si="3"/>
        <v>20.864476825308898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158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158.00000000000003</v>
      </c>
      <c r="AJ43" s="14">
        <f>AI43*VLOOKUP('Données projet'!$B$10,Paramètres!$A$1:$I$89,3,0)*VLOOKUP('Données projet'!$B$10,Paramètres!$A$1:$I$89,5,0)</f>
        <v>160.21200000000005</v>
      </c>
      <c r="AK43" s="14">
        <f t="shared" si="35"/>
        <v>40.890328912852695</v>
      </c>
      <c r="AL43" s="22">
        <f t="shared" si="4"/>
        <v>350.25322285655176</v>
      </c>
      <c r="AM43" s="60">
        <f t="shared" si="5"/>
        <v>643.58655618988507</v>
      </c>
      <c r="AN43" s="60">
        <f ca="1">AVERAGE(OFFSET($AM$3,0,0,'Données projet'!$E$10+1,1))-AVERAGE(OFFSET($H$3,0,0,'Données projet'!$E$10+1,1))</f>
        <v>475.47920969424894</v>
      </c>
      <c r="AO43" s="60">
        <f t="shared" si="36"/>
        <v>271.73544012419364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42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106</v>
      </c>
      <c r="BB43" s="13">
        <f>VLOOKUP(A43,'Données projet'!$A$87:$I$107,9,0)</f>
        <v>5.2</v>
      </c>
      <c r="BC43" s="13">
        <f t="array" ref="BC43">INDEX(BB:BB,MIN(IF(ISNUMBER(BB43:BB239),ROW(BB43:BB239),"")))</f>
        <v>5.2</v>
      </c>
      <c r="BD43" s="13">
        <f>IF('Données projet'!$A$88&gt;35,BD42+BC43-BL42,IF(A43&lt;'Données projet'!$A$88,$BA$205^A43,IF(A43='Données projet'!$A$88,'Données projet'!$B$88,BD42+BC43-BL42)))</f>
        <v>106.00000000000003</v>
      </c>
      <c r="BE43" s="14">
        <f>BD43*VLOOKUP('Données projet'!$B$11,Paramètres!$A$1:$I$89,3,0)*VLOOKUP('Données projet'!$B$11,Paramètres!$A$1:$I$89,5,0)</f>
        <v>95.908800000000014</v>
      </c>
      <c r="BF43" s="14">
        <f t="shared" si="37"/>
        <v>25.984968676228355</v>
      </c>
      <c r="BG43" s="22">
        <f t="shared" si="7"/>
        <v>212.29831377776441</v>
      </c>
      <c r="BH43" s="60">
        <f t="shared" si="8"/>
        <v>505.63164711109772</v>
      </c>
      <c r="BI43" s="60">
        <f ca="1">AVERAGE(OFFSET($BH$3,0,0,'Données projet'!$E$11+1,1))-AVERAGE(OFFSET($H$3,0,0,'Données projet'!$E$11+1,1))</f>
        <v>325.2649384779973</v>
      </c>
      <c r="BJ43" s="60">
        <f t="shared" si="38"/>
        <v>146.70159365068315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27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25.2</v>
      </c>
      <c r="BY43" s="13">
        <f>IF('Données projet'!$A$114&gt;35,BY42+BX43-CG42,IF(A43&lt;'Données projet'!$A$114,$BV$205^A43,IF(A43='Données projet'!$A$114,'Données projet'!$B$114,BY42+BX43-CG42)))</f>
        <v>472.39999999999986</v>
      </c>
      <c r="BZ43" s="14">
        <f>BY43*VLOOKUP('Données projet'!$B$12,Paramètres!$A$1:$I$89,3,0)*VLOOKUP('Données projet'!$B$12,Paramètres!$A$1:$I$89,5,0)</f>
        <v>208.80079999999995</v>
      </c>
      <c r="CA43" s="14">
        <f t="shared" si="39"/>
        <v>51.673443047199591</v>
      </c>
      <c r="CB43" s="22">
        <f t="shared" si="10"/>
        <v>453.65930664053917</v>
      </c>
      <c r="CC43" s="60">
        <f t="shared" si="11"/>
        <v>746.99263997387243</v>
      </c>
      <c r="CD43" s="60">
        <f ca="1">AVERAGE(OFFSET($CC$3,0,0,'Données projet'!$E$12+1,1))-AVERAGE(OFFSET($H$3,0,0,'Données projet'!$E$12+1,1))</f>
        <v>401.84375324751227</v>
      </c>
      <c r="CE43" s="60">
        <f t="shared" si="40"/>
        <v>350.39368043404164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6.3155345285666495</v>
      </c>
      <c r="CM43" s="23">
        <f>EXP(-LN(2)/2)*CM42+(1-EXP(-LN(2)/2))/(LN(2)/2)*CG43*CJ43*VLOOKUP('Données projet'!$B$12,Paramètres!$A$1:$I$89,3,0)*0.475*44/12</f>
        <v>4.3542503878910482E-2</v>
      </c>
      <c r="CN43" s="24">
        <f t="shared" si="12"/>
        <v>6.3590770324455601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188.91538461538462</v>
      </c>
      <c r="CR43" s="13">
        <f>VLOOKUP(A43,'Données projet'!$A$139:$I$159,9,0)</f>
        <v>10.711538461538463</v>
      </c>
      <c r="CS43" s="13">
        <f t="array" ref="CS43">INDEX(CR:CR,MIN(IF(ISNUMBER(CR43:CR239),ROW(CR43:CR239),"")))</f>
        <v>10.711538461538463</v>
      </c>
      <c r="CT43" s="13">
        <f>IF('Données projet'!$A$140&gt;35,CT42+CS43-DB42,IF(A43&lt;'Données projet'!$A$140,$CQ$205^A43,IF(A43='Données projet'!$A$140,'Données projet'!$B$140,CT42+CS43-DB42)))</f>
        <v>188.91538461538454</v>
      </c>
      <c r="CU43" s="18">
        <f>CT43*VLOOKUP('Données projet'!$B$13,Paramètres!$A$1:$I$89,3,0)*VLOOKUP('Données projet'!$B$13,Paramètres!$A$1:$I$89,5,0)</f>
        <v>112.97139999999996</v>
      </c>
      <c r="CV43" s="14">
        <f t="shared" si="41"/>
        <v>30.029979864864952</v>
      </c>
      <c r="CW43" s="22">
        <f t="shared" si="13"/>
        <v>249.06073659797303</v>
      </c>
      <c r="CX43" s="60">
        <f t="shared" si="14"/>
        <v>542.39406993130638</v>
      </c>
      <c r="CY43" s="60">
        <f ca="1">AVERAGE(OFFSET($CX$3,0,0,'Données projet'!$E$13+1,1))-AVERAGE(OFFSET($H$3,0,0,'Données projet'!$E$13+1,1))</f>
        <v>232.73140429491525</v>
      </c>
      <c r="CZ43" s="60">
        <f t="shared" si="42"/>
        <v>201.02719152328638</v>
      </c>
      <c r="DA43" s="16">
        <f>IF(ISNA(VLOOKUP(A43,'Données projet'!$A$139:$I$159,3,0)),0,VLOOKUP(A43,'Données projet'!$A$139:$I$159,3,0))</f>
        <v>3</v>
      </c>
      <c r="DB43" s="16">
        <f>IF(ISNA(VLOOKUP(A43,'Données projet'!$A$139:$I$159,4,0)),0,VLOOKUP(A43,'Données projet'!$A$139:$I$159,4,0))</f>
        <v>48.323076923076918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6.0343933362537783</v>
      </c>
      <c r="DH43" s="23">
        <f>EXP(-LN(2)/2)*DH42+(1-EXP(-LN(2)/2))/(LN(2)/2)*DB43*DE43*VLOOKUP('Données projet'!$B$13,Paramètres!$A$1:$I$89,3,0)*0.475*44/12</f>
        <v>9.6213202853832058E-2</v>
      </c>
      <c r="DI43" s="24">
        <f t="shared" si="15"/>
        <v>6.1306065391076103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105.76923076923076</v>
      </c>
      <c r="DM43" s="13">
        <f>VLOOKUP(A43,'Données projet'!$A$165:$I$185,9,0)</f>
        <v>4.8717948717948705</v>
      </c>
      <c r="DN43" s="13">
        <f t="array" ref="DN43">INDEX(DM:DM,MIN(IF(ISNUMBER(DM43:DM239),ROW(DM43:DM239),"")))</f>
        <v>4.8717948717948705</v>
      </c>
      <c r="DO43" s="13">
        <f>IF('Données projet'!$A$166&gt;35,DO42+DN43-DW42,IF(A43&lt;'Données projet'!$A$166,$DL$205^A43,IF(A43='Données projet'!$A$166,'Données projet'!$B$166,DO42+DN43-DW42)))</f>
        <v>105.76923076923075</v>
      </c>
      <c r="DP43" s="18">
        <f>DO43*VLOOKUP('Données projet'!$B$14,Paramètres!$A$1:$I$89,3,0)*VLOOKUP('Données projet'!$B$14,Paramètres!$A$1:$I$89,5,0)</f>
        <v>100.64999999999999</v>
      </c>
      <c r="DQ43" s="14">
        <f t="shared" si="43"/>
        <v>27.116792645191733</v>
      </c>
      <c r="DR43" s="22">
        <f t="shared" si="16"/>
        <v>222.52716385704227</v>
      </c>
      <c r="DS43" s="60">
        <f t="shared" si="17"/>
        <v>515.86049719037555</v>
      </c>
      <c r="DT43" s="60">
        <f ca="1">AVERAGE(OFFSET($DS$3,0,0,'Données projet'!$E$14+1,1))-AVERAGE(OFFSET($H$3,0,0,'Données projet'!$E$14+1,1))</f>
        <v>302.15577364214136</v>
      </c>
      <c r="DU43" s="60">
        <f t="shared" si="44"/>
        <v>197.15142751137051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164.10256410256409</v>
      </c>
      <c r="EH43" s="13">
        <f>VLOOKUP(A43,'Données projet'!$A$191:$I$211,9,0)</f>
        <v>6.5384615384615357</v>
      </c>
      <c r="EI43" s="13">
        <f t="array" ref="EI43">INDEX(EH:EH,MIN(IF(ISNUMBER(EH43:EH239),ROW(EH43:EH239),"")))</f>
        <v>6.5384615384615357</v>
      </c>
      <c r="EJ43" s="13">
        <f>IF('Données projet'!$A$192&gt;35,EJ42+EI43-ER42,IF(A43&lt;'Données projet'!$A$192,$EG$205^A43,IF(A43='Données projet'!$A$192,'Données projet'!$B$192,EJ42+EI43-ER42)))</f>
        <v>164.10256410256412</v>
      </c>
      <c r="EK43" s="18">
        <f>EJ43*VLOOKUP('Données projet'!$B$15,Paramètres!$A$1:$I$89,3,0)*VLOOKUP('Données projet'!$B$15,Paramètres!$A$1:$I$89,5,0)</f>
        <v>171.52000000000004</v>
      </c>
      <c r="EL43" s="14">
        <f t="shared" si="45"/>
        <v>43.430276456724698</v>
      </c>
      <c r="EM43" s="22">
        <f t="shared" si="19"/>
        <v>374.3717314954622</v>
      </c>
      <c r="EN43" s="60">
        <f t="shared" si="20"/>
        <v>667.70506482879546</v>
      </c>
      <c r="EO43" s="60">
        <f ca="1">AVERAGE(OFFSET($EN$3,0,0,'Données projet'!$E$15+1,1))-AVERAGE(OFFSET($H$3,0,0,'Données projet'!$E$15+1,1))</f>
        <v>493.70175665335978</v>
      </c>
      <c r="EP43" s="60">
        <f t="shared" si="46"/>
        <v>325.12357781685949</v>
      </c>
      <c r="EQ43" s="16">
        <f>IF(ISNA(VLOOKUP(A43,'Données projet'!$A$191:$I$211,3,0)),0,VLOOKUP(A43,'Données projet'!$A$191:$I$211,3,0))</f>
        <v>2</v>
      </c>
      <c r="ER43" s="16">
        <f>IF(ISNA(VLOOKUP(A43,'Données projet'!$A$191:$I$211,4,0)),0,VLOOKUP(A43,'Données projet'!$A$191:$I$211,4,0))</f>
        <v>22.435897435897434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0" t="e">
        <f t="shared" si="23"/>
        <v>#N/A</v>
      </c>
      <c r="FJ43" s="60" t="e">
        <f ca="1">AVERAGE(OFFSET($FI$3,0,0,'Données projet'!$E$16+1,1))-AVERAGE(OFFSET($H$3,0,0,'Données projet'!$E$16+1,1))</f>
        <v>#N/A</v>
      </c>
      <c r="FK43" s="60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0" t="e">
        <f t="shared" si="26"/>
        <v>#N/A</v>
      </c>
      <c r="GE43" s="60" t="e">
        <f ca="1">AVERAGE(OFFSET($GD$3,0,0,'Données projet'!$E$17+1,1))-AVERAGE(OFFSET($H$3,0,0,'Données projet'!$E$17+1,1))</f>
        <v>#N/A</v>
      </c>
      <c r="GF43" s="60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5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8">
        <f t="shared" si="1"/>
        <v>256.66666666666669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13.141346153846158</v>
      </c>
      <c r="N44" s="14">
        <f>IF('Données projet'!$A$36&gt;35,N43+M44-V43,IF(A44&lt;'Données projet'!$A$36,$K$205^A44,IF(A44='Données projet'!$A$36,'Données projet'!$B$36,N43+M44-V43)))</f>
        <v>263.72980769230765</v>
      </c>
      <c r="O44" s="14">
        <f>N44*VLOOKUP('Données projet'!$B$9,Paramètres!$A$1:$I$89,3,0)*VLOOKUP('Données projet'!$B$9,Paramètres!$A$1:$I$89,5,0)</f>
        <v>157.71042499999999</v>
      </c>
      <c r="P44" s="14">
        <f t="shared" si="33"/>
        <v>40.325662975074472</v>
      </c>
      <c r="Q44" s="22">
        <f t="shared" si="53"/>
        <v>344.91285322325461</v>
      </c>
      <c r="R44" s="60">
        <f t="shared" si="0"/>
        <v>638.24618655658787</v>
      </c>
      <c r="S44" s="60">
        <f ca="1">AVERAGE(OFFSET($R$3,0,0,'Données projet'!$E$9+1,1))-AVERAGE(OFFSET($H$3,0,0,'Données projet'!$E$9+1,1))</f>
        <v>260.02504691866199</v>
      </c>
      <c r="T44" s="60">
        <f t="shared" si="34"/>
        <v>270.11268336406368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8.0491695786796047</v>
      </c>
      <c r="AA44" s="23">
        <f>EXP(-LN(2)/25)*AA43+(1-EXP(-LN(2)/25))/(LN(2)/25)*Calculateur!V44*Calculateur!X44*VLOOKUP('Données projet'!$B$9,Paramètres!$A$1:$I$89,3,0)*0.475*44/12</f>
        <v>12.115572029125506</v>
      </c>
      <c r="AB44" s="23">
        <f>EXP(-LN(2)/2)*AB43+(1-EXP(-LN(2)/2))/(LN(2)/2)*V44*Y44*VLOOKUP('Données projet'!$B$9,Paramètres!$A$1:$I$89,3,0)*0.475*44/12</f>
        <v>0.14009466804126963</v>
      </c>
      <c r="AC44" s="24">
        <f t="shared" si="3"/>
        <v>20.30483627584638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124.40000000000003</v>
      </c>
      <c r="AJ44" s="14">
        <f>AI44*VLOOKUP('Données projet'!$B$10,Paramètres!$A$1:$I$89,3,0)*VLOOKUP('Données projet'!$B$10,Paramètres!$A$1:$I$89,5,0)</f>
        <v>126.14160000000005</v>
      </c>
      <c r="AK44" s="14">
        <f t="shared" si="35"/>
        <v>33.10323903126482</v>
      </c>
      <c r="AL44" s="22">
        <f t="shared" si="4"/>
        <v>277.35142797945298</v>
      </c>
      <c r="AM44" s="60">
        <f t="shared" si="5"/>
        <v>570.68476131278635</v>
      </c>
      <c r="AN44" s="60">
        <f ca="1">AVERAGE(OFFSET($AM$3,0,0,'Données projet'!$E$10+1,1))-AVERAGE(OFFSET($H$3,0,0,'Données projet'!$E$10+1,1))</f>
        <v>475.47920969424894</v>
      </c>
      <c r="AO44" s="60">
        <f t="shared" si="36"/>
        <v>271.73544012419364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5.6</v>
      </c>
      <c r="BD44" s="13">
        <f>IF('Données projet'!$A$88&gt;35,BD43+BC44-BL43,IF(A44&lt;'Données projet'!$A$88,$BA$205^A44,IF(A44='Données projet'!$A$88,'Données projet'!$B$88,BD43+BC44-BL43)))</f>
        <v>84.600000000000023</v>
      </c>
      <c r="BE44" s="14">
        <f>BD44*VLOOKUP('Données projet'!$B$11,Paramètres!$A$1:$I$89,3,0)*VLOOKUP('Données projet'!$B$11,Paramètres!$A$1:$I$89,5,0)</f>
        <v>76.546080000000018</v>
      </c>
      <c r="BF44" s="14">
        <f t="shared" si="37"/>
        <v>21.290525837973497</v>
      </c>
      <c r="BG44" s="22">
        <f t="shared" si="7"/>
        <v>170.39875516780384</v>
      </c>
      <c r="BH44" s="60">
        <f t="shared" si="8"/>
        <v>463.73208850113713</v>
      </c>
      <c r="BI44" s="60">
        <f ca="1">AVERAGE(OFFSET($BH$3,0,0,'Données projet'!$E$11+1,1))-AVERAGE(OFFSET($H$3,0,0,'Données projet'!$E$11+1,1))</f>
        <v>325.2649384779973</v>
      </c>
      <c r="BJ44" s="60">
        <f t="shared" si="38"/>
        <v>146.70159365068315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25.2</v>
      </c>
      <c r="BY44" s="13">
        <f>IF('Données projet'!$A$114&gt;35,BY43+BX44-CG43,IF(A44&lt;'Données projet'!$A$114,$BV$205^A44,IF(A44='Données projet'!$A$114,'Données projet'!$B$114,BY43+BX44-CG43)))</f>
        <v>497.59999999999985</v>
      </c>
      <c r="BZ44" s="14">
        <f>BY44*VLOOKUP('Données projet'!$B$12,Paramètres!$A$1:$I$89,3,0)*VLOOKUP('Données projet'!$B$12,Paramètres!$A$1:$I$89,5,0)</f>
        <v>219.93919999999997</v>
      </c>
      <c r="CA44" s="14">
        <f t="shared" si="39"/>
        <v>54.101670928427012</v>
      </c>
      <c r="CB44" s="22">
        <f t="shared" si="10"/>
        <v>477.28785020034371</v>
      </c>
      <c r="CC44" s="60">
        <f t="shared" si="11"/>
        <v>770.62118353367703</v>
      </c>
      <c r="CD44" s="60">
        <f ca="1">AVERAGE(OFFSET($CC$3,0,0,'Données projet'!$E$12+1,1))-AVERAGE(OFFSET($H$3,0,0,'Données projet'!$E$12+1,1))</f>
        <v>401.84375324751227</v>
      </c>
      <c r="CE44" s="60">
        <f t="shared" si="40"/>
        <v>350.39368043404164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6.1428359047634684</v>
      </c>
      <c r="CM44" s="23">
        <f>EXP(-LN(2)/2)*CM43+(1-EXP(-LN(2)/2))/(LN(2)/2)*CG44*CJ44*VLOOKUP('Données projet'!$B$12,Paramètres!$A$1:$I$89,3,0)*0.475*44/12</f>
        <v>3.0789199762619155E-2</v>
      </c>
      <c r="CN44" s="24">
        <f t="shared" si="12"/>
        <v>6.1736251045260877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10.101538461538457</v>
      </c>
      <c r="CT44" s="13">
        <f>IF('Données projet'!$A$140&gt;35,CT43+CS44-DB43,IF(A44&lt;'Données projet'!$A$140,$CQ$205^A44,IF(A44='Données projet'!$A$140,'Données projet'!$B$140,CT43+CS44-DB43)))</f>
        <v>150.6938461538461</v>
      </c>
      <c r="CU44" s="18">
        <f>CT44*VLOOKUP('Données projet'!$B$13,Paramètres!$A$1:$I$89,3,0)*VLOOKUP('Données projet'!$B$13,Paramètres!$A$1:$I$89,5,0)</f>
        <v>90.114919999999969</v>
      </c>
      <c r="CV44" s="14">
        <f t="shared" si="41"/>
        <v>24.592938871911798</v>
      </c>
      <c r="CW44" s="22">
        <f t="shared" si="13"/>
        <v>199.78285420191298</v>
      </c>
      <c r="CX44" s="60">
        <f t="shared" si="14"/>
        <v>493.1161875352463</v>
      </c>
      <c r="CY44" s="60">
        <f ca="1">AVERAGE(OFFSET($CX$3,0,0,'Données projet'!$E$13+1,1))-AVERAGE(OFFSET($H$3,0,0,'Données projet'!$E$13+1,1))</f>
        <v>232.73140429491525</v>
      </c>
      <c r="CZ44" s="60">
        <f t="shared" si="42"/>
        <v>201.02719152328638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5.8693825331389649</v>
      </c>
      <c r="DH44" s="23">
        <f>EXP(-LN(2)/2)*DH43+(1-EXP(-LN(2)/2))/(LN(2)/2)*DB44*DE44*VLOOKUP('Données projet'!$B$13,Paramètres!$A$1:$I$89,3,0)*0.475*44/12</f>
        <v>6.8033008177621535E-2</v>
      </c>
      <c r="DI44" s="24">
        <f t="shared" si="15"/>
        <v>5.9374155413165868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4.6153846153846159</v>
      </c>
      <c r="DO44" s="13">
        <f>IF('Données projet'!$A$166&gt;35,DO43+DN44-DW43,IF(A44&lt;'Données projet'!$A$166,$DL$205^A44,IF(A44='Données projet'!$A$166,'Données projet'!$B$166,DO43+DN44-DW43)))</f>
        <v>110.38461538461536</v>
      </c>
      <c r="DP44" s="18">
        <f>DO44*VLOOKUP('Données projet'!$B$14,Paramètres!$A$1:$I$89,3,0)*VLOOKUP('Données projet'!$B$14,Paramètres!$A$1:$I$89,5,0)</f>
        <v>105.04199999999997</v>
      </c>
      <c r="DQ44" s="14">
        <f t="shared" si="43"/>
        <v>28.159724130227062</v>
      </c>
      <c r="DR44" s="22">
        <f t="shared" si="16"/>
        <v>231.99300286014542</v>
      </c>
      <c r="DS44" s="60">
        <f t="shared" si="17"/>
        <v>525.32633619347871</v>
      </c>
      <c r="DT44" s="60">
        <f ca="1">AVERAGE(OFFSET($DS$3,0,0,'Données projet'!$E$14+1,1))-AVERAGE(OFFSET($H$3,0,0,'Données projet'!$E$14+1,1))</f>
        <v>302.15577364214136</v>
      </c>
      <c r="DU44" s="60">
        <f t="shared" si="44"/>
        <v>197.15142751137051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6.2820512820512819</v>
      </c>
      <c r="EJ44" s="13">
        <f>IF('Données projet'!$A$192&gt;35,EJ43+EI44-ER43,IF(A44&lt;'Données projet'!$A$192,$EG$205^A44,IF(A44='Données projet'!$A$192,'Données projet'!$B$192,EJ43+EI44-ER43)))</f>
        <v>147.94871794871796</v>
      </c>
      <c r="EK44" s="18">
        <f>EJ44*VLOOKUP('Données projet'!$B$15,Paramètres!$A$1:$I$89,3,0)*VLOOKUP('Données projet'!$B$15,Paramètres!$A$1:$I$89,5,0)</f>
        <v>154.63600000000002</v>
      </c>
      <c r="EL44" s="14">
        <f t="shared" si="45"/>
        <v>39.630259615196607</v>
      </c>
      <c r="EM44" s="22">
        <f t="shared" si="19"/>
        <v>338.34706882980078</v>
      </c>
      <c r="EN44" s="60">
        <f t="shared" si="20"/>
        <v>631.68040216313409</v>
      </c>
      <c r="EO44" s="60">
        <f ca="1">AVERAGE(OFFSET($EN$3,0,0,'Données projet'!$E$15+1,1))-AVERAGE(OFFSET($H$3,0,0,'Données projet'!$E$15+1,1))</f>
        <v>493.70175665335978</v>
      </c>
      <c r="EP44" s="60">
        <f t="shared" si="46"/>
        <v>325.12357781685949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0" t="e">
        <f t="shared" si="23"/>
        <v>#N/A</v>
      </c>
      <c r="FJ44" s="60" t="e">
        <f ca="1">AVERAGE(OFFSET($FI$3,0,0,'Données projet'!$E$16+1,1))-AVERAGE(OFFSET($H$3,0,0,'Données projet'!$E$16+1,1))</f>
        <v>#N/A</v>
      </c>
      <c r="FK44" s="60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0" t="e">
        <f t="shared" si="26"/>
        <v>#N/A</v>
      </c>
      <c r="GE44" s="60" t="e">
        <f ca="1">AVERAGE(OFFSET($GD$3,0,0,'Données projet'!$E$17+1,1))-AVERAGE(OFFSET($H$3,0,0,'Données projet'!$E$17+1,1))</f>
        <v>#N/A</v>
      </c>
      <c r="GF44" s="60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5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8">
        <f t="shared" si="1"/>
        <v>256.66666666666669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13.141346153846158</v>
      </c>
      <c r="N45" s="14">
        <f>IF('Données projet'!$A$36&gt;35,N44+M45-V44,IF(A45&lt;'Données projet'!$A$36,$K$205^A45,IF(A45='Données projet'!$A$36,'Données projet'!$B$36,N44+M45-V44)))</f>
        <v>276.87115384615379</v>
      </c>
      <c r="O45" s="14">
        <f>N45*VLOOKUP('Données projet'!$B$9,Paramètres!$A$1:$I$89,3,0)*VLOOKUP('Données projet'!$B$9,Paramètres!$A$1:$I$89,5,0)</f>
        <v>165.56894999999997</v>
      </c>
      <c r="P45" s="14">
        <f t="shared" si="33"/>
        <v>42.096095514085818</v>
      </c>
      <c r="Q45" s="22">
        <f t="shared" si="53"/>
        <v>361.6832876036994</v>
      </c>
      <c r="R45" s="60">
        <f t="shared" si="0"/>
        <v>655.01662093703271</v>
      </c>
      <c r="S45" s="60">
        <f ca="1">AVERAGE(OFFSET($R$3,0,0,'Données projet'!$E$9+1,1))-AVERAGE(OFFSET($H$3,0,0,'Données projet'!$E$9+1,1))</f>
        <v>260.02504691866199</v>
      </c>
      <c r="T45" s="60">
        <f t="shared" si="34"/>
        <v>270.11268336406368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7.8913302727503671</v>
      </c>
      <c r="AA45" s="23">
        <f>EXP(-LN(2)/25)*AA44+(1-EXP(-LN(2)/25))/(LN(2)/25)*Calculateur!V45*Calculateur!X45*VLOOKUP('Données projet'!$B$9,Paramètres!$A$1:$I$89,3,0)*0.475*44/12</f>
        <v>11.784271074858827</v>
      </c>
      <c r="AB45" s="23">
        <f>EXP(-LN(2)/2)*AB44+(1-EXP(-LN(2)/2))/(LN(2)/2)*V45*Y45*VLOOKUP('Données projet'!$B$9,Paramètres!$A$1:$I$89,3,0)*0.475*44/12</f>
        <v>9.9061889780060058E-2</v>
      </c>
      <c r="AC45" s="24">
        <f t="shared" si="3"/>
        <v>19.774663237389255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132.80000000000004</v>
      </c>
      <c r="AJ45" s="14">
        <f>AI45*VLOOKUP('Données projet'!$B$10,Paramètres!$A$1:$I$89,3,0)*VLOOKUP('Données projet'!$B$10,Paramètres!$A$1:$I$89,5,0)</f>
        <v>134.65920000000006</v>
      </c>
      <c r="AK45" s="14">
        <f t="shared" si="35"/>
        <v>35.07074737441733</v>
      </c>
      <c r="AL45" s="22">
        <f t="shared" si="4"/>
        <v>295.61299167711024</v>
      </c>
      <c r="AM45" s="60">
        <f t="shared" si="5"/>
        <v>588.94632501044362</v>
      </c>
      <c r="AN45" s="60">
        <f ca="1">AVERAGE(OFFSET($AM$3,0,0,'Données projet'!$E$10+1,1))-AVERAGE(OFFSET($H$3,0,0,'Données projet'!$E$10+1,1))</f>
        <v>475.47920969424894</v>
      </c>
      <c r="AO45" s="60">
        <f t="shared" si="36"/>
        <v>271.73544012419364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5.6</v>
      </c>
      <c r="BD45" s="13">
        <f>IF('Données projet'!$A$88&gt;35,BD44+BC45-BL44,IF(A45&lt;'Données projet'!$A$88,$BA$205^A45,IF(A45='Données projet'!$A$88,'Données projet'!$B$88,BD44+BC45-BL44)))</f>
        <v>90.200000000000017</v>
      </c>
      <c r="BE45" s="14">
        <f>BD45*VLOOKUP('Données projet'!$B$11,Paramètres!$A$1:$I$89,3,0)*VLOOKUP('Données projet'!$B$11,Paramètres!$A$1:$I$89,5,0)</f>
        <v>81.612960000000015</v>
      </c>
      <c r="BF45" s="14">
        <f t="shared" si="37"/>
        <v>22.531101896247538</v>
      </c>
      <c r="BG45" s="22">
        <f t="shared" si="7"/>
        <v>181.38424113596446</v>
      </c>
      <c r="BH45" s="60">
        <f t="shared" si="8"/>
        <v>474.7175744692978</v>
      </c>
      <c r="BI45" s="60">
        <f ca="1">AVERAGE(OFFSET($BH$3,0,0,'Données projet'!$E$11+1,1))-AVERAGE(OFFSET($H$3,0,0,'Données projet'!$E$11+1,1))</f>
        <v>325.2649384779973</v>
      </c>
      <c r="BJ45" s="60">
        <f t="shared" si="38"/>
        <v>146.70159365068315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25.2</v>
      </c>
      <c r="BY45" s="13">
        <f>IF('Données projet'!$A$114&gt;35,BY44+BX45-CG44,IF(A45&lt;'Données projet'!$A$114,$BV$205^A45,IF(A45='Données projet'!$A$114,'Données projet'!$B$114,BY44+BX45-CG44)))</f>
        <v>522.79999999999984</v>
      </c>
      <c r="BZ45" s="14">
        <f>BY45*VLOOKUP('Données projet'!$B$12,Paramètres!$A$1:$I$89,3,0)*VLOOKUP('Données projet'!$B$12,Paramètres!$A$1:$I$89,5,0)</f>
        <v>231.07759999999993</v>
      </c>
      <c r="CA45" s="14">
        <f t="shared" si="39"/>
        <v>56.515620420944316</v>
      </c>
      <c r="CB45" s="22">
        <f t="shared" si="10"/>
        <v>500.89152556647787</v>
      </c>
      <c r="CC45" s="60">
        <f t="shared" si="11"/>
        <v>794.22485889981112</v>
      </c>
      <c r="CD45" s="60">
        <f ca="1">AVERAGE(OFFSET($CC$3,0,0,'Données projet'!$E$12+1,1))-AVERAGE(OFFSET($H$3,0,0,'Données projet'!$E$12+1,1))</f>
        <v>401.84375324751227</v>
      </c>
      <c r="CE45" s="60">
        <f t="shared" si="40"/>
        <v>350.39368043404164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5.9748597339100105</v>
      </c>
      <c r="CM45" s="23">
        <f>EXP(-LN(2)/2)*CM44+(1-EXP(-LN(2)/2))/(LN(2)/2)*CG45*CJ45*VLOOKUP('Données projet'!$B$12,Paramètres!$A$1:$I$89,3,0)*0.475*44/12</f>
        <v>2.1771251939455245E-2</v>
      </c>
      <c r="CN45" s="24">
        <f t="shared" si="12"/>
        <v>5.9966309858494657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10.101538461538457</v>
      </c>
      <c r="CT45" s="13">
        <f>IF('Données projet'!$A$140&gt;35,CT44+CS45-DB44,IF(A45&lt;'Données projet'!$A$140,$CQ$205^A45,IF(A45='Données projet'!$A$140,'Données projet'!$B$140,CT44+CS45-DB44)))</f>
        <v>160.79538461538456</v>
      </c>
      <c r="CU45" s="18">
        <f>CT45*VLOOKUP('Données projet'!$B$13,Paramètres!$A$1:$I$89,3,0)*VLOOKUP('Données projet'!$B$13,Paramètres!$A$1:$I$89,5,0)</f>
        <v>96.155639999999977</v>
      </c>
      <c r="CV45" s="14">
        <f t="shared" si="41"/>
        <v>26.044052689931636</v>
      </c>
      <c r="CW45" s="22">
        <f t="shared" si="13"/>
        <v>212.83113143496419</v>
      </c>
      <c r="CX45" s="60">
        <f t="shared" si="14"/>
        <v>506.16446476829753</v>
      </c>
      <c r="CY45" s="60">
        <f ca="1">AVERAGE(OFFSET($CX$3,0,0,'Données projet'!$E$13+1,1))-AVERAGE(OFFSET($H$3,0,0,'Données projet'!$E$13+1,1))</f>
        <v>232.73140429491525</v>
      </c>
      <c r="CZ45" s="60">
        <f t="shared" si="42"/>
        <v>201.02719152328638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5.7088839591128675</v>
      </c>
      <c r="DH45" s="23">
        <f>EXP(-LN(2)/2)*DH44+(1-EXP(-LN(2)/2))/(LN(2)/2)*DB45*DE45*VLOOKUP('Données projet'!$B$13,Paramètres!$A$1:$I$89,3,0)*0.475*44/12</f>
        <v>4.8106601426916029E-2</v>
      </c>
      <c r="DI45" s="24">
        <f t="shared" si="15"/>
        <v>5.7569905605397835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4.6153846153846159</v>
      </c>
      <c r="DO45" s="13">
        <f>IF('Données projet'!$A$166&gt;35,DO44+DN45-DW44,IF(A45&lt;'Données projet'!$A$166,$DL$205^A45,IF(A45='Données projet'!$A$166,'Données projet'!$B$166,DO44+DN45-DW44)))</f>
        <v>114.99999999999997</v>
      </c>
      <c r="DP45" s="18">
        <f>DO45*VLOOKUP('Données projet'!$B$14,Paramètres!$A$1:$I$89,3,0)*VLOOKUP('Données projet'!$B$14,Paramètres!$A$1:$I$89,5,0)</f>
        <v>109.43399999999997</v>
      </c>
      <c r="DQ45" s="14">
        <f t="shared" si="43"/>
        <v>29.197590546325419</v>
      </c>
      <c r="DR45" s="22">
        <f t="shared" si="16"/>
        <v>241.45002020151671</v>
      </c>
      <c r="DS45" s="60">
        <f t="shared" si="17"/>
        <v>534.78335353484999</v>
      </c>
      <c r="DT45" s="60">
        <f ca="1">AVERAGE(OFFSET($DS$3,0,0,'Données projet'!$E$14+1,1))-AVERAGE(OFFSET($H$3,0,0,'Données projet'!$E$14+1,1))</f>
        <v>302.15577364214136</v>
      </c>
      <c r="DU45" s="60">
        <f t="shared" si="44"/>
        <v>197.15142751137051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6.2820512820512819</v>
      </c>
      <c r="EJ45" s="13">
        <f>IF('Données projet'!$A$192&gt;35,EJ44+EI45-ER44,IF(A45&lt;'Données projet'!$A$192,$EG$205^A45,IF(A45='Données projet'!$A$192,'Données projet'!$B$192,EJ44+EI45-ER44)))</f>
        <v>154.23076923076923</v>
      </c>
      <c r="EK45" s="18">
        <f>EJ45*VLOOKUP('Données projet'!$B$15,Paramètres!$A$1:$I$89,3,0)*VLOOKUP('Données projet'!$B$15,Paramètres!$A$1:$I$89,5,0)</f>
        <v>161.20200000000003</v>
      </c>
      <c r="EL45" s="14">
        <f t="shared" si="45"/>
        <v>41.113511653265036</v>
      </c>
      <c r="EM45" s="22">
        <f t="shared" si="19"/>
        <v>352.36618279610326</v>
      </c>
      <c r="EN45" s="60">
        <f t="shared" si="20"/>
        <v>645.69951612943657</v>
      </c>
      <c r="EO45" s="60">
        <f ca="1">AVERAGE(OFFSET($EN$3,0,0,'Données projet'!$E$15+1,1))-AVERAGE(OFFSET($H$3,0,0,'Données projet'!$E$15+1,1))</f>
        <v>493.70175665335978</v>
      </c>
      <c r="EP45" s="60">
        <f t="shared" si="46"/>
        <v>325.12357781685949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0" t="e">
        <f t="shared" si="23"/>
        <v>#N/A</v>
      </c>
      <c r="FJ45" s="60" t="e">
        <f ca="1">AVERAGE(OFFSET($FI$3,0,0,'Données projet'!$E$16+1,1))-AVERAGE(OFFSET($H$3,0,0,'Données projet'!$E$16+1,1))</f>
        <v>#N/A</v>
      </c>
      <c r="FK45" s="60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0" t="e">
        <f t="shared" si="26"/>
        <v>#N/A</v>
      </c>
      <c r="GE45" s="60" t="e">
        <f ca="1">AVERAGE(OFFSET($GD$3,0,0,'Données projet'!$E$17+1,1))-AVERAGE(OFFSET($H$3,0,0,'Données projet'!$E$17+1,1))</f>
        <v>#N/A</v>
      </c>
      <c r="GF45" s="60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5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8">
        <f t="shared" si="1"/>
        <v>256.66666666666669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13.141346153846158</v>
      </c>
      <c r="N46" s="14">
        <f>IF('Données projet'!$A$36&gt;35,N45+M46-V45,IF(A46&lt;'Données projet'!$A$36,$K$205^A46,IF(A46='Données projet'!$A$36,'Données projet'!$B$36,N45+M46-V45)))</f>
        <v>290.01249999999993</v>
      </c>
      <c r="O46" s="14">
        <f>N46*VLOOKUP('Données projet'!$B$9,Paramètres!$A$1:$I$89,3,0)*VLOOKUP('Données projet'!$B$9,Paramètres!$A$1:$I$89,5,0)</f>
        <v>173.42747499999999</v>
      </c>
      <c r="P46" s="14">
        <f t="shared" si="33"/>
        <v>43.856769901180428</v>
      </c>
      <c r="Q46" s="22">
        <f t="shared" si="53"/>
        <v>378.43672653622252</v>
      </c>
      <c r="R46" s="60">
        <f t="shared" si="0"/>
        <v>671.77005986955578</v>
      </c>
      <c r="S46" s="60">
        <f ca="1">AVERAGE(OFFSET($R$3,0,0,'Données projet'!$E$9+1,1))-AVERAGE(OFFSET($H$3,0,0,'Données projet'!$E$9+1,1))</f>
        <v>260.02504691866199</v>
      </c>
      <c r="T46" s="60">
        <f t="shared" si="34"/>
        <v>270.11268336406368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7.7365860993379316</v>
      </c>
      <c r="AA46" s="23">
        <f>EXP(-LN(2)/25)*AA45+(1-EXP(-LN(2)/25))/(LN(2)/25)*Calculateur!V46*Calculateur!X46*VLOOKUP('Données projet'!$B$9,Paramètres!$A$1:$I$89,3,0)*0.475*44/12</f>
        <v>11.462029562608929</v>
      </c>
      <c r="AB46" s="23">
        <f>EXP(-LN(2)/2)*AB45+(1-EXP(-LN(2)/2))/(LN(2)/2)*V46*Y46*VLOOKUP('Données projet'!$B$9,Paramètres!$A$1:$I$89,3,0)*0.475*44/12</f>
        <v>7.0047334020634816E-2</v>
      </c>
      <c r="AC46" s="24">
        <f t="shared" si="3"/>
        <v>19.268662995967496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141.20000000000005</v>
      </c>
      <c r="AJ46" s="14">
        <f>AI46*VLOOKUP('Données projet'!$B$10,Paramètres!$A$1:$I$89,3,0)*VLOOKUP('Données projet'!$B$10,Paramètres!$A$1:$I$89,5,0)</f>
        <v>143.17680000000004</v>
      </c>
      <c r="AK46" s="14">
        <f t="shared" si="35"/>
        <v>37.023812674521515</v>
      </c>
      <c r="AL46" s="22">
        <f t="shared" si="4"/>
        <v>313.84940040812506</v>
      </c>
      <c r="AM46" s="60">
        <f t="shared" si="5"/>
        <v>607.18273374145838</v>
      </c>
      <c r="AN46" s="60">
        <f ca="1">AVERAGE(OFFSET($AM$3,0,0,'Données projet'!$E$10+1,1))-AVERAGE(OFFSET($H$3,0,0,'Données projet'!$E$10+1,1))</f>
        <v>475.47920969424894</v>
      </c>
      <c r="AO46" s="60">
        <f t="shared" si="36"/>
        <v>271.73544012419364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5.6</v>
      </c>
      <c r="BD46" s="13">
        <f>IF('Données projet'!$A$88&gt;35,BD45+BC46-BL45,IF(A46&lt;'Données projet'!$A$88,$BA$205^A46,IF(A46='Données projet'!$A$88,'Données projet'!$B$88,BD45+BC46-BL45)))</f>
        <v>95.800000000000011</v>
      </c>
      <c r="BE46" s="14">
        <f>BD46*VLOOKUP('Données projet'!$B$11,Paramètres!$A$1:$I$89,3,0)*VLOOKUP('Données projet'!$B$11,Paramètres!$A$1:$I$89,5,0)</f>
        <v>86.679839999999999</v>
      </c>
      <c r="BF46" s="14">
        <f t="shared" si="37"/>
        <v>23.762739053789723</v>
      </c>
      <c r="BG46" s="22">
        <f t="shared" si="7"/>
        <v>192.35415851868379</v>
      </c>
      <c r="BH46" s="60">
        <f t="shared" si="8"/>
        <v>485.6874918520171</v>
      </c>
      <c r="BI46" s="60">
        <f ca="1">AVERAGE(OFFSET($BH$3,0,0,'Données projet'!$E$11+1,1))-AVERAGE(OFFSET($H$3,0,0,'Données projet'!$E$11+1,1))</f>
        <v>325.2649384779973</v>
      </c>
      <c r="BJ46" s="60">
        <f t="shared" si="38"/>
        <v>146.70159365068315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>
        <f>VLOOKUP(A46,'Données projet'!$A$113:$I$133,2,0)</f>
        <v>548</v>
      </c>
      <c r="BW46" s="13">
        <f>VLOOKUP(A46,'Données projet'!$A$113:$I$133,9,0)</f>
        <v>25.2</v>
      </c>
      <c r="BX46" s="13">
        <f t="array" ref="BX46">INDEX(BW:BW,MIN(IF(ISNUMBER(BW46:BW242),ROW(BW46:BW242),"")))</f>
        <v>25.2</v>
      </c>
      <c r="BY46" s="13">
        <f>IF('Données projet'!$A$114&gt;35,BY45+BX46-CG45,IF(A46&lt;'Données projet'!$A$114,$BV$205^A46,IF(A46='Données projet'!$A$114,'Données projet'!$B$114,BY45+BX46-CG45)))</f>
        <v>547.99999999999989</v>
      </c>
      <c r="BZ46" s="14">
        <f>BY46*VLOOKUP('Données projet'!$B$12,Paramètres!$A$1:$I$89,3,0)*VLOOKUP('Données projet'!$B$12,Paramètres!$A$1:$I$89,5,0)</f>
        <v>242.21599999999995</v>
      </c>
      <c r="CA46" s="14">
        <f t="shared" si="39"/>
        <v>58.916058339548016</v>
      </c>
      <c r="CB46" s="22">
        <f t="shared" si="10"/>
        <v>524.47166827471267</v>
      </c>
      <c r="CC46" s="60">
        <f t="shared" si="11"/>
        <v>817.80500160804604</v>
      </c>
      <c r="CD46" s="60">
        <f ca="1">AVERAGE(OFFSET($CC$3,0,0,'Données projet'!$E$12+1,1))-AVERAGE(OFFSET($H$3,0,0,'Données projet'!$E$12+1,1))</f>
        <v>401.84375324751227</v>
      </c>
      <c r="CE46" s="60">
        <f t="shared" si="40"/>
        <v>350.39368043404164</v>
      </c>
      <c r="CF46" s="16">
        <f>IF(ISNA(VLOOKUP(A46,'Données projet'!$A$113:$I$133,3,0)),0,VLOOKUP(A46,'Données projet'!$A$113:$I$133,3,0))</f>
        <v>3</v>
      </c>
      <c r="CG46" s="16">
        <f>IF(ISNA(VLOOKUP(A46,'Données projet'!$A$113:$I$133,4,0)),0,VLOOKUP(A46,'Données projet'!$A$113:$I$133,4,0))</f>
        <v>126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5.8114768802820231</v>
      </c>
      <c r="CM46" s="23">
        <f>EXP(-LN(2)/2)*CM45+(1-EXP(-LN(2)/2))/(LN(2)/2)*CG46*CJ46*VLOOKUP('Données projet'!$B$12,Paramètres!$A$1:$I$89,3,0)*0.475*44/12</f>
        <v>1.5394599881309579E-2</v>
      </c>
      <c r="CN46" s="24">
        <f t="shared" si="12"/>
        <v>5.8268714801633328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10.101538461538457</v>
      </c>
      <c r="CT46" s="13">
        <f>IF('Données projet'!$A$140&gt;35,CT45+CS46-DB45,IF(A46&lt;'Données projet'!$A$140,$CQ$205^A46,IF(A46='Données projet'!$A$140,'Données projet'!$B$140,CT45+CS46-DB45)))</f>
        <v>170.89692307692303</v>
      </c>
      <c r="CU46" s="18">
        <f>CT46*VLOOKUP('Données projet'!$B$13,Paramètres!$A$1:$I$89,3,0)*VLOOKUP('Données projet'!$B$13,Paramètres!$A$1:$I$89,5,0)</f>
        <v>102.19635999999997</v>
      </c>
      <c r="CV46" s="14">
        <f t="shared" si="41"/>
        <v>27.484586571519078</v>
      </c>
      <c r="CW46" s="22">
        <f t="shared" si="13"/>
        <v>225.86098194539568</v>
      </c>
      <c r="CX46" s="60">
        <f t="shared" si="14"/>
        <v>519.19431527872894</v>
      </c>
      <c r="CY46" s="60">
        <f ca="1">AVERAGE(OFFSET($CX$3,0,0,'Données projet'!$E$13+1,1))-AVERAGE(OFFSET($H$3,0,0,'Données projet'!$E$13+1,1))</f>
        <v>232.73140429491525</v>
      </c>
      <c r="CZ46" s="60">
        <f t="shared" si="42"/>
        <v>201.02719152328638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5.5527742270337663</v>
      </c>
      <c r="DH46" s="23">
        <f>EXP(-LN(2)/2)*DH45+(1-EXP(-LN(2)/2))/(LN(2)/2)*DB46*DE46*VLOOKUP('Données projet'!$B$13,Paramètres!$A$1:$I$89,3,0)*0.475*44/12</f>
        <v>3.4016504088810767E-2</v>
      </c>
      <c r="DI46" s="24">
        <f t="shared" si="15"/>
        <v>5.5867907311225773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4.6153846153846159</v>
      </c>
      <c r="DO46" s="13">
        <f>IF('Données projet'!$A$166&gt;35,DO45+DN46-DW45,IF(A46&lt;'Données projet'!$A$166,$DL$205^A46,IF(A46='Données projet'!$A$166,'Données projet'!$B$166,DO45+DN46-DW45)))</f>
        <v>119.61538461538458</v>
      </c>
      <c r="DP46" s="18">
        <f>DO46*VLOOKUP('Données projet'!$B$14,Paramètres!$A$1:$I$89,3,0)*VLOOKUP('Données projet'!$B$14,Paramètres!$A$1:$I$89,5,0)</f>
        <v>113.82599999999996</v>
      </c>
      <c r="DQ46" s="14">
        <f t="shared" si="43"/>
        <v>30.230618430354596</v>
      </c>
      <c r="DR46" s="22">
        <f t="shared" si="16"/>
        <v>250.89861043286749</v>
      </c>
      <c r="DS46" s="60">
        <f t="shared" si="17"/>
        <v>544.23194376620086</v>
      </c>
      <c r="DT46" s="60">
        <f ca="1">AVERAGE(OFFSET($DS$3,0,0,'Données projet'!$E$14+1,1))-AVERAGE(OFFSET($H$3,0,0,'Données projet'!$E$14+1,1))</f>
        <v>302.15577364214136</v>
      </c>
      <c r="DU46" s="60">
        <f t="shared" si="44"/>
        <v>197.15142751137051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6.2820512820512819</v>
      </c>
      <c r="EJ46" s="13">
        <f>IF('Données projet'!$A$192&gt;35,EJ45+EI46-ER45,IF(A46&lt;'Données projet'!$A$192,$EG$205^A46,IF(A46='Données projet'!$A$192,'Données projet'!$B$192,EJ45+EI46-ER45)))</f>
        <v>160.5128205128205</v>
      </c>
      <c r="EK46" s="18">
        <f>EJ46*VLOOKUP('Données projet'!$B$15,Paramètres!$A$1:$I$89,3,0)*VLOOKUP('Données projet'!$B$15,Paramètres!$A$1:$I$89,5,0)</f>
        <v>167.768</v>
      </c>
      <c r="EL46" s="14">
        <f t="shared" si="45"/>
        <v>42.589745970134487</v>
      </c>
      <c r="EM46" s="22">
        <f t="shared" si="19"/>
        <v>366.37307423131756</v>
      </c>
      <c r="EN46" s="60">
        <f t="shared" si="20"/>
        <v>659.70640756465082</v>
      </c>
      <c r="EO46" s="60">
        <f ca="1">AVERAGE(OFFSET($EN$3,0,0,'Données projet'!$E$15+1,1))-AVERAGE(OFFSET($H$3,0,0,'Données projet'!$E$15+1,1))</f>
        <v>493.70175665335978</v>
      </c>
      <c r="EP46" s="60">
        <f t="shared" si="46"/>
        <v>325.12357781685949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0" t="e">
        <f t="shared" si="23"/>
        <v>#N/A</v>
      </c>
      <c r="FJ46" s="60" t="e">
        <f ca="1">AVERAGE(OFFSET($FI$3,0,0,'Données projet'!$E$16+1,1))-AVERAGE(OFFSET($H$3,0,0,'Données projet'!$E$16+1,1))</f>
        <v>#N/A</v>
      </c>
      <c r="FK46" s="60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0" t="e">
        <f t="shared" si="26"/>
        <v>#N/A</v>
      </c>
      <c r="GE46" s="60" t="e">
        <f ca="1">AVERAGE(OFFSET($GD$3,0,0,'Données projet'!$E$17+1,1))-AVERAGE(OFFSET($H$3,0,0,'Données projet'!$E$17+1,1))</f>
        <v>#N/A</v>
      </c>
      <c r="GF46" s="60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5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8">
        <f t="shared" si="1"/>
        <v>256.66666666666669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>
        <f>VLOOKUP(A47,'Données projet'!$A$35:$I$55,2,0)</f>
        <v>303.15384615384619</v>
      </c>
      <c r="L47" s="13">
        <f>VLOOKUP(A47,'Données projet'!$A$35:$I$55,9,0)</f>
        <v>13.141346153846158</v>
      </c>
      <c r="M47" s="13">
        <f t="array" ref="M47">INDEX(L:L,MIN(IF(ISNUMBER(L47:L243),ROW(L47:L243),"")))</f>
        <v>13.141346153846158</v>
      </c>
      <c r="N47" s="14">
        <f>IF('Données projet'!$A$36&gt;35,N46+M47-V46,IF(A47&lt;'Données projet'!$A$36,$K$205^A47,IF(A47='Données projet'!$A$36,'Données projet'!$B$36,N46+M47-V46)))</f>
        <v>303.15384615384608</v>
      </c>
      <c r="O47" s="14">
        <f>N47*VLOOKUP('Données projet'!$B$9,Paramètres!$A$1:$I$89,3,0)*VLOOKUP('Données projet'!$B$9,Paramètres!$A$1:$I$89,5,0)</f>
        <v>181.28599999999997</v>
      </c>
      <c r="P47" s="14">
        <f t="shared" si="33"/>
        <v>45.608178821536583</v>
      </c>
      <c r="Q47" s="22">
        <f t="shared" si="53"/>
        <v>395.17402811417611</v>
      </c>
      <c r="R47" s="60">
        <f t="shared" si="0"/>
        <v>688.50736144750942</v>
      </c>
      <c r="S47" s="60">
        <f ca="1">AVERAGE(OFFSET($R$3,0,0,'Données projet'!$E$9+1,1))-AVERAGE(OFFSET($H$3,0,0,'Données projet'!$E$9+1,1))</f>
        <v>260.02504691866199</v>
      </c>
      <c r="T47" s="60">
        <f t="shared" si="34"/>
        <v>270.11268336406368</v>
      </c>
      <c r="U47" s="16">
        <f>IF(ISNA(VLOOKUP(A47,'Données projet'!$A$35:$I$55,3,0)),0,VLOOKUP(A47,'Données projet'!$A$35:$I$55,3,0))</f>
        <v>5</v>
      </c>
      <c r="V47" s="16">
        <f>IF(ISNA(VLOOKUP(A47,'Données projet'!$A$35:$I$55,4,0)),0,VLOOKUP(A47,'Données projet'!$A$35:$I$55,4,0))</f>
        <v>64.476923076923114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7.5848763647814872</v>
      </c>
      <c r="AA47" s="23">
        <f>EXP(-LN(2)/25)*AA46+(1-EXP(-LN(2)/25))/(LN(2)/25)*Calculateur!V47*Calculateur!X47*VLOOKUP('Données projet'!$B$9,Paramètres!$A$1:$I$89,3,0)*0.475*44/12</f>
        <v>11.148599761457451</v>
      </c>
      <c r="AB47" s="23">
        <f>EXP(-LN(2)/2)*AB46+(1-EXP(-LN(2)/2))/(LN(2)/2)*V47*Y47*VLOOKUP('Données projet'!$B$9,Paramètres!$A$1:$I$89,3,0)*0.475*44/12</f>
        <v>4.9530944890030029E-2</v>
      </c>
      <c r="AC47" s="24">
        <f t="shared" si="3"/>
        <v>18.783007071128967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149.60000000000005</v>
      </c>
      <c r="AJ47" s="14">
        <f>AI47*VLOOKUP('Données projet'!$B$10,Paramètres!$A$1:$I$89,3,0)*VLOOKUP('Données projet'!$B$10,Paramètres!$A$1:$I$89,5,0)</f>
        <v>151.69440000000006</v>
      </c>
      <c r="AK47" s="14">
        <f t="shared" si="35"/>
        <v>38.963392010880654</v>
      </c>
      <c r="AL47" s="22">
        <f t="shared" si="4"/>
        <v>332.06232108561721</v>
      </c>
      <c r="AM47" s="60">
        <f t="shared" si="5"/>
        <v>625.39565441895047</v>
      </c>
      <c r="AN47" s="60">
        <f ca="1">AVERAGE(OFFSET($AM$3,0,0,'Données projet'!$E$10+1,1))-AVERAGE(OFFSET($H$3,0,0,'Données projet'!$E$10+1,1))</f>
        <v>475.47920969424894</v>
      </c>
      <c r="AO47" s="60">
        <f t="shared" si="36"/>
        <v>271.73544012419364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5.6</v>
      </c>
      <c r="BD47" s="13">
        <f>IF('Données projet'!$A$88&gt;35,BD46+BC47-BL46,IF(A47&lt;'Données projet'!$A$88,$BA$205^A47,IF(A47='Données projet'!$A$88,'Données projet'!$B$88,BD46+BC47-BL46)))</f>
        <v>101.4</v>
      </c>
      <c r="BE47" s="14">
        <f>BD47*VLOOKUP('Données projet'!$B$11,Paramètres!$A$1:$I$89,3,0)*VLOOKUP('Données projet'!$B$11,Paramètres!$A$1:$I$89,5,0)</f>
        <v>91.746719999999996</v>
      </c>
      <c r="BF47" s="14">
        <f t="shared" si="37"/>
        <v>24.986019358738364</v>
      </c>
      <c r="BG47" s="22">
        <f t="shared" si="7"/>
        <v>203.30952104980261</v>
      </c>
      <c r="BH47" s="60">
        <f t="shared" si="8"/>
        <v>496.64285438313595</v>
      </c>
      <c r="BI47" s="60">
        <f ca="1">AVERAGE(OFFSET($BH$3,0,0,'Données projet'!$E$11+1,1))-AVERAGE(OFFSET($H$3,0,0,'Données projet'!$E$11+1,1))</f>
        <v>325.2649384779973</v>
      </c>
      <c r="BJ47" s="60">
        <f t="shared" si="38"/>
        <v>146.70159365068315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23</v>
      </c>
      <c r="BY47" s="13">
        <f>IF('Données projet'!$A$114&gt;35,BY46+BX47-CG46,IF(A47&lt;'Données projet'!$A$114,$BV$205^A47,IF(A47='Données projet'!$A$114,'Données projet'!$B$114,BY46+BX47-CG46)))</f>
        <v>444.99999999999989</v>
      </c>
      <c r="BZ47" s="14">
        <f>BY47*VLOOKUP('Données projet'!$B$12,Paramètres!$A$1:$I$89,3,0)*VLOOKUP('Données projet'!$B$12,Paramètres!$A$1:$I$89,5,0)</f>
        <v>196.69</v>
      </c>
      <c r="CA47" s="14">
        <f t="shared" si="39"/>
        <v>49.016024880232543</v>
      </c>
      <c r="CB47" s="22">
        <f t="shared" si="10"/>
        <v>427.93799333307169</v>
      </c>
      <c r="CC47" s="60">
        <f t="shared" si="11"/>
        <v>721.271326666405</v>
      </c>
      <c r="CD47" s="60">
        <f ca="1">AVERAGE(OFFSET($CC$3,0,0,'Données projet'!$E$12+1,1))-AVERAGE(OFFSET($H$3,0,0,'Données projet'!$E$12+1,1))</f>
        <v>401.84375324751227</v>
      </c>
      <c r="CE47" s="60">
        <f t="shared" si="40"/>
        <v>350.39368043404164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5.6525617393784247</v>
      </c>
      <c r="CM47" s="23">
        <f>EXP(-LN(2)/2)*CM46+(1-EXP(-LN(2)/2))/(LN(2)/2)*CG47*CJ47*VLOOKUP('Données projet'!$B$12,Paramètres!$A$1:$I$89,3,0)*0.475*44/12</f>
        <v>1.0885625969727624E-2</v>
      </c>
      <c r="CN47" s="24">
        <f t="shared" si="12"/>
        <v>5.6634473653481523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10.101538461538457</v>
      </c>
      <c r="CT47" s="13">
        <f>IF('Données projet'!$A$140&gt;35,CT46+CS47-DB46,IF(A47&lt;'Données projet'!$A$140,$CQ$205^A47,IF(A47='Données projet'!$A$140,'Données projet'!$B$140,CT46+CS47-DB46)))</f>
        <v>180.9984615384615</v>
      </c>
      <c r="CU47" s="18">
        <f>CT47*VLOOKUP('Données projet'!$B$13,Paramètres!$A$1:$I$89,3,0)*VLOOKUP('Données projet'!$B$13,Paramètres!$A$1:$I$89,5,0)</f>
        <v>108.23707999999998</v>
      </c>
      <c r="CV47" s="14">
        <f t="shared" si="41"/>
        <v>28.915237117108482</v>
      </c>
      <c r="CW47" s="22">
        <f t="shared" si="13"/>
        <v>238.87361897896383</v>
      </c>
      <c r="CX47" s="60">
        <f t="shared" si="14"/>
        <v>532.20695231229718</v>
      </c>
      <c r="CY47" s="60">
        <f ca="1">AVERAGE(OFFSET($CX$3,0,0,'Données projet'!$E$13+1,1))-AVERAGE(OFFSET($H$3,0,0,'Données projet'!$E$13+1,1))</f>
        <v>232.73140429491525</v>
      </c>
      <c r="CZ47" s="60">
        <f t="shared" si="42"/>
        <v>201.02719152328638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5.4009333237878225</v>
      </c>
      <c r="DH47" s="23">
        <f>EXP(-LN(2)/2)*DH46+(1-EXP(-LN(2)/2))/(LN(2)/2)*DB47*DE47*VLOOKUP('Données projet'!$B$13,Paramètres!$A$1:$I$89,3,0)*0.475*44/12</f>
        <v>2.4053300713458015E-2</v>
      </c>
      <c r="DI47" s="24">
        <f t="shared" si="15"/>
        <v>5.4249866245012806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4.6153846153846159</v>
      </c>
      <c r="DO47" s="13">
        <f>IF('Données projet'!$A$166&gt;35,DO46+DN47-DW46,IF(A47&lt;'Données projet'!$A$166,$DL$205^A47,IF(A47='Données projet'!$A$166,'Données projet'!$B$166,DO46+DN47-DW46)))</f>
        <v>124.2307692307692</v>
      </c>
      <c r="DP47" s="18">
        <f>DO47*VLOOKUP('Données projet'!$B$14,Paramètres!$A$1:$I$89,3,0)*VLOOKUP('Données projet'!$B$14,Paramètres!$A$1:$I$89,5,0)</f>
        <v>118.21799999999998</v>
      </c>
      <c r="DQ47" s="14">
        <f t="shared" si="43"/>
        <v>31.259015847254158</v>
      </c>
      <c r="DR47" s="22">
        <f t="shared" si="16"/>
        <v>260.33913593396761</v>
      </c>
      <c r="DS47" s="60">
        <f t="shared" si="17"/>
        <v>553.67246926730093</v>
      </c>
      <c r="DT47" s="60">
        <f ca="1">AVERAGE(OFFSET($DS$3,0,0,'Données projet'!$E$14+1,1))-AVERAGE(OFFSET($H$3,0,0,'Données projet'!$E$14+1,1))</f>
        <v>302.15577364214136</v>
      </c>
      <c r="DU47" s="60">
        <f t="shared" si="44"/>
        <v>197.15142751137051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6.2820512820512819</v>
      </c>
      <c r="EJ47" s="13">
        <f>IF('Données projet'!$A$192&gt;35,EJ46+EI47-ER46,IF(A47&lt;'Données projet'!$A$192,$EG$205^A47,IF(A47='Données projet'!$A$192,'Données projet'!$B$192,EJ46+EI47-ER46)))</f>
        <v>166.79487179487177</v>
      </c>
      <c r="EK47" s="18">
        <f>EJ47*VLOOKUP('Données projet'!$B$15,Paramètres!$A$1:$I$89,3,0)*VLOOKUP('Données projet'!$B$15,Paramètres!$A$1:$I$89,5,0)</f>
        <v>174.334</v>
      </c>
      <c r="EL47" s="14">
        <f t="shared" si="45"/>
        <v>44.059268652696204</v>
      </c>
      <c r="EM47" s="22">
        <f t="shared" si="19"/>
        <v>380.3682762367792</v>
      </c>
      <c r="EN47" s="60">
        <f t="shared" si="20"/>
        <v>673.70160957011251</v>
      </c>
      <c r="EO47" s="60">
        <f ca="1">AVERAGE(OFFSET($EN$3,0,0,'Données projet'!$E$15+1,1))-AVERAGE(OFFSET($H$3,0,0,'Données projet'!$E$15+1,1))</f>
        <v>493.70175665335978</v>
      </c>
      <c r="EP47" s="60">
        <f t="shared" si="46"/>
        <v>325.12357781685949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0" t="e">
        <f t="shared" si="23"/>
        <v>#N/A</v>
      </c>
      <c r="FJ47" s="60" t="e">
        <f ca="1">AVERAGE(OFFSET($FI$3,0,0,'Données projet'!$E$16+1,1))-AVERAGE(OFFSET($H$3,0,0,'Données projet'!$E$16+1,1))</f>
        <v>#N/A</v>
      </c>
      <c r="FK47" s="60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0" t="e">
        <f t="shared" si="26"/>
        <v>#N/A</v>
      </c>
      <c r="GE47" s="60" t="e">
        <f ca="1">AVERAGE(OFFSET($GD$3,0,0,'Données projet'!$E$17+1,1))-AVERAGE(OFFSET($H$3,0,0,'Données projet'!$E$17+1,1))</f>
        <v>#N/A</v>
      </c>
      <c r="GF47" s="60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5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8">
        <f t="shared" si="1"/>
        <v>256.66666666666669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11.611538461538466</v>
      </c>
      <c r="N48" s="14">
        <f>IF('Données projet'!$A$36&gt;35,N47+M48-V47,IF(A48&lt;'Données projet'!$A$36,$K$205^A48,IF(A48='Données projet'!$A$36,'Données projet'!$B$36,N47+M48-V47)))</f>
        <v>250.28846153846143</v>
      </c>
      <c r="O48" s="14">
        <f>N48*VLOOKUP('Données projet'!$B$9,Paramètres!$A$1:$I$89,3,0)*VLOOKUP('Données projet'!$B$9,Paramètres!$A$1:$I$89,5,0)</f>
        <v>149.67249999999996</v>
      </c>
      <c r="P48" s="14">
        <f t="shared" si="33"/>
        <v>38.504150605716987</v>
      </c>
      <c r="Q48" s="22">
        <f t="shared" si="53"/>
        <v>327.74099980495697</v>
      </c>
      <c r="R48" s="60">
        <f t="shared" si="0"/>
        <v>621.07433313829029</v>
      </c>
      <c r="S48" s="60">
        <f ca="1">AVERAGE(OFFSET($R$3,0,0,'Données projet'!$E$9+1,1))-AVERAGE(OFFSET($H$3,0,0,'Données projet'!$E$9+1,1))</f>
        <v>260.02504691866199</v>
      </c>
      <c r="T48" s="60">
        <f t="shared" si="34"/>
        <v>270.11268336406368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7.4361415655858938</v>
      </c>
      <c r="AA48" s="23">
        <f>EXP(-LN(2)/25)*AA47+(1-EXP(-LN(2)/25))/(LN(2)/25)*Calculateur!V48*Calculateur!X48*VLOOKUP('Données projet'!$B$9,Paramètres!$A$1:$I$89,3,0)*0.475*44/12</f>
        <v>10.843740714701015</v>
      </c>
      <c r="AB48" s="23">
        <f>EXP(-LN(2)/2)*AB47+(1-EXP(-LN(2)/2))/(LN(2)/2)*V48*Y48*VLOOKUP('Données projet'!$B$9,Paramètres!$A$1:$I$89,3,0)*0.475*44/12</f>
        <v>3.5023667010317408E-2</v>
      </c>
      <c r="AC48" s="24">
        <f t="shared" si="3"/>
        <v>18.314905947297227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158.00000000000006</v>
      </c>
      <c r="AJ48" s="14">
        <f>AI48*VLOOKUP('Données projet'!$B$10,Paramètres!$A$1:$I$89,3,0)*VLOOKUP('Données projet'!$B$10,Paramètres!$A$1:$I$89,5,0)</f>
        <v>160.21200000000007</v>
      </c>
      <c r="AK48" s="14">
        <f t="shared" si="35"/>
        <v>40.890328912852731</v>
      </c>
      <c r="AL48" s="22">
        <f t="shared" si="4"/>
        <v>350.25322285655193</v>
      </c>
      <c r="AM48" s="60">
        <f t="shared" si="5"/>
        <v>643.58655618988519</v>
      </c>
      <c r="AN48" s="60">
        <f ca="1">AVERAGE(OFFSET($AM$3,0,0,'Données projet'!$E$10+1,1))-AVERAGE(OFFSET($H$3,0,0,'Données projet'!$E$10+1,1))</f>
        <v>475.47920969424894</v>
      </c>
      <c r="AO48" s="60">
        <f t="shared" si="36"/>
        <v>271.73544012419364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5.6</v>
      </c>
      <c r="BD48" s="13">
        <f>IF('Données projet'!$A$88&gt;35,BD47+BC48-BL47,IF(A48&lt;'Données projet'!$A$88,$BA$205^A48,IF(A48='Données projet'!$A$88,'Données projet'!$B$88,BD47+BC48-BL47)))</f>
        <v>107</v>
      </c>
      <c r="BE48" s="14">
        <f>BD48*VLOOKUP('Données projet'!$B$11,Paramètres!$A$1:$I$89,3,0)*VLOOKUP('Données projet'!$B$11,Paramètres!$A$1:$I$89,5,0)</f>
        <v>96.813599999999994</v>
      </c>
      <c r="BF48" s="14">
        <f t="shared" si="37"/>
        <v>26.201456938925336</v>
      </c>
      <c r="BG48" s="22">
        <f t="shared" si="7"/>
        <v>214.25122416862826</v>
      </c>
      <c r="BH48" s="60">
        <f t="shared" si="8"/>
        <v>507.58455750196157</v>
      </c>
      <c r="BI48" s="60">
        <f ca="1">AVERAGE(OFFSET($BH$3,0,0,'Données projet'!$E$11+1,1))-AVERAGE(OFFSET($H$3,0,0,'Données projet'!$E$11+1,1))</f>
        <v>325.2649384779973</v>
      </c>
      <c r="BJ48" s="60">
        <f t="shared" si="38"/>
        <v>146.70159365068315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23</v>
      </c>
      <c r="BY48" s="13">
        <f>IF('Données projet'!$A$114&gt;35,BY47+BX48-CG47,IF(A48&lt;'Données projet'!$A$114,$BV$205^A48,IF(A48='Données projet'!$A$114,'Données projet'!$B$114,BY47+BX48-CG47)))</f>
        <v>467.99999999999989</v>
      </c>
      <c r="BZ48" s="14">
        <f>BY48*VLOOKUP('Données projet'!$B$12,Paramètres!$A$1:$I$89,3,0)*VLOOKUP('Données projet'!$B$12,Paramètres!$A$1:$I$89,5,0)</f>
        <v>206.85599999999997</v>
      </c>
      <c r="CA48" s="14">
        <f t="shared" si="39"/>
        <v>51.247940588293027</v>
      </c>
      <c r="CB48" s="22">
        <f t="shared" si="10"/>
        <v>449.53102985794357</v>
      </c>
      <c r="CC48" s="60">
        <f t="shared" si="11"/>
        <v>742.86436319127688</v>
      </c>
      <c r="CD48" s="60">
        <f ca="1">AVERAGE(OFFSET($CC$3,0,0,'Données projet'!$E$12+1,1))-AVERAGE(OFFSET($H$3,0,0,'Données projet'!$E$12+1,1))</f>
        <v>401.84375324751227</v>
      </c>
      <c r="CE48" s="60">
        <f t="shared" si="40"/>
        <v>350.39368043404164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5.497992141359819</v>
      </c>
      <c r="CM48" s="23">
        <f>EXP(-LN(2)/2)*CM47+(1-EXP(-LN(2)/2))/(LN(2)/2)*CG48*CJ48*VLOOKUP('Données projet'!$B$12,Paramètres!$A$1:$I$89,3,0)*0.475*44/12</f>
        <v>7.6972999406547905E-3</v>
      </c>
      <c r="CN48" s="24">
        <f t="shared" si="12"/>
        <v>5.5056894413004738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10.101538461538457</v>
      </c>
      <c r="CT48" s="13">
        <f>IF('Données projet'!$A$140&gt;35,CT47+CS48-DB47,IF(A48&lt;'Données projet'!$A$140,$CQ$205^A48,IF(A48='Données projet'!$A$140,'Données projet'!$B$140,CT47+CS48-DB47)))</f>
        <v>191.09999999999997</v>
      </c>
      <c r="CU48" s="18">
        <f>CT48*VLOOKUP('Données projet'!$B$13,Paramètres!$A$1:$I$89,3,0)*VLOOKUP('Données projet'!$B$13,Paramètres!$A$1:$I$89,5,0)</f>
        <v>114.2778</v>
      </c>
      <c r="CV48" s="14">
        <f t="shared" si="41"/>
        <v>30.336618780948807</v>
      </c>
      <c r="CW48" s="22">
        <f t="shared" si="13"/>
        <v>251.87011271015248</v>
      </c>
      <c r="CX48" s="60">
        <f t="shared" si="14"/>
        <v>545.20344604348577</v>
      </c>
      <c r="CY48" s="60">
        <f ca="1">AVERAGE(OFFSET($CX$3,0,0,'Données projet'!$E$13+1,1))-AVERAGE(OFFSET($H$3,0,0,'Données projet'!$E$13+1,1))</f>
        <v>232.73140429491525</v>
      </c>
      <c r="CZ48" s="60">
        <f t="shared" si="42"/>
        <v>201.02719152328638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5.2532445180261051</v>
      </c>
      <c r="DH48" s="23">
        <f>EXP(-LN(2)/2)*DH47+(1-EXP(-LN(2)/2))/(LN(2)/2)*DB48*DE48*VLOOKUP('Données projet'!$B$13,Paramètres!$A$1:$I$89,3,0)*0.475*44/12</f>
        <v>1.7008252044405384E-2</v>
      </c>
      <c r="DI48" s="24">
        <f t="shared" si="15"/>
        <v>5.2702527700705106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128.84615384615384</v>
      </c>
      <c r="DM48" s="13">
        <f>VLOOKUP(A48,'Données projet'!$A$165:$I$185,9,0)</f>
        <v>4.6153846153846159</v>
      </c>
      <c r="DN48" s="13">
        <f t="array" ref="DN48">INDEX(DM:DM,MIN(IF(ISNUMBER(DM48:DM244),ROW(DM48:DM244),"")))</f>
        <v>4.6153846153846159</v>
      </c>
      <c r="DO48" s="13">
        <f>IF('Données projet'!$A$166&gt;35,DO47+DN48-DW47,IF(A48&lt;'Données projet'!$A$166,$DL$205^A48,IF(A48='Données projet'!$A$166,'Données projet'!$B$166,DO47+DN48-DW47)))</f>
        <v>128.84615384615381</v>
      </c>
      <c r="DP48" s="18">
        <f>DO48*VLOOKUP('Données projet'!$B$14,Paramètres!$A$1:$I$89,3,0)*VLOOKUP('Données projet'!$B$14,Paramètres!$A$1:$I$89,5,0)</f>
        <v>122.60999999999997</v>
      </c>
      <c r="DQ48" s="14">
        <f t="shared" si="43"/>
        <v>32.282974526111182</v>
      </c>
      <c r="DR48" s="22">
        <f t="shared" si="16"/>
        <v>269.77193063297688</v>
      </c>
      <c r="DS48" s="60">
        <f t="shared" si="17"/>
        <v>563.10526396631019</v>
      </c>
      <c r="DT48" s="60">
        <f ca="1">AVERAGE(OFFSET($DS$3,0,0,'Données projet'!$E$14+1,1))-AVERAGE(OFFSET($H$3,0,0,'Données projet'!$E$14+1,1))</f>
        <v>302.15577364214136</v>
      </c>
      <c r="DU48" s="60">
        <f t="shared" si="44"/>
        <v>197.15142751137051</v>
      </c>
      <c r="DV48" s="16">
        <f>IF(ISNA(VLOOKUP(A48,'Données projet'!$A$165:$I$185,3,0)),0,VLOOKUP(A48,'Données projet'!$A$165:$I$185,3,0))</f>
        <v>3</v>
      </c>
      <c r="DW48" s="16">
        <f>IF(ISNA(VLOOKUP(A48,'Données projet'!$A$165:$I$185,4,0)),0,VLOOKUP(A48,'Données projet'!$A$165:$I$185,4,0))</f>
        <v>22.435897435897434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173.07692307692307</v>
      </c>
      <c r="EH48" s="13">
        <f>VLOOKUP(A48,'Données projet'!$A$191:$I$211,9,0)</f>
        <v>6.2820512820512819</v>
      </c>
      <c r="EI48" s="13">
        <f t="array" ref="EI48">INDEX(EH:EH,MIN(IF(ISNUMBER(EH48:EH244),ROW(EH48:EH244),"")))</f>
        <v>6.2820512820512819</v>
      </c>
      <c r="EJ48" s="13">
        <f>IF('Données projet'!$A$192&gt;35,EJ47+EI48-ER47,IF(A48&lt;'Données projet'!$A$192,$EG$205^A48,IF(A48='Données projet'!$A$192,'Données projet'!$B$192,EJ47+EI48-ER47)))</f>
        <v>173.07692307692304</v>
      </c>
      <c r="EK48" s="18">
        <f>EJ48*VLOOKUP('Données projet'!$B$15,Paramètres!$A$1:$I$89,3,0)*VLOOKUP('Données projet'!$B$15,Paramètres!$A$1:$I$89,5,0)</f>
        <v>180.89999999999998</v>
      </c>
      <c r="EL48" s="14">
        <f t="shared" si="45"/>
        <v>45.522361425254346</v>
      </c>
      <c r="EM48" s="22">
        <f t="shared" si="19"/>
        <v>394.35227948231795</v>
      </c>
      <c r="EN48" s="60">
        <f t="shared" si="20"/>
        <v>687.68561281565121</v>
      </c>
      <c r="EO48" s="60">
        <f ca="1">AVERAGE(OFFSET($EN$3,0,0,'Données projet'!$E$15+1,1))-AVERAGE(OFFSET($H$3,0,0,'Données projet'!$E$15+1,1))</f>
        <v>493.70175665335978</v>
      </c>
      <c r="EP48" s="60">
        <f t="shared" si="46"/>
        <v>325.12357781685949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0" t="e">
        <f t="shared" si="23"/>
        <v>#N/A</v>
      </c>
      <c r="FJ48" s="60" t="e">
        <f ca="1">AVERAGE(OFFSET($FI$3,0,0,'Données projet'!$E$16+1,1))-AVERAGE(OFFSET($H$3,0,0,'Données projet'!$E$16+1,1))</f>
        <v>#N/A</v>
      </c>
      <c r="FK48" s="60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0" t="e">
        <f t="shared" si="26"/>
        <v>#N/A</v>
      </c>
      <c r="GE48" s="60" t="e">
        <f ca="1">AVERAGE(OFFSET($GD$3,0,0,'Données projet'!$E$17+1,1))-AVERAGE(OFFSET($H$3,0,0,'Données projet'!$E$17+1,1))</f>
        <v>#N/A</v>
      </c>
      <c r="GF48" s="60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5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8">
        <f t="shared" si="1"/>
        <v>256.66666666666669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11.611538461538466</v>
      </c>
      <c r="N49" s="14">
        <f>IF('Données projet'!$A$36&gt;35,N48+M49-V48,IF(A49&lt;'Données projet'!$A$36,$K$205^A49,IF(A49='Données projet'!$A$36,'Données projet'!$B$36,N48+M49-V48)))</f>
        <v>261.89999999999992</v>
      </c>
      <c r="O49" s="14">
        <f>N49*VLOOKUP('Données projet'!$B$9,Paramètres!$A$1:$I$89,3,0)*VLOOKUP('Données projet'!$B$9,Paramètres!$A$1:$I$89,5,0)</f>
        <v>156.61619999999996</v>
      </c>
      <c r="P49" s="14">
        <f t="shared" si="33"/>
        <v>40.07834297246675</v>
      </c>
      <c r="Q49" s="22">
        <f t="shared" si="53"/>
        <v>342.57632901037942</v>
      </c>
      <c r="R49" s="60">
        <f t="shared" si="0"/>
        <v>635.90966234371274</v>
      </c>
      <c r="S49" s="60">
        <f ca="1">AVERAGE(OFFSET($R$3,0,0,'Données projet'!$E$9+1,1))-AVERAGE(OFFSET($H$3,0,0,'Données projet'!$E$9+1,1))</f>
        <v>260.02504691866199</v>
      </c>
      <c r="T49" s="60">
        <f t="shared" si="34"/>
        <v>270.11268336406368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7.290323365083256</v>
      </c>
      <c r="AA49" s="23">
        <f>EXP(-LN(2)/25)*AA48+(1-EXP(-LN(2)/25))/(LN(2)/25)*Calculateur!V49*Calculateur!X49*VLOOKUP('Données projet'!$B$9,Paramètres!$A$1:$I$89,3,0)*0.475*44/12</f>
        <v>10.547218054609976</v>
      </c>
      <c r="AB49" s="23">
        <f>EXP(-LN(2)/2)*AB48+(1-EXP(-LN(2)/2))/(LN(2)/2)*V49*Y49*VLOOKUP('Données projet'!$B$9,Paramètres!$A$1:$I$89,3,0)*0.475*44/12</f>
        <v>2.4765472445015015E-2</v>
      </c>
      <c r="AC49" s="24">
        <f t="shared" si="3"/>
        <v>17.862306892138246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8.1999999999999993</v>
      </c>
      <c r="AI49" s="14">
        <f>IF('Données projet'!$A$62&gt;35,AI48+AH49-AQ48,IF(A49&lt;'Données projet'!$A$62,$AF$205^A49,IF(A49='Données projet'!$A$62,'Données projet'!$B$62,AI48+AH49-AQ48)))</f>
        <v>166.20000000000005</v>
      </c>
      <c r="AJ49" s="14">
        <f>AI49*VLOOKUP('Données projet'!$B$10,Paramètres!$A$1:$I$89,3,0)*VLOOKUP('Données projet'!$B$10,Paramètres!$A$1:$I$89,5,0)</f>
        <v>168.52680000000007</v>
      </c>
      <c r="AK49" s="14">
        <f t="shared" si="35"/>
        <v>42.759908842532369</v>
      </c>
      <c r="AL49" s="22">
        <f t="shared" si="4"/>
        <v>367.991017900744</v>
      </c>
      <c r="AM49" s="60">
        <f t="shared" si="5"/>
        <v>661.32435123407731</v>
      </c>
      <c r="AN49" s="60">
        <f ca="1">AVERAGE(OFFSET($AM$3,0,0,'Données projet'!$E$10+1,1))-AVERAGE(OFFSET($H$3,0,0,'Données projet'!$E$10+1,1))</f>
        <v>475.47920969424894</v>
      </c>
      <c r="AO49" s="60">
        <f t="shared" si="36"/>
        <v>271.73544012419364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5.6</v>
      </c>
      <c r="BD49" s="13">
        <f>IF('Données projet'!$A$88&gt;35,BD48+BC49-BL48,IF(A49&lt;'Données projet'!$A$88,$BA$205^A49,IF(A49='Données projet'!$A$88,'Données projet'!$B$88,BD48+BC49-BL48)))</f>
        <v>112.6</v>
      </c>
      <c r="BE49" s="14">
        <f>BD49*VLOOKUP('Données projet'!$B$11,Paramètres!$A$1:$I$89,3,0)*VLOOKUP('Données projet'!$B$11,Paramètres!$A$1:$I$89,5,0)</f>
        <v>101.88047999999999</v>
      </c>
      <c r="BF49" s="14">
        <f t="shared" si="37"/>
        <v>27.409509067425631</v>
      </c>
      <c r="BG49" s="22">
        <f t="shared" si="7"/>
        <v>225.18006429243292</v>
      </c>
      <c r="BH49" s="60">
        <f t="shared" si="8"/>
        <v>518.51339762576617</v>
      </c>
      <c r="BI49" s="60">
        <f ca="1">AVERAGE(OFFSET($BH$3,0,0,'Données projet'!$E$11+1,1))-AVERAGE(OFFSET($H$3,0,0,'Données projet'!$E$11+1,1))</f>
        <v>325.2649384779973</v>
      </c>
      <c r="BJ49" s="60">
        <f t="shared" si="38"/>
        <v>146.70159365068315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23</v>
      </c>
      <c r="BY49" s="13">
        <f>IF('Données projet'!$A$114&gt;35,BY48+BX49-CG48,IF(A49&lt;'Données projet'!$A$114,$BV$205^A49,IF(A49='Données projet'!$A$114,'Données projet'!$B$114,BY48+BX49-CG48)))</f>
        <v>490.99999999999989</v>
      </c>
      <c r="BZ49" s="14">
        <f>BY49*VLOOKUP('Données projet'!$B$12,Paramètres!$A$1:$I$89,3,0)*VLOOKUP('Données projet'!$B$12,Paramètres!$A$1:$I$89,5,0)</f>
        <v>217.02199999999996</v>
      </c>
      <c r="CA49" s="14">
        <f t="shared" si="39"/>
        <v>53.467119630174551</v>
      </c>
      <c r="CB49" s="22">
        <f t="shared" si="10"/>
        <v>471.1018833558872</v>
      </c>
      <c r="CC49" s="60">
        <f t="shared" si="11"/>
        <v>764.43521668922051</v>
      </c>
      <c r="CD49" s="60">
        <f ca="1">AVERAGE(OFFSET($CC$3,0,0,'Données projet'!$E$12+1,1))-AVERAGE(OFFSET($H$3,0,0,'Données projet'!$E$12+1,1))</f>
        <v>401.84375324751227</v>
      </c>
      <c r="CE49" s="60">
        <f t="shared" si="40"/>
        <v>350.39368043404164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5.3476492571274941</v>
      </c>
      <c r="CM49" s="23">
        <f>EXP(-LN(2)/2)*CM48+(1-EXP(-LN(2)/2))/(LN(2)/2)*CG49*CJ49*VLOOKUP('Données projet'!$B$12,Paramètres!$A$1:$I$89,3,0)*0.475*44/12</f>
        <v>5.4428129848638129E-3</v>
      </c>
      <c r="CN49" s="24">
        <f t="shared" si="12"/>
        <v>5.3530920701123579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10.101538461538457</v>
      </c>
      <c r="CT49" s="13">
        <f>IF('Données projet'!$A$140&gt;35,CT48+CS49-DB48,IF(A49&lt;'Données projet'!$A$140,$CQ$205^A49,IF(A49='Données projet'!$A$140,'Données projet'!$B$140,CT48+CS49-DB48)))</f>
        <v>201.20153846153843</v>
      </c>
      <c r="CU49" s="18">
        <f>CT49*VLOOKUP('Données projet'!$B$13,Paramètres!$A$1:$I$89,3,0)*VLOOKUP('Données projet'!$B$13,Paramètres!$A$1:$I$89,5,0)</f>
        <v>120.31851999999998</v>
      </c>
      <c r="CV49" s="14">
        <f t="shared" si="41"/>
        <v>31.749277388336409</v>
      </c>
      <c r="CW49" s="22">
        <f t="shared" si="13"/>
        <v>264.85141378468586</v>
      </c>
      <c r="CX49" s="60">
        <f t="shared" si="14"/>
        <v>558.18474711801923</v>
      </c>
      <c r="CY49" s="60">
        <f ca="1">AVERAGE(OFFSET($CX$3,0,0,'Données projet'!$E$13+1,1))-AVERAGE(OFFSET($H$3,0,0,'Données projet'!$E$13+1,1))</f>
        <v>232.73140429491525</v>
      </c>
      <c r="CZ49" s="60">
        <f t="shared" si="42"/>
        <v>201.02719152328638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5.1095942704245587</v>
      </c>
      <c r="DH49" s="23">
        <f>EXP(-LN(2)/2)*DH48+(1-EXP(-LN(2)/2))/(LN(2)/2)*DB49*DE49*VLOOKUP('Données projet'!$B$13,Paramètres!$A$1:$I$89,3,0)*0.475*44/12</f>
        <v>1.2026650356729007E-2</v>
      </c>
      <c r="DI49" s="24">
        <f t="shared" si="15"/>
        <v>5.1216209207812877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4.6153846153846132</v>
      </c>
      <c r="DO49" s="13">
        <f>IF('Données projet'!$A$166&gt;35,DO48+DN49-DW48,IF(A49&lt;'Données projet'!$A$166,$DL$205^A49,IF(A49='Données projet'!$A$166,'Données projet'!$B$166,DO48+DN49-DW48)))</f>
        <v>111.02564102564099</v>
      </c>
      <c r="DP49" s="18">
        <f>DO49*VLOOKUP('Données projet'!$B$14,Paramètres!$A$1:$I$89,3,0)*VLOOKUP('Données projet'!$B$14,Paramètres!$A$1:$I$89,5,0)</f>
        <v>105.65199999999999</v>
      </c>
      <c r="DQ49" s="14">
        <f t="shared" si="43"/>
        <v>28.304169779393401</v>
      </c>
      <c r="DR49" s="22">
        <f t="shared" si="16"/>
        <v>233.3069956991101</v>
      </c>
      <c r="DS49" s="60">
        <f t="shared" si="17"/>
        <v>526.64032903244345</v>
      </c>
      <c r="DT49" s="60">
        <f ca="1">AVERAGE(OFFSET($DS$3,0,0,'Données projet'!$E$14+1,1))-AVERAGE(OFFSET($H$3,0,0,'Données projet'!$E$14+1,1))</f>
        <v>302.15577364214136</v>
      </c>
      <c r="DU49" s="60">
        <f t="shared" si="44"/>
        <v>197.15142751137051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6.0256410256410273</v>
      </c>
      <c r="EJ49" s="13">
        <f>IF('Données projet'!$A$192&gt;35,EJ48+EI49-ER48,IF(A49&lt;'Données projet'!$A$192,$EG$205^A49,IF(A49='Données projet'!$A$192,'Données projet'!$B$192,EJ48+EI49-ER48)))</f>
        <v>179.10256410256406</v>
      </c>
      <c r="EK49" s="18">
        <f>EJ49*VLOOKUP('Données projet'!$B$15,Paramètres!$A$1:$I$89,3,0)*VLOOKUP('Données projet'!$B$15,Paramètres!$A$1:$I$89,5,0)</f>
        <v>187.19799999999998</v>
      </c>
      <c r="EL49" s="14">
        <f t="shared" si="45"/>
        <v>46.919935793880072</v>
      </c>
      <c r="EM49" s="22">
        <f t="shared" si="19"/>
        <v>407.75540484100776</v>
      </c>
      <c r="EN49" s="60">
        <f t="shared" si="20"/>
        <v>701.08873817434107</v>
      </c>
      <c r="EO49" s="60">
        <f ca="1">AVERAGE(OFFSET($EN$3,0,0,'Données projet'!$E$15+1,1))-AVERAGE(OFFSET($H$3,0,0,'Données projet'!$E$15+1,1))</f>
        <v>493.70175665335978</v>
      </c>
      <c r="EP49" s="60">
        <f t="shared" si="46"/>
        <v>325.12357781685949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0" t="e">
        <f t="shared" si="23"/>
        <v>#N/A</v>
      </c>
      <c r="FJ49" s="60" t="e">
        <f ca="1">AVERAGE(OFFSET($FI$3,0,0,'Données projet'!$E$16+1,1))-AVERAGE(OFFSET($H$3,0,0,'Données projet'!$E$16+1,1))</f>
        <v>#N/A</v>
      </c>
      <c r="FK49" s="60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0" t="e">
        <f t="shared" si="26"/>
        <v>#N/A</v>
      </c>
      <c r="GE49" s="60" t="e">
        <f ca="1">AVERAGE(OFFSET($GD$3,0,0,'Données projet'!$E$17+1,1))-AVERAGE(OFFSET($H$3,0,0,'Données projet'!$E$17+1,1))</f>
        <v>#N/A</v>
      </c>
      <c r="GF49" s="60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5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8">
        <f t="shared" si="1"/>
        <v>256.66666666666669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11.611538461538466</v>
      </c>
      <c r="N50" s="14">
        <f>IF('Données projet'!$A$36&gt;35,N49+M50-V49,IF(A50&lt;'Données projet'!$A$36,$K$205^A50,IF(A50='Données projet'!$A$36,'Données projet'!$B$36,N49+M50-V49)))</f>
        <v>273.51153846153841</v>
      </c>
      <c r="O50" s="14">
        <f>N50*VLOOKUP('Données projet'!$B$9,Paramètres!$A$1:$I$89,3,0)*VLOOKUP('Données projet'!$B$9,Paramètres!$A$1:$I$89,5,0)</f>
        <v>163.55989999999997</v>
      </c>
      <c r="P50" s="14">
        <f t="shared" si="33"/>
        <v>41.644429552500291</v>
      </c>
      <c r="Q50" s="22">
        <f t="shared" si="53"/>
        <v>357.39754063727128</v>
      </c>
      <c r="R50" s="60">
        <f t="shared" si="0"/>
        <v>650.73087397060453</v>
      </c>
      <c r="S50" s="60">
        <f ca="1">AVERAGE(OFFSET($R$3,0,0,'Données projet'!$E$9+1,1))-AVERAGE(OFFSET($H$3,0,0,'Données projet'!$E$9+1,1))</f>
        <v>260.02504691866199</v>
      </c>
      <c r="T50" s="60">
        <f t="shared" si="34"/>
        <v>270.11268336406368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7.1473645705521553</v>
      </c>
      <c r="AA50" s="23">
        <f>EXP(-LN(2)/25)*AA49+(1-EXP(-LN(2)/25))/(LN(2)/25)*Calculateur!V50*Calculateur!X50*VLOOKUP('Données projet'!$B$9,Paramètres!$A$1:$I$89,3,0)*0.475*44/12</f>
        <v>10.258803822252574</v>
      </c>
      <c r="AB50" s="23">
        <f>EXP(-LN(2)/2)*AB49+(1-EXP(-LN(2)/2))/(LN(2)/2)*V50*Y50*VLOOKUP('Données projet'!$B$9,Paramètres!$A$1:$I$89,3,0)*0.475*44/12</f>
        <v>1.7511833505158704E-2</v>
      </c>
      <c r="AC50" s="24">
        <f t="shared" si="3"/>
        <v>17.423680226309887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8.1999999999999993</v>
      </c>
      <c r="AI50" s="14">
        <f>IF('Données projet'!$A$62&gt;35,AI49+AH50-AQ49,IF(A50&lt;'Données projet'!$A$62,$AF$205^A50,IF(A50='Données projet'!$A$62,'Données projet'!$B$62,AI49+AH50-AQ49)))</f>
        <v>174.40000000000003</v>
      </c>
      <c r="AJ50" s="14">
        <f>AI50*VLOOKUP('Données projet'!$B$10,Paramètres!$A$1:$I$89,3,0)*VLOOKUP('Données projet'!$B$10,Paramètres!$A$1:$I$89,5,0)</f>
        <v>176.84160000000006</v>
      </c>
      <c r="AK50" s="14">
        <f t="shared" si="35"/>
        <v>44.618778032982952</v>
      </c>
      <c r="AL50" s="22">
        <f t="shared" si="4"/>
        <v>385.71015840744536</v>
      </c>
      <c r="AM50" s="60">
        <f t="shared" si="5"/>
        <v>679.04349174077868</v>
      </c>
      <c r="AN50" s="60">
        <f ca="1">AVERAGE(OFFSET($AM$3,0,0,'Données projet'!$E$10+1,1))-AVERAGE(OFFSET($H$3,0,0,'Données projet'!$E$10+1,1))</f>
        <v>475.47920969424894</v>
      </c>
      <c r="AO50" s="60">
        <f t="shared" si="36"/>
        <v>271.73544012419364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5.6</v>
      </c>
      <c r="BD50" s="13">
        <f>IF('Données projet'!$A$88&gt;35,BD49+BC50-BL49,IF(A50&lt;'Données projet'!$A$88,$BA$205^A50,IF(A50='Données projet'!$A$88,'Données projet'!$B$88,BD49+BC50-BL49)))</f>
        <v>118.19999999999999</v>
      </c>
      <c r="BE50" s="14">
        <f>BD50*VLOOKUP('Données projet'!$B$11,Paramètres!$A$1:$I$89,3,0)*VLOOKUP('Données projet'!$B$11,Paramètres!$A$1:$I$89,5,0)</f>
        <v>106.94735999999997</v>
      </c>
      <c r="BF50" s="14">
        <f t="shared" si="37"/>
        <v>28.61058496425451</v>
      </c>
      <c r="BG50" s="22">
        <f t="shared" si="7"/>
        <v>236.09675414607656</v>
      </c>
      <c r="BH50" s="60">
        <f t="shared" si="8"/>
        <v>529.43008747940985</v>
      </c>
      <c r="BI50" s="60">
        <f ca="1">AVERAGE(OFFSET($BH$3,0,0,'Données projet'!$E$11+1,1))-AVERAGE(OFFSET($H$3,0,0,'Données projet'!$E$11+1,1))</f>
        <v>325.2649384779973</v>
      </c>
      <c r="BJ50" s="60">
        <f t="shared" si="38"/>
        <v>146.70159365068315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23</v>
      </c>
      <c r="BY50" s="13">
        <f>IF('Données projet'!$A$114&gt;35,BY49+BX50-CG49,IF(A50&lt;'Données projet'!$A$114,$BV$205^A50,IF(A50='Données projet'!$A$114,'Données projet'!$B$114,BY49+BX50-CG49)))</f>
        <v>513.99999999999989</v>
      </c>
      <c r="BZ50" s="14">
        <f>BY50*VLOOKUP('Données projet'!$B$12,Paramètres!$A$1:$I$89,3,0)*VLOOKUP('Données projet'!$B$12,Paramètres!$A$1:$I$89,5,0)</f>
        <v>227.18799999999996</v>
      </c>
      <c r="CA50" s="14">
        <f t="shared" si="39"/>
        <v>55.674226763576875</v>
      </c>
      <c r="CB50" s="22">
        <f t="shared" si="10"/>
        <v>492.65171161322957</v>
      </c>
      <c r="CC50" s="60">
        <f t="shared" si="11"/>
        <v>785.98504494656288</v>
      </c>
      <c r="CD50" s="60">
        <f ca="1">AVERAGE(OFFSET($CC$3,0,0,'Données projet'!$E$12+1,1))-AVERAGE(OFFSET($H$3,0,0,'Données projet'!$E$12+1,1))</f>
        <v>401.84375324751227</v>
      </c>
      <c r="CE50" s="60">
        <f t="shared" si="40"/>
        <v>350.39368043404164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5.2014175069706905</v>
      </c>
      <c r="CM50" s="23">
        <f>EXP(-LN(2)/2)*CM49+(1-EXP(-LN(2)/2))/(LN(2)/2)*CG50*CJ50*VLOOKUP('Données projet'!$B$12,Paramètres!$A$1:$I$89,3,0)*0.475*44/12</f>
        <v>3.8486499703273961E-3</v>
      </c>
      <c r="CN50" s="24">
        <f t="shared" si="12"/>
        <v>5.2052661569410175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10.101538461538457</v>
      </c>
      <c r="CT50" s="13">
        <f>IF('Données projet'!$A$140&gt;35,CT49+CS50-DB49,IF(A50&lt;'Données projet'!$A$140,$CQ$205^A50,IF(A50='Données projet'!$A$140,'Données projet'!$B$140,CT49+CS50-DB49)))</f>
        <v>211.3030769230769</v>
      </c>
      <c r="CU50" s="18">
        <f>CT50*VLOOKUP('Données projet'!$B$13,Paramètres!$A$1:$I$89,3,0)*VLOOKUP('Données projet'!$B$13,Paramètres!$A$1:$I$89,5,0)</f>
        <v>126.35924</v>
      </c>
      <c r="CV50" s="14">
        <f t="shared" si="41"/>
        <v>33.153700861093419</v>
      </c>
      <c r="CW50" s="22">
        <f t="shared" si="13"/>
        <v>277.81837199973774</v>
      </c>
      <c r="CX50" s="60">
        <f t="shared" si="14"/>
        <v>571.15170533307105</v>
      </c>
      <c r="CY50" s="60">
        <f ca="1">AVERAGE(OFFSET($CX$3,0,0,'Données projet'!$E$13+1,1))-AVERAGE(OFFSET($H$3,0,0,'Données projet'!$E$13+1,1))</f>
        <v>232.73140429491525</v>
      </c>
      <c r="CZ50" s="60">
        <f t="shared" si="42"/>
        <v>201.02719152328638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4.9698721463979147</v>
      </c>
      <c r="DH50" s="23">
        <f>EXP(-LN(2)/2)*DH49+(1-EXP(-LN(2)/2))/(LN(2)/2)*DB50*DE50*VLOOKUP('Données projet'!$B$13,Paramètres!$A$1:$I$89,3,0)*0.475*44/12</f>
        <v>8.5041260222026918E-3</v>
      </c>
      <c r="DI50" s="24">
        <f t="shared" si="15"/>
        <v>4.9783762724201175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4.6153846153846132</v>
      </c>
      <c r="DO50" s="13">
        <f>IF('Données projet'!$A$166&gt;35,DO49+DN50-DW49,IF(A50&lt;'Données projet'!$A$166,$DL$205^A50,IF(A50='Données projet'!$A$166,'Données projet'!$B$166,DO49+DN50-DW49)))</f>
        <v>115.64102564102561</v>
      </c>
      <c r="DP50" s="18">
        <f>DO50*VLOOKUP('Données projet'!$B$14,Paramètres!$A$1:$I$89,3,0)*VLOOKUP('Données projet'!$B$14,Paramètres!$A$1:$I$89,5,0)</f>
        <v>110.04399999999995</v>
      </c>
      <c r="DQ50" s="14">
        <f t="shared" si="43"/>
        <v>29.341351074444482</v>
      </c>
      <c r="DR50" s="22">
        <f t="shared" si="16"/>
        <v>242.76281978799068</v>
      </c>
      <c r="DS50" s="60">
        <f t="shared" si="17"/>
        <v>536.09615312132405</v>
      </c>
      <c r="DT50" s="60">
        <f ca="1">AVERAGE(OFFSET($DS$3,0,0,'Données projet'!$E$14+1,1))-AVERAGE(OFFSET($H$3,0,0,'Données projet'!$E$14+1,1))</f>
        <v>302.15577364214136</v>
      </c>
      <c r="DU50" s="60">
        <f t="shared" si="44"/>
        <v>197.15142751137051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6.0256410256410273</v>
      </c>
      <c r="EJ50" s="13">
        <f>IF('Données projet'!$A$192&gt;35,EJ49+EI50-ER49,IF(A50&lt;'Données projet'!$A$192,$EG$205^A50,IF(A50='Données projet'!$A$192,'Données projet'!$B$192,EJ49+EI50-ER49)))</f>
        <v>185.12820512820508</v>
      </c>
      <c r="EK50" s="18">
        <f>EJ50*VLOOKUP('Données projet'!$B$15,Paramètres!$A$1:$I$89,3,0)*VLOOKUP('Données projet'!$B$15,Paramètres!$A$1:$I$89,5,0)</f>
        <v>193.49599999999998</v>
      </c>
      <c r="EL50" s="14">
        <f t="shared" si="45"/>
        <v>48.312046726948296</v>
      </c>
      <c r="EM50" s="22">
        <f t="shared" si="19"/>
        <v>421.14901471610159</v>
      </c>
      <c r="EN50" s="60">
        <f t="shared" si="20"/>
        <v>714.4823480494349</v>
      </c>
      <c r="EO50" s="60">
        <f ca="1">AVERAGE(OFFSET($EN$3,0,0,'Données projet'!$E$15+1,1))-AVERAGE(OFFSET($H$3,0,0,'Données projet'!$E$15+1,1))</f>
        <v>493.70175665335978</v>
      </c>
      <c r="EP50" s="60">
        <f t="shared" si="46"/>
        <v>325.12357781685949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0" t="e">
        <f t="shared" si="23"/>
        <v>#N/A</v>
      </c>
      <c r="FJ50" s="60" t="e">
        <f ca="1">AVERAGE(OFFSET($FI$3,0,0,'Données projet'!$E$16+1,1))-AVERAGE(OFFSET($H$3,0,0,'Données projet'!$E$16+1,1))</f>
        <v>#N/A</v>
      </c>
      <c r="FK50" s="60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0" t="e">
        <f t="shared" si="26"/>
        <v>#N/A</v>
      </c>
      <c r="GE50" s="60" t="e">
        <f ca="1">AVERAGE(OFFSET($GD$3,0,0,'Données projet'!$E$17+1,1))-AVERAGE(OFFSET($H$3,0,0,'Données projet'!$E$17+1,1))</f>
        <v>#N/A</v>
      </c>
      <c r="GF50" s="60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5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8">
        <f t="shared" si="1"/>
        <v>256.66666666666669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11.611538461538466</v>
      </c>
      <c r="N51" s="14">
        <f>IF('Données projet'!$A$36&gt;35,N50+M51-V50,IF(A51&lt;'Données projet'!$A$36,$K$205^A51,IF(A51='Données projet'!$A$36,'Données projet'!$B$36,N50+M51-V50)))</f>
        <v>285.12307692307689</v>
      </c>
      <c r="O51" s="14">
        <f>N51*VLOOKUP('Données projet'!$B$9,Paramètres!$A$1:$I$89,3,0)*VLOOKUP('Données projet'!$B$9,Paramètres!$A$1:$I$89,5,0)</f>
        <v>170.50360000000001</v>
      </c>
      <c r="P51" s="14">
        <f t="shared" si="33"/>
        <v>43.202793808192034</v>
      </c>
      <c r="Q51" s="22">
        <f t="shared" si="53"/>
        <v>372.2053025492678</v>
      </c>
      <c r="R51" s="60">
        <f t="shared" si="0"/>
        <v>665.53863588260106</v>
      </c>
      <c r="S51" s="60">
        <f ca="1">AVERAGE(OFFSET($R$3,0,0,'Données projet'!$E$9+1,1))-AVERAGE(OFFSET($H$3,0,0,'Données projet'!$E$9+1,1))</f>
        <v>260.02504691866199</v>
      </c>
      <c r="T51" s="60">
        <f t="shared" si="34"/>
        <v>270.11268336406368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7.0072091107855545</v>
      </c>
      <c r="AA51" s="23">
        <f>EXP(-LN(2)/25)*AA50+(1-EXP(-LN(2)/25))/(LN(2)/25)*Calculateur!V51*Calculateur!X51*VLOOKUP('Données projet'!$B$9,Paramètres!$A$1:$I$89,3,0)*0.475*44/12</f>
        <v>9.9782762922460311</v>
      </c>
      <c r="AB51" s="23">
        <f>EXP(-LN(2)/2)*AB50+(1-EXP(-LN(2)/2))/(LN(2)/2)*V51*Y51*VLOOKUP('Données projet'!$B$9,Paramètres!$A$1:$I$89,3,0)*0.475*44/12</f>
        <v>1.2382736222507507E-2</v>
      </c>
      <c r="AC51" s="24">
        <f t="shared" si="3"/>
        <v>16.997868139254091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8.1999999999999993</v>
      </c>
      <c r="AI51" s="14">
        <f>IF('Données projet'!$A$62&gt;35,AI50+AH51-AQ50,IF(A51&lt;'Données projet'!$A$62,$AF$205^A51,IF(A51='Données projet'!$A$62,'Données projet'!$B$62,AI50+AH51-AQ50)))</f>
        <v>182.60000000000002</v>
      </c>
      <c r="AJ51" s="14">
        <f>AI51*VLOOKUP('Données projet'!$B$10,Paramètres!$A$1:$I$89,3,0)*VLOOKUP('Données projet'!$B$10,Paramètres!$A$1:$I$89,5,0)</f>
        <v>185.15640000000002</v>
      </c>
      <c r="AK51" s="14">
        <f t="shared" si="35"/>
        <v>46.467497591770453</v>
      </c>
      <c r="AL51" s="22">
        <f t="shared" si="4"/>
        <v>403.4116216390002</v>
      </c>
      <c r="AM51" s="60">
        <f t="shared" si="5"/>
        <v>696.74495497233352</v>
      </c>
      <c r="AN51" s="60">
        <f ca="1">AVERAGE(OFFSET($AM$3,0,0,'Données projet'!$E$10+1,1))-AVERAGE(OFFSET($H$3,0,0,'Données projet'!$E$10+1,1))</f>
        <v>475.47920969424894</v>
      </c>
      <c r="AO51" s="60">
        <f t="shared" si="36"/>
        <v>271.73544012419364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5.6</v>
      </c>
      <c r="BD51" s="13">
        <f>IF('Données projet'!$A$88&gt;35,BD50+BC51-BL50,IF(A51&lt;'Données projet'!$A$88,$BA$205^A51,IF(A51='Données projet'!$A$88,'Données projet'!$B$88,BD50+BC51-BL50)))</f>
        <v>123.79999999999998</v>
      </c>
      <c r="BE51" s="14">
        <f>BD51*VLOOKUP('Données projet'!$B$11,Paramètres!$A$1:$I$89,3,0)*VLOOKUP('Données projet'!$B$11,Paramètres!$A$1:$I$89,5,0)</f>
        <v>112.01423999999999</v>
      </c>
      <c r="BF51" s="14">
        <f t="shared" si="37"/>
        <v>29.805052882814007</v>
      </c>
      <c r="BG51" s="22">
        <f t="shared" si="7"/>
        <v>247.00193510423432</v>
      </c>
      <c r="BH51" s="60">
        <f t="shared" si="8"/>
        <v>540.33526843756761</v>
      </c>
      <c r="BI51" s="60">
        <f ca="1">AVERAGE(OFFSET($BH$3,0,0,'Données projet'!$E$11+1,1))-AVERAGE(OFFSET($H$3,0,0,'Données projet'!$E$11+1,1))</f>
        <v>325.2649384779973</v>
      </c>
      <c r="BJ51" s="60">
        <f t="shared" si="38"/>
        <v>146.70159365068315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>
        <f>VLOOKUP(A51,'Données projet'!$A$113:$I$133,2,0)</f>
        <v>537</v>
      </c>
      <c r="BW51" s="13">
        <f>VLOOKUP(A51,'Données projet'!$A$113:$I$133,9,0)</f>
        <v>23</v>
      </c>
      <c r="BX51" s="13">
        <f t="array" ref="BX51">INDEX(BW:BW,MIN(IF(ISNUMBER(BW51:BW247),ROW(BW51:BW247),"")))</f>
        <v>23</v>
      </c>
      <c r="BY51" s="13">
        <f>IF('Données projet'!$A$114&gt;35,BY50+BX51-CG50,IF(A51&lt;'Données projet'!$A$114,$BV$205^A51,IF(A51='Données projet'!$A$114,'Données projet'!$B$114,BY50+BX51-CG50)))</f>
        <v>536.99999999999989</v>
      </c>
      <c r="BZ51" s="14">
        <f>BY51*VLOOKUP('Données projet'!$B$12,Paramètres!$A$1:$I$89,3,0)*VLOOKUP('Données projet'!$B$12,Paramètres!$A$1:$I$89,5,0)</f>
        <v>237.35399999999998</v>
      </c>
      <c r="CA51" s="14">
        <f t="shared" si="39"/>
        <v>57.869863890934155</v>
      </c>
      <c r="CB51" s="22">
        <f t="shared" si="10"/>
        <v>514.18156294337689</v>
      </c>
      <c r="CC51" s="60">
        <f t="shared" si="11"/>
        <v>807.51489627671026</v>
      </c>
      <c r="CD51" s="60">
        <f ca="1">AVERAGE(OFFSET($CC$3,0,0,'Données projet'!$E$12+1,1))-AVERAGE(OFFSET($H$3,0,0,'Données projet'!$E$12+1,1))</f>
        <v>401.84375324751227</v>
      </c>
      <c r="CE51" s="60">
        <f t="shared" si="40"/>
        <v>350.39368043404164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5.0591844717119185</v>
      </c>
      <c r="CM51" s="23">
        <f>EXP(-LN(2)/2)*CM50+(1-EXP(-LN(2)/2))/(LN(2)/2)*CG51*CJ51*VLOOKUP('Données projet'!$B$12,Paramètres!$A$1:$I$89,3,0)*0.475*44/12</f>
        <v>2.7214064924319069E-3</v>
      </c>
      <c r="CN51" s="24">
        <f t="shared" si="12"/>
        <v>5.0619058782043505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10.101538461538457</v>
      </c>
      <c r="CT51" s="13">
        <f>IF('Données projet'!$A$140&gt;35,CT50+CS51-DB50,IF(A51&lt;'Données projet'!$A$140,$CQ$205^A51,IF(A51='Données projet'!$A$140,'Données projet'!$B$140,CT50+CS51-DB50)))</f>
        <v>221.40461538461537</v>
      </c>
      <c r="CU51" s="18">
        <f>CT51*VLOOKUP('Données projet'!$B$13,Paramètres!$A$1:$I$89,3,0)*VLOOKUP('Données projet'!$B$13,Paramètres!$A$1:$I$89,5,0)</f>
        <v>132.39995999999999</v>
      </c>
      <c r="CV51" s="14">
        <f t="shared" si="41"/>
        <v>34.55032783395712</v>
      </c>
      <c r="CW51" s="22">
        <f t="shared" si="13"/>
        <v>290.77175131080861</v>
      </c>
      <c r="CX51" s="60">
        <f t="shared" si="14"/>
        <v>584.10508464414193</v>
      </c>
      <c r="CY51" s="60">
        <f ca="1">AVERAGE(OFFSET($CX$3,0,0,'Données projet'!$E$13+1,1))-AVERAGE(OFFSET($H$3,0,0,'Données projet'!$E$13+1,1))</f>
        <v>232.73140429491525</v>
      </c>
      <c r="CZ51" s="60">
        <f t="shared" si="42"/>
        <v>201.02719152328638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4.8339707312004467</v>
      </c>
      <c r="DH51" s="23">
        <f>EXP(-LN(2)/2)*DH50+(1-EXP(-LN(2)/2))/(LN(2)/2)*DB51*DE51*VLOOKUP('Données projet'!$B$13,Paramètres!$A$1:$I$89,3,0)*0.475*44/12</f>
        <v>6.0133251783645036E-3</v>
      </c>
      <c r="DI51" s="24">
        <f t="shared" si="15"/>
        <v>4.8399840563788112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4.6153846153846132</v>
      </c>
      <c r="DO51" s="13">
        <f>IF('Données projet'!$A$166&gt;35,DO50+DN51-DW50,IF(A51&lt;'Données projet'!$A$166,$DL$205^A51,IF(A51='Données projet'!$A$166,'Données projet'!$B$166,DO50+DN51-DW50)))</f>
        <v>120.25641025641022</v>
      </c>
      <c r="DP51" s="18">
        <f>DO51*VLOOKUP('Données projet'!$B$14,Paramètres!$A$1:$I$89,3,0)*VLOOKUP('Données projet'!$B$14,Paramètres!$A$1:$I$89,5,0)</f>
        <v>114.43599999999996</v>
      </c>
      <c r="DQ51" s="14">
        <f t="shared" si="43"/>
        <v>30.373723787739301</v>
      </c>
      <c r="DR51" s="22">
        <f t="shared" si="16"/>
        <v>252.21026893031259</v>
      </c>
      <c r="DS51" s="60">
        <f t="shared" si="17"/>
        <v>545.54360226364588</v>
      </c>
      <c r="DT51" s="60">
        <f ca="1">AVERAGE(OFFSET($DS$3,0,0,'Données projet'!$E$14+1,1))-AVERAGE(OFFSET($H$3,0,0,'Données projet'!$E$14+1,1))</f>
        <v>302.15577364214136</v>
      </c>
      <c r="DU51" s="60">
        <f t="shared" si="44"/>
        <v>197.15142751137051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6.0256410256410273</v>
      </c>
      <c r="EJ51" s="13">
        <f>IF('Données projet'!$A$192&gt;35,EJ50+EI51-ER50,IF(A51&lt;'Données projet'!$A$192,$EG$205^A51,IF(A51='Données projet'!$A$192,'Données projet'!$B$192,EJ50+EI51-ER50)))</f>
        <v>191.1538461538461</v>
      </c>
      <c r="EK51" s="18">
        <f>EJ51*VLOOKUP('Données projet'!$B$15,Paramètres!$A$1:$I$89,3,0)*VLOOKUP('Données projet'!$B$15,Paramètres!$A$1:$I$89,5,0)</f>
        <v>199.79399999999995</v>
      </c>
      <c r="EL51" s="14">
        <f t="shared" si="45"/>
        <v>49.698892445432982</v>
      </c>
      <c r="EM51" s="22">
        <f t="shared" si="19"/>
        <v>434.53345434246239</v>
      </c>
      <c r="EN51" s="60">
        <f t="shared" si="20"/>
        <v>727.86678767579565</v>
      </c>
      <c r="EO51" s="60">
        <f ca="1">AVERAGE(OFFSET($EN$3,0,0,'Données projet'!$E$15+1,1))-AVERAGE(OFFSET($H$3,0,0,'Données projet'!$E$15+1,1))</f>
        <v>493.70175665335978</v>
      </c>
      <c r="EP51" s="60">
        <f t="shared" si="46"/>
        <v>325.12357781685949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0" t="e">
        <f t="shared" si="23"/>
        <v>#N/A</v>
      </c>
      <c r="FJ51" s="60" t="e">
        <f ca="1">AVERAGE(OFFSET($FI$3,0,0,'Données projet'!$E$16+1,1))-AVERAGE(OFFSET($H$3,0,0,'Données projet'!$E$16+1,1))</f>
        <v>#N/A</v>
      </c>
      <c r="FK51" s="60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0" t="e">
        <f t="shared" si="26"/>
        <v>#N/A</v>
      </c>
      <c r="GE51" s="60" t="e">
        <f ca="1">AVERAGE(OFFSET($GD$3,0,0,'Données projet'!$E$17+1,1))-AVERAGE(OFFSET($H$3,0,0,'Données projet'!$E$17+1,1))</f>
        <v>#N/A</v>
      </c>
      <c r="GF51" s="60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5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8">
        <f t="shared" si="1"/>
        <v>256.66666666666669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11.611538461538466</v>
      </c>
      <c r="N52" s="14">
        <f>IF('Données projet'!$A$36&gt;35,N51+M52-V51,IF(A52&lt;'Données projet'!$A$36,$K$205^A52,IF(A52='Données projet'!$A$36,'Données projet'!$B$36,N51+M52-V51)))</f>
        <v>296.73461538461538</v>
      </c>
      <c r="O52" s="14">
        <f>N52*VLOOKUP('Données projet'!$B$9,Paramètres!$A$1:$I$89,3,0)*VLOOKUP('Données projet'!$B$9,Paramètres!$A$1:$I$89,5,0)</f>
        <v>177.44730000000001</v>
      </c>
      <c r="P52" s="14">
        <f t="shared" si="33"/>
        <v>44.753786201681493</v>
      </c>
      <c r="Q52" s="22">
        <f t="shared" si="53"/>
        <v>387.00022513459527</v>
      </c>
      <c r="R52" s="60">
        <f t="shared" si="0"/>
        <v>680.33355846792858</v>
      </c>
      <c r="S52" s="60">
        <f ca="1">AVERAGE(OFFSET($R$3,0,0,'Données projet'!$E$9+1,1))-AVERAGE(OFFSET($H$3,0,0,'Données projet'!$E$9+1,1))</f>
        <v>260.02504691866199</v>
      </c>
      <c r="T52" s="60">
        <f t="shared" si="34"/>
        <v>270.11268336406368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6.8698020140985872</v>
      </c>
      <c r="AA52" s="23">
        <f>EXP(-LN(2)/25)*AA51+(1-EXP(-LN(2)/25))/(LN(2)/25)*Calculateur!V52*Calculateur!X52*VLOOKUP('Données projet'!$B$9,Paramètres!$A$1:$I$89,3,0)*0.475*44/12</f>
        <v>9.7054198022998186</v>
      </c>
      <c r="AB52" s="23">
        <f>EXP(-LN(2)/2)*AB51+(1-EXP(-LN(2)/2))/(LN(2)/2)*V52*Y52*VLOOKUP('Données projet'!$B$9,Paramètres!$A$1:$I$89,3,0)*0.475*44/12</f>
        <v>8.755916752579352E-3</v>
      </c>
      <c r="AC52" s="24">
        <f t="shared" si="3"/>
        <v>16.583977733150984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8.1999999999999993</v>
      </c>
      <c r="AI52" s="14">
        <f>IF('Données projet'!$A$62&gt;35,AI51+AH52-AQ51,IF(A52&lt;'Données projet'!$A$62,$AF$205^A52,IF(A52='Données projet'!$A$62,'Données projet'!$B$62,AI51+AH52-AQ51)))</f>
        <v>190.8</v>
      </c>
      <c r="AJ52" s="14">
        <f>AI52*VLOOKUP('Données projet'!$B$10,Paramètres!$A$1:$I$89,3,0)*VLOOKUP('Données projet'!$B$10,Paramètres!$A$1:$I$89,5,0)</f>
        <v>193.47120000000001</v>
      </c>
      <c r="AK52" s="14">
        <f t="shared" si="35"/>
        <v>48.306575382296536</v>
      </c>
      <c r="AL52" s="22">
        <f t="shared" si="4"/>
        <v>421.09629212416644</v>
      </c>
      <c r="AM52" s="60">
        <f t="shared" si="5"/>
        <v>714.4296254574997</v>
      </c>
      <c r="AN52" s="60">
        <f ca="1">AVERAGE(OFFSET($AM$3,0,0,'Données projet'!$E$10+1,1))-AVERAGE(OFFSET($H$3,0,0,'Données projet'!$E$10+1,1))</f>
        <v>475.47920969424894</v>
      </c>
      <c r="AO52" s="60">
        <f t="shared" si="36"/>
        <v>271.73544012419364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5.6</v>
      </c>
      <c r="BD52" s="13">
        <f>IF('Données projet'!$A$88&gt;35,BD51+BC52-BL51,IF(A52&lt;'Données projet'!$A$88,$BA$205^A52,IF(A52='Données projet'!$A$88,'Données projet'!$B$88,BD51+BC52-BL51)))</f>
        <v>129.39999999999998</v>
      </c>
      <c r="BE52" s="14">
        <f>BD52*VLOOKUP('Données projet'!$B$11,Paramètres!$A$1:$I$89,3,0)*VLOOKUP('Données projet'!$B$11,Paramètres!$A$1:$I$89,5,0)</f>
        <v>117.08111999999997</v>
      </c>
      <c r="BF52" s="14">
        <f t="shared" si="37"/>
        <v>30.993245877902094</v>
      </c>
      <c r="BG52" s="22">
        <f t="shared" si="7"/>
        <v>257.89618723734606</v>
      </c>
      <c r="BH52" s="60">
        <f t="shared" si="8"/>
        <v>551.22952057067937</v>
      </c>
      <c r="BI52" s="60">
        <f ca="1">AVERAGE(OFFSET($BH$3,0,0,'Données projet'!$E$11+1,1))-AVERAGE(OFFSET($H$3,0,0,'Données projet'!$E$11+1,1))</f>
        <v>325.2649384779973</v>
      </c>
      <c r="BJ52" s="60">
        <f t="shared" si="38"/>
        <v>146.70159365068315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20.2</v>
      </c>
      <c r="BY52" s="13">
        <f>IF('Données projet'!$A$114&gt;35,BY51+BX52-CG51,IF(A52&lt;'Données projet'!$A$114,$BV$205^A52,IF(A52='Données projet'!$A$114,'Données projet'!$B$114,BY51+BX52-CG51)))</f>
        <v>557.19999999999993</v>
      </c>
      <c r="BZ52" s="14">
        <f>BY52*VLOOKUP('Données projet'!$B$12,Paramètres!$A$1:$I$89,3,0)*VLOOKUP('Données projet'!$B$12,Paramètres!$A$1:$I$89,5,0)</f>
        <v>246.28239999999997</v>
      </c>
      <c r="CA52" s="14">
        <f t="shared" si="39"/>
        <v>59.789179958883544</v>
      </c>
      <c r="CB52" s="22">
        <f t="shared" si="10"/>
        <v>533.07466842838869</v>
      </c>
      <c r="CC52" s="60">
        <f t="shared" si="11"/>
        <v>826.40800176172206</v>
      </c>
      <c r="CD52" s="60">
        <f ca="1">AVERAGE(OFFSET($CC$3,0,0,'Données projet'!$E$12+1,1))-AVERAGE(OFFSET($H$3,0,0,'Données projet'!$E$12+1,1))</f>
        <v>401.84375324751227</v>
      </c>
      <c r="CE52" s="60">
        <f t="shared" si="40"/>
        <v>350.39368043404164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4.9208408062820075</v>
      </c>
      <c r="CM52" s="23">
        <f>EXP(-LN(2)/2)*CM51+(1-EXP(-LN(2)/2))/(LN(2)/2)*CG52*CJ52*VLOOKUP('Données projet'!$B$12,Paramètres!$A$1:$I$89,3,0)*0.475*44/12</f>
        <v>1.9243249851636983E-3</v>
      </c>
      <c r="CN52" s="24">
        <f t="shared" si="12"/>
        <v>4.9227651312671714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10.101538461538457</v>
      </c>
      <c r="CT52" s="13">
        <f>IF('Données projet'!$A$140&gt;35,CT51+CS52-DB51,IF(A52&lt;'Données projet'!$A$140,$CQ$205^A52,IF(A52='Données projet'!$A$140,'Données projet'!$B$140,CT51+CS52-DB51)))</f>
        <v>231.50615384615384</v>
      </c>
      <c r="CU52" s="18">
        <f>CT52*VLOOKUP('Données projet'!$B$13,Paramètres!$A$1:$I$89,3,0)*VLOOKUP('Données projet'!$B$13,Paramètres!$A$1:$I$89,5,0)</f>
        <v>138.44067999999999</v>
      </c>
      <c r="CV52" s="14">
        <f t="shared" si="41"/>
        <v>35.939554654027752</v>
      </c>
      <c r="CW52" s="22">
        <f t="shared" si="13"/>
        <v>303.71224202243161</v>
      </c>
      <c r="CX52" s="60">
        <f t="shared" si="14"/>
        <v>597.04557535576487</v>
      </c>
      <c r="CY52" s="60">
        <f ca="1">AVERAGE(OFFSET($CX$3,0,0,'Données projet'!$E$13+1,1))-AVERAGE(OFFSET($H$3,0,0,'Données projet'!$E$13+1,1))</f>
        <v>232.73140429491525</v>
      </c>
      <c r="CZ52" s="60">
        <f t="shared" si="42"/>
        <v>201.02719152328638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4.7017855473482983</v>
      </c>
      <c r="DH52" s="23">
        <f>EXP(-LN(2)/2)*DH51+(1-EXP(-LN(2)/2))/(LN(2)/2)*DB52*DE52*VLOOKUP('Données projet'!$B$13,Paramètres!$A$1:$I$89,3,0)*0.475*44/12</f>
        <v>4.2520630111013459E-3</v>
      </c>
      <c r="DI52" s="24">
        <f t="shared" si="15"/>
        <v>4.7060376103593997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4.6153846153846132</v>
      </c>
      <c r="DO52" s="13">
        <f>IF('Données projet'!$A$166&gt;35,DO51+DN52-DW51,IF(A52&lt;'Données projet'!$A$166,$DL$205^A52,IF(A52='Données projet'!$A$166,'Données projet'!$B$166,DO51+DN52-DW51)))</f>
        <v>124.87179487179483</v>
      </c>
      <c r="DP52" s="18">
        <f>DO52*VLOOKUP('Données projet'!$B$14,Paramètres!$A$1:$I$89,3,0)*VLOOKUP('Données projet'!$B$14,Paramètres!$A$1:$I$89,5,0)</f>
        <v>118.82799999999996</v>
      </c>
      <c r="DQ52" s="14">
        <f t="shared" si="43"/>
        <v>31.401493595425201</v>
      </c>
      <c r="DR52" s="22">
        <f t="shared" si="16"/>
        <v>261.64970134536549</v>
      </c>
      <c r="DS52" s="60">
        <f t="shared" si="17"/>
        <v>554.9830346786988</v>
      </c>
      <c r="DT52" s="60">
        <f ca="1">AVERAGE(OFFSET($DS$3,0,0,'Données projet'!$E$14+1,1))-AVERAGE(OFFSET($H$3,0,0,'Données projet'!$E$14+1,1))</f>
        <v>302.15577364214136</v>
      </c>
      <c r="DU52" s="60">
        <f t="shared" si="44"/>
        <v>197.15142751137051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6.0256410256410273</v>
      </c>
      <c r="EJ52" s="13">
        <f>IF('Données projet'!$A$192&gt;35,EJ51+EI52-ER51,IF(A52&lt;'Données projet'!$A$192,$EG$205^A52,IF(A52='Données projet'!$A$192,'Données projet'!$B$192,EJ51+EI52-ER51)))</f>
        <v>197.17948717948713</v>
      </c>
      <c r="EK52" s="18">
        <f>EJ52*VLOOKUP('Données projet'!$B$15,Paramètres!$A$1:$I$89,3,0)*VLOOKUP('Données projet'!$B$15,Paramètres!$A$1:$I$89,5,0)</f>
        <v>206.09199999999996</v>
      </c>
      <c r="EL52" s="14">
        <f t="shared" si="45"/>
        <v>51.080657963757403</v>
      </c>
      <c r="EM52" s="22">
        <f t="shared" si="19"/>
        <v>447.90904595354408</v>
      </c>
      <c r="EN52" s="60">
        <f t="shared" si="20"/>
        <v>741.24237928687739</v>
      </c>
      <c r="EO52" s="60">
        <f ca="1">AVERAGE(OFFSET($EN$3,0,0,'Données projet'!$E$15+1,1))-AVERAGE(OFFSET($H$3,0,0,'Données projet'!$E$15+1,1))</f>
        <v>493.70175665335978</v>
      </c>
      <c r="EP52" s="60">
        <f t="shared" si="46"/>
        <v>325.12357781685949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0" t="e">
        <f t="shared" si="23"/>
        <v>#N/A</v>
      </c>
      <c r="FJ52" s="60" t="e">
        <f ca="1">AVERAGE(OFFSET($FI$3,0,0,'Données projet'!$E$16+1,1))-AVERAGE(OFFSET($H$3,0,0,'Données projet'!$E$16+1,1))</f>
        <v>#N/A</v>
      </c>
      <c r="FK52" s="60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0" t="e">
        <f t="shared" si="26"/>
        <v>#N/A</v>
      </c>
      <c r="GE52" s="60" t="e">
        <f ca="1">AVERAGE(OFFSET($GD$3,0,0,'Données projet'!$E$17+1,1))-AVERAGE(OFFSET($H$3,0,0,'Données projet'!$E$17+1,1))</f>
        <v>#N/A</v>
      </c>
      <c r="GF52" s="60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5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8">
        <f t="shared" si="1"/>
        <v>256.66666666666669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11.611538461538466</v>
      </c>
      <c r="N53" s="14">
        <f>IF('Données projet'!$A$36&gt;35,N52+M53-V52,IF(A53&lt;'Données projet'!$A$36,$K$205^A53,IF(A53='Données projet'!$A$36,'Données projet'!$B$36,N52+M53-V52)))</f>
        <v>308.34615384615387</v>
      </c>
      <c r="O53" s="14">
        <f>N53*VLOOKUP('Données projet'!$B$9,Paramètres!$A$1:$I$89,3,0)*VLOOKUP('Données projet'!$B$9,Paramètres!$A$1:$I$89,5,0)</f>
        <v>184.39100000000005</v>
      </c>
      <c r="P53" s="14">
        <f t="shared" si="33"/>
        <v>46.297728214269426</v>
      </c>
      <c r="Q53" s="22">
        <f t="shared" si="53"/>
        <v>401.78286830651933</v>
      </c>
      <c r="R53" s="60">
        <f t="shared" si="0"/>
        <v>695.11620163985265</v>
      </c>
      <c r="S53" s="60">
        <f ca="1">AVERAGE(OFFSET($R$3,0,0,'Données projet'!$E$9+1,1))-AVERAGE(OFFSET($H$3,0,0,'Données projet'!$E$9+1,1))</f>
        <v>260.02504691866199</v>
      </c>
      <c r="T53" s="60">
        <f t="shared" si="34"/>
        <v>270.11268336406368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6.7350893867675978</v>
      </c>
      <c r="AA53" s="23">
        <f>EXP(-LN(2)/25)*AA52+(1-EXP(-LN(2)/25))/(LN(2)/25)*Calculateur!V53*Calculateur!X53*VLOOKUP('Données projet'!$B$9,Paramètres!$A$1:$I$89,3,0)*0.475*44/12</f>
        <v>9.4400245874200852</v>
      </c>
      <c r="AB53" s="23">
        <f>EXP(-LN(2)/2)*AB52+(1-EXP(-LN(2)/2))/(LN(2)/2)*V53*Y53*VLOOKUP('Données projet'!$B$9,Paramètres!$A$1:$I$89,3,0)*0.475*44/12</f>
        <v>6.1913681112537537E-3</v>
      </c>
      <c r="AC53" s="24">
        <f t="shared" si="3"/>
        <v>16.181305342298934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199</v>
      </c>
      <c r="AG53" s="13">
        <f>VLOOKUP(A53,'Données projet'!$A$61:$I$81,9,0)</f>
        <v>8.1999999999999993</v>
      </c>
      <c r="AH53" s="13">
        <f t="array" ref="AH53">INDEX(AG:AG,MIN(IF(ISNUMBER(AG53:AG249),ROW(AG53:AG249),"")))</f>
        <v>8.1999999999999993</v>
      </c>
      <c r="AI53" s="14">
        <f>IF('Données projet'!$A$62&gt;35,AI52+AH53-AQ52,IF(A53&lt;'Données projet'!$A$62,$AF$205^A53,IF(A53='Données projet'!$A$62,'Données projet'!$B$62,AI52+AH53-AQ52)))</f>
        <v>199</v>
      </c>
      <c r="AJ53" s="14">
        <f>AI53*VLOOKUP('Données projet'!$B$10,Paramètres!$A$1:$I$89,3,0)*VLOOKUP('Données projet'!$B$10,Paramètres!$A$1:$I$89,5,0)</f>
        <v>201.786</v>
      </c>
      <c r="AK53" s="14">
        <f t="shared" si="35"/>
        <v>50.136473146268756</v>
      </c>
      <c r="AL53" s="22">
        <f t="shared" si="4"/>
        <v>438.76497406308476</v>
      </c>
      <c r="AM53" s="60">
        <f t="shared" si="5"/>
        <v>732.09830739641802</v>
      </c>
      <c r="AN53" s="60">
        <f ca="1">AVERAGE(OFFSET($AM$3,0,0,'Données projet'!$E$10+1,1))-AVERAGE(OFFSET($H$3,0,0,'Données projet'!$E$10+1,1))</f>
        <v>475.47920969424894</v>
      </c>
      <c r="AO53" s="60">
        <f t="shared" si="36"/>
        <v>271.73544012419364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42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135</v>
      </c>
      <c r="BB53" s="13">
        <f>VLOOKUP(A53,'Données projet'!$A$87:$I$107,9,0)</f>
        <v>5.6</v>
      </c>
      <c r="BC53" s="13">
        <f t="array" ref="BC53">INDEX(BB:BB,MIN(IF(ISNUMBER(BB53:BB249),ROW(BB53:BB249),"")))</f>
        <v>5.6</v>
      </c>
      <c r="BD53" s="13">
        <f>IF('Données projet'!$A$88&gt;35,BD52+BC53-BL52,IF(A53&lt;'Données projet'!$A$88,$BA$205^A53,IF(A53='Données projet'!$A$88,'Données projet'!$B$88,BD52+BC53-BL52)))</f>
        <v>134.99999999999997</v>
      </c>
      <c r="BE53" s="14">
        <f>BD53*VLOOKUP('Données projet'!$B$11,Paramètres!$A$1:$I$89,3,0)*VLOOKUP('Données projet'!$B$11,Paramètres!$A$1:$I$89,5,0)</f>
        <v>122.14799999999998</v>
      </c>
      <c r="BF53" s="14">
        <f t="shared" si="37"/>
        <v>32.175466547071615</v>
      </c>
      <c r="BG53" s="22">
        <f t="shared" si="7"/>
        <v>268.78003756948306</v>
      </c>
      <c r="BH53" s="60">
        <f t="shared" si="8"/>
        <v>562.11337090281631</v>
      </c>
      <c r="BI53" s="60">
        <f ca="1">AVERAGE(OFFSET($BH$3,0,0,'Données projet'!$E$11+1,1))-AVERAGE(OFFSET($H$3,0,0,'Données projet'!$E$11+1,1))</f>
        <v>325.2649384779973</v>
      </c>
      <c r="BJ53" s="60">
        <f t="shared" si="38"/>
        <v>146.70159365068315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28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20.2</v>
      </c>
      <c r="BY53" s="13">
        <f>IF('Données projet'!$A$114&gt;35,BY52+BX53-CG52,IF(A53&lt;'Données projet'!$A$114,$BV$205^A53,IF(A53='Données projet'!$A$114,'Données projet'!$B$114,BY52+BX53-CG52)))</f>
        <v>577.4</v>
      </c>
      <c r="BZ53" s="14">
        <f>BY53*VLOOKUP('Données projet'!$B$12,Paramètres!$A$1:$I$89,3,0)*VLOOKUP('Données projet'!$B$12,Paramètres!$A$1:$I$89,5,0)</f>
        <v>255.21080000000001</v>
      </c>
      <c r="CA53" s="14">
        <f t="shared" si="39"/>
        <v>61.700412065276019</v>
      </c>
      <c r="CB53" s="22">
        <f t="shared" si="10"/>
        <v>551.95369434702229</v>
      </c>
      <c r="CC53" s="60">
        <f t="shared" si="11"/>
        <v>845.28702768035555</v>
      </c>
      <c r="CD53" s="60">
        <f ca="1">AVERAGE(OFFSET($CC$3,0,0,'Données projet'!$E$12+1,1))-AVERAGE(OFFSET($H$3,0,0,'Données projet'!$E$12+1,1))</f>
        <v>401.84375324751227</v>
      </c>
      <c r="CE53" s="60">
        <f t="shared" si="40"/>
        <v>350.39368043404164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4.7862801556584547</v>
      </c>
      <c r="CM53" s="23">
        <f>EXP(-LN(2)/2)*CM52+(1-EXP(-LN(2)/2))/(LN(2)/2)*CG53*CJ53*VLOOKUP('Données projet'!$B$12,Paramètres!$A$1:$I$89,3,0)*0.475*44/12</f>
        <v>1.3607032462159537E-3</v>
      </c>
      <c r="CN53" s="24">
        <f t="shared" si="12"/>
        <v>4.7876408589046706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241.60769230769228</v>
      </c>
      <c r="CR53" s="13">
        <f>VLOOKUP(A53,'Données projet'!$A$139:$I$159,9,0)</f>
        <v>10.101538461538457</v>
      </c>
      <c r="CS53" s="13">
        <f t="array" ref="CS53">INDEX(CR:CR,MIN(IF(ISNUMBER(CR53:CR249),ROW(CR53:CR249),"")))</f>
        <v>10.101538461538457</v>
      </c>
      <c r="CT53" s="13">
        <f>IF('Données projet'!$A$140&gt;35,CT52+CS53-DB52,IF(A53&lt;'Données projet'!$A$140,$CQ$205^A53,IF(A53='Données projet'!$A$140,'Données projet'!$B$140,CT52+CS53-DB52)))</f>
        <v>241.6076923076923</v>
      </c>
      <c r="CU53" s="18">
        <f>CT53*VLOOKUP('Données projet'!$B$13,Paramètres!$A$1:$I$89,3,0)*VLOOKUP('Données projet'!$B$13,Paramètres!$A$1:$I$89,5,0)</f>
        <v>144.48140000000001</v>
      </c>
      <c r="CV53" s="14">
        <f t="shared" si="41"/>
        <v>37.321741124084674</v>
      </c>
      <c r="CW53" s="22">
        <f t="shared" si="13"/>
        <v>316.64047079111413</v>
      </c>
      <c r="CX53" s="60">
        <f t="shared" si="14"/>
        <v>609.9738041244475</v>
      </c>
      <c r="CY53" s="60">
        <f ca="1">AVERAGE(OFFSET($CX$3,0,0,'Données projet'!$E$13+1,1))-AVERAGE(OFFSET($H$3,0,0,'Données projet'!$E$13+1,1))</f>
        <v>232.73140429491525</v>
      </c>
      <c r="CZ53" s="60">
        <f t="shared" si="42"/>
        <v>201.02719152328638</v>
      </c>
      <c r="DA53" s="16">
        <f>IF(ISNA(VLOOKUP(A53,'Données projet'!$A$139:$I$159,3,0)),0,VLOOKUP(A53,'Données projet'!$A$139:$I$159,3,0))</f>
        <v>4</v>
      </c>
      <c r="DB53" s="16">
        <f>IF(ISNA(VLOOKUP(A53,'Données projet'!$A$139:$I$159,4,0)),0,VLOOKUP(A53,'Données projet'!$A$139:$I$159,4,0))</f>
        <v>55.676923076923075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4.5732149742999031</v>
      </c>
      <c r="DH53" s="23">
        <f>EXP(-LN(2)/2)*DH52+(1-EXP(-LN(2)/2))/(LN(2)/2)*DB53*DE53*VLOOKUP('Données projet'!$B$13,Paramètres!$A$1:$I$89,3,0)*0.475*44/12</f>
        <v>3.0066625891822518E-3</v>
      </c>
      <c r="DI53" s="24">
        <f t="shared" si="15"/>
        <v>4.5762216368890858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129.48717948717947</v>
      </c>
      <c r="DM53" s="13">
        <f>VLOOKUP(A53,'Données projet'!$A$165:$I$185,9,0)</f>
        <v>4.6153846153846132</v>
      </c>
      <c r="DN53" s="13">
        <f t="array" ref="DN53">INDEX(DM:DM,MIN(IF(ISNUMBER(DM53:DM249),ROW(DM53:DM249),"")))</f>
        <v>4.6153846153846132</v>
      </c>
      <c r="DO53" s="13">
        <f>IF('Données projet'!$A$166&gt;35,DO52+DN53-DW52,IF(A53&lt;'Données projet'!$A$166,$DL$205^A53,IF(A53='Données projet'!$A$166,'Données projet'!$B$166,DO52+DN53-DW52)))</f>
        <v>129.48717948717945</v>
      </c>
      <c r="DP53" s="18">
        <f>DO53*VLOOKUP('Données projet'!$B$14,Paramètres!$A$1:$I$89,3,0)*VLOOKUP('Données projet'!$B$14,Paramètres!$A$1:$I$89,5,0)</f>
        <v>123.21999999999996</v>
      </c>
      <c r="DQ53" s="14">
        <f t="shared" si="43"/>
        <v>32.42485010818541</v>
      </c>
      <c r="DR53" s="22">
        <f t="shared" si="16"/>
        <v>271.08144727175619</v>
      </c>
      <c r="DS53" s="60">
        <f t="shared" si="17"/>
        <v>564.4147806050895</v>
      </c>
      <c r="DT53" s="60">
        <f ca="1">AVERAGE(OFFSET($DS$3,0,0,'Données projet'!$E$14+1,1))-AVERAGE(OFFSET($H$3,0,0,'Données projet'!$E$14+1,1))</f>
        <v>302.15577364214136</v>
      </c>
      <c r="DU53" s="60">
        <f t="shared" si="44"/>
        <v>197.15142751137051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203.2051282051282</v>
      </c>
      <c r="EH53" s="13">
        <f>VLOOKUP(A53,'Données projet'!$A$191:$I$211,9,0)</f>
        <v>6.0256410256410273</v>
      </c>
      <c r="EI53" s="13">
        <f t="array" ref="EI53">INDEX(EH:EH,MIN(IF(ISNUMBER(EH53:EH249),ROW(EH53:EH249),"")))</f>
        <v>6.0256410256410273</v>
      </c>
      <c r="EJ53" s="13">
        <f>IF('Données projet'!$A$192&gt;35,EJ52+EI53-ER52,IF(A53&lt;'Données projet'!$A$192,$EG$205^A53,IF(A53='Données projet'!$A$192,'Données projet'!$B$192,EJ52+EI53-ER52)))</f>
        <v>203.20512820512815</v>
      </c>
      <c r="EK53" s="18">
        <f>EJ53*VLOOKUP('Données projet'!$B$15,Paramètres!$A$1:$I$89,3,0)*VLOOKUP('Données projet'!$B$15,Paramètres!$A$1:$I$89,5,0)</f>
        <v>212.38999999999993</v>
      </c>
      <c r="EL53" s="14">
        <f t="shared" si="45"/>
        <v>52.457516346075991</v>
      </c>
      <c r="EM53" s="22">
        <f t="shared" si="19"/>
        <v>461.27609096941552</v>
      </c>
      <c r="EN53" s="60">
        <f t="shared" si="20"/>
        <v>754.60942430274883</v>
      </c>
      <c r="EO53" s="60">
        <f ca="1">AVERAGE(OFFSET($EN$3,0,0,'Données projet'!$E$15+1,1))-AVERAGE(OFFSET($H$3,0,0,'Données projet'!$E$15+1,1))</f>
        <v>493.70175665335978</v>
      </c>
      <c r="EP53" s="60">
        <f t="shared" si="46"/>
        <v>325.12357781685949</v>
      </c>
      <c r="EQ53" s="16">
        <f>IF(ISNA(VLOOKUP(A53,'Données projet'!$A$191:$I$211,3,0)),0,VLOOKUP(A53,'Données projet'!$A$191:$I$211,3,0))</f>
        <v>3</v>
      </c>
      <c r="ER53" s="16">
        <f>IF(ISNA(VLOOKUP(A53,'Données projet'!$A$191:$I$211,4,0)),0,VLOOKUP(A53,'Données projet'!$A$191:$I$211,4,0))</f>
        <v>24.358974358974358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0" t="e">
        <f t="shared" si="23"/>
        <v>#N/A</v>
      </c>
      <c r="FJ53" s="60" t="e">
        <f ca="1">AVERAGE(OFFSET($FI$3,0,0,'Données projet'!$E$16+1,1))-AVERAGE(OFFSET($H$3,0,0,'Données projet'!$E$16+1,1))</f>
        <v>#N/A</v>
      </c>
      <c r="FK53" s="60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0" t="e">
        <f t="shared" si="26"/>
        <v>#N/A</v>
      </c>
      <c r="GE53" s="60" t="e">
        <f ca="1">AVERAGE(OFFSET($GD$3,0,0,'Données projet'!$E$17+1,1))-AVERAGE(OFFSET($H$3,0,0,'Données projet'!$E$17+1,1))</f>
        <v>#N/A</v>
      </c>
      <c r="GF53" s="60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5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8">
        <f t="shared" si="1"/>
        <v>256.66666666666669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11.611538461538466</v>
      </c>
      <c r="N54" s="14">
        <f>IF('Données projet'!$A$36&gt;35,N53+M54-V53,IF(A54&lt;'Données projet'!$A$36,$K$205^A54,IF(A54='Données projet'!$A$36,'Données projet'!$B$36,N53+M54-V53)))</f>
        <v>319.95769230769235</v>
      </c>
      <c r="O54" s="14">
        <f>N54*VLOOKUP('Données projet'!$B$9,Paramètres!$A$1:$I$89,3,0)*VLOOKUP('Données projet'!$B$9,Paramètres!$A$1:$I$89,5,0)</f>
        <v>191.33470000000005</v>
      </c>
      <c r="P54" s="14">
        <f t="shared" si="33"/>
        <v>47.834915743348681</v>
      </c>
      <c r="Q54" s="22">
        <f t="shared" si="53"/>
        <v>416.55374741966574</v>
      </c>
      <c r="R54" s="60">
        <f t="shared" si="0"/>
        <v>709.88708075299905</v>
      </c>
      <c r="S54" s="60">
        <f ca="1">AVERAGE(OFFSET($R$3,0,0,'Données projet'!$E$9+1,1))-AVERAGE(OFFSET($H$3,0,0,'Données projet'!$E$9+1,1))</f>
        <v>260.02504691866199</v>
      </c>
      <c r="T54" s="60">
        <f t="shared" si="34"/>
        <v>270.11268336406368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6.6030183918919798</v>
      </c>
      <c r="AA54" s="23">
        <f>EXP(-LN(2)/25)*AA53+(1-EXP(-LN(2)/25))/(LN(2)/25)*Calculateur!V54*Calculateur!X54*VLOOKUP('Données projet'!$B$9,Paramètres!$A$1:$I$89,3,0)*0.475*44/12</f>
        <v>9.1818866186477646</v>
      </c>
      <c r="AB54" s="23">
        <f>EXP(-LN(2)/2)*AB53+(1-EXP(-LN(2)/2))/(LN(2)/2)*V54*Y54*VLOOKUP('Données projet'!$B$9,Paramètres!$A$1:$I$89,3,0)*0.475*44/12</f>
        <v>4.377958376289676E-3</v>
      </c>
      <c r="AC54" s="24">
        <f t="shared" si="3"/>
        <v>15.789282968916035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165</v>
      </c>
      <c r="AJ54" s="14">
        <f>AI54*VLOOKUP('Données projet'!$B$10,Paramètres!$A$1:$I$89,3,0)*VLOOKUP('Données projet'!$B$10,Paramètres!$A$1:$I$89,5,0)</f>
        <v>167.31</v>
      </c>
      <c r="AK54" s="14">
        <f t="shared" si="35"/>
        <v>42.486994942347515</v>
      </c>
      <c r="AL54" s="22">
        <f t="shared" si="4"/>
        <v>365.39643285792187</v>
      </c>
      <c r="AM54" s="60">
        <f t="shared" si="5"/>
        <v>658.72976619125518</v>
      </c>
      <c r="AN54" s="60">
        <f ca="1">AVERAGE(OFFSET($AM$3,0,0,'Données projet'!$E$10+1,1))-AVERAGE(OFFSET($H$3,0,0,'Données projet'!$E$10+1,1))</f>
        <v>475.47920969424894</v>
      </c>
      <c r="AO54" s="60">
        <f t="shared" si="36"/>
        <v>271.73544012419364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5.5</v>
      </c>
      <c r="BD54" s="13">
        <f>IF('Données projet'!$A$88&gt;35,BD53+BC54-BL53,IF(A54&lt;'Données projet'!$A$88,$BA$205^A54,IF(A54='Données projet'!$A$88,'Données projet'!$B$88,BD53+BC54-BL53)))</f>
        <v>112.49999999999997</v>
      </c>
      <c r="BE54" s="14">
        <f>BD54*VLOOKUP('Données projet'!$B$11,Paramètres!$A$1:$I$89,3,0)*VLOOKUP('Données projet'!$B$11,Paramètres!$A$1:$I$89,5,0)</f>
        <v>101.78999999999998</v>
      </c>
      <c r="BF54" s="14">
        <f t="shared" si="37"/>
        <v>27.38799903683508</v>
      </c>
      <c r="BG54" s="22">
        <f t="shared" si="7"/>
        <v>224.98501498915437</v>
      </c>
      <c r="BH54" s="60">
        <f t="shared" si="8"/>
        <v>518.31834832248774</v>
      </c>
      <c r="BI54" s="60">
        <f ca="1">AVERAGE(OFFSET($BH$3,0,0,'Données projet'!$E$11+1,1))-AVERAGE(OFFSET($H$3,0,0,'Données projet'!$E$11+1,1))</f>
        <v>325.2649384779973</v>
      </c>
      <c r="BJ54" s="60">
        <f t="shared" si="38"/>
        <v>146.70159365068315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20.2</v>
      </c>
      <c r="BY54" s="13">
        <f>IF('Données projet'!$A$114&gt;35,BY53+BX54-CG53,IF(A54&lt;'Données projet'!$A$114,$BV$205^A54,IF(A54='Données projet'!$A$114,'Données projet'!$B$114,BY53+BX54-CG53)))</f>
        <v>597.6</v>
      </c>
      <c r="BZ54" s="14">
        <f>BY54*VLOOKUP('Données projet'!$B$12,Paramètres!$A$1:$I$89,3,0)*VLOOKUP('Données projet'!$B$12,Paramètres!$A$1:$I$89,5,0)</f>
        <v>264.13920000000002</v>
      </c>
      <c r="CA54" s="14">
        <f t="shared" si="39"/>
        <v>63.60387543087441</v>
      </c>
      <c r="CB54" s="22">
        <f t="shared" si="10"/>
        <v>570.81918970877302</v>
      </c>
      <c r="CC54" s="60">
        <f t="shared" si="11"/>
        <v>864.1525230421064</v>
      </c>
      <c r="CD54" s="60">
        <f ca="1">AVERAGE(OFFSET($CC$3,0,0,'Données projet'!$E$12+1,1))-AVERAGE(OFFSET($H$3,0,0,'Données projet'!$E$12+1,1))</f>
        <v>401.84375324751227</v>
      </c>
      <c r="CE54" s="60">
        <f t="shared" si="40"/>
        <v>350.39368043404164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4.6553990731024397</v>
      </c>
      <c r="CM54" s="23">
        <f>EXP(-LN(2)/2)*CM53+(1-EXP(-LN(2)/2))/(LN(2)/2)*CG54*CJ54*VLOOKUP('Données projet'!$B$12,Paramètres!$A$1:$I$89,3,0)*0.475*44/12</f>
        <v>9.6216249258184935E-4</v>
      </c>
      <c r="CN54" s="24">
        <f t="shared" si="12"/>
        <v>4.6563612355950212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8.9376923076923056</v>
      </c>
      <c r="CT54" s="13">
        <f>IF('Données projet'!$A$140&gt;35,CT53+CS54-DB53,IF(A54&lt;'Données projet'!$A$140,$CQ$205^A54,IF(A54='Données projet'!$A$140,'Données projet'!$B$140,CT53+CS54-DB53)))</f>
        <v>194.86846153846153</v>
      </c>
      <c r="CU54" s="18">
        <f>CT54*VLOOKUP('Données projet'!$B$13,Paramètres!$A$1:$I$89,3,0)*VLOOKUP('Données projet'!$B$13,Paramètres!$A$1:$I$89,5,0)</f>
        <v>116.53134</v>
      </c>
      <c r="CV54" s="14">
        <f t="shared" si="41"/>
        <v>30.864615448954051</v>
      </c>
      <c r="CW54" s="22">
        <f t="shared" si="13"/>
        <v>256.7146224069283</v>
      </c>
      <c r="CX54" s="60">
        <f t="shared" si="14"/>
        <v>550.04795574026161</v>
      </c>
      <c r="CY54" s="60">
        <f ca="1">AVERAGE(OFFSET($CX$3,0,0,'Données projet'!$E$13+1,1))-AVERAGE(OFFSET($H$3,0,0,'Données projet'!$E$13+1,1))</f>
        <v>232.73140429491525</v>
      </c>
      <c r="CZ54" s="60">
        <f t="shared" si="42"/>
        <v>201.02719152328638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4.4481601703327494</v>
      </c>
      <c r="DH54" s="23">
        <f>EXP(-LN(2)/2)*DH53+(1-EXP(-LN(2)/2))/(LN(2)/2)*DB54*DE54*VLOOKUP('Données projet'!$B$13,Paramètres!$A$1:$I$89,3,0)*0.475*44/12</f>
        <v>2.126031505550673E-3</v>
      </c>
      <c r="DI54" s="24">
        <f t="shared" si="15"/>
        <v>4.4502862018383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4.2307692307692317</v>
      </c>
      <c r="DO54" s="13">
        <f>IF('Données projet'!$A$166&gt;35,DO53+DN54-DW53,IF(A54&lt;'Données projet'!$A$166,$DL$205^A54,IF(A54='Données projet'!$A$166,'Données projet'!$B$166,DO53+DN54-DW53)))</f>
        <v>133.71794871794867</v>
      </c>
      <c r="DP54" s="18">
        <f>DO54*VLOOKUP('Données projet'!$B$14,Paramètres!$A$1:$I$89,3,0)*VLOOKUP('Données projet'!$B$14,Paramètres!$A$1:$I$89,5,0)</f>
        <v>127.24599999999997</v>
      </c>
      <c r="DQ54" s="14">
        <f t="shared" si="43"/>
        <v>33.359199928902115</v>
      </c>
      <c r="DR54" s="22">
        <f t="shared" si="16"/>
        <v>279.72072320950446</v>
      </c>
      <c r="DS54" s="60">
        <f t="shared" si="17"/>
        <v>573.05405654283777</v>
      </c>
      <c r="DT54" s="60">
        <f ca="1">AVERAGE(OFFSET($DS$3,0,0,'Données projet'!$E$14+1,1))-AVERAGE(OFFSET($H$3,0,0,'Données projet'!$E$14+1,1))</f>
        <v>302.15577364214136</v>
      </c>
      <c r="DU54" s="60">
        <f t="shared" si="44"/>
        <v>197.15142751137051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5.6410256410256405</v>
      </c>
      <c r="EJ54" s="13">
        <f>IF('Données projet'!$A$192&gt;35,EJ53+EI54-ER53,IF(A54&lt;'Données projet'!$A$192,$EG$205^A54,IF(A54='Données projet'!$A$192,'Données projet'!$B$192,EJ53+EI54-ER53)))</f>
        <v>184.48717948717942</v>
      </c>
      <c r="EK54" s="18">
        <f>EJ54*VLOOKUP('Données projet'!$B$15,Paramètres!$A$1:$I$89,3,0)*VLOOKUP('Données projet'!$B$15,Paramètres!$A$1:$I$89,5,0)</f>
        <v>192.82599999999994</v>
      </c>
      <c r="EL54" s="14">
        <f t="shared" si="45"/>
        <v>48.164203450161025</v>
      </c>
      <c r="EM54" s="22">
        <f t="shared" si="19"/>
        <v>419.72460434236359</v>
      </c>
      <c r="EN54" s="60">
        <f t="shared" si="20"/>
        <v>713.05793767569685</v>
      </c>
      <c r="EO54" s="60">
        <f ca="1">AVERAGE(OFFSET($EN$3,0,0,'Données projet'!$E$15+1,1))-AVERAGE(OFFSET($H$3,0,0,'Données projet'!$E$15+1,1))</f>
        <v>493.70175665335978</v>
      </c>
      <c r="EP54" s="60">
        <f t="shared" si="46"/>
        <v>325.12357781685949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0" t="e">
        <f t="shared" si="23"/>
        <v>#N/A</v>
      </c>
      <c r="FJ54" s="60" t="e">
        <f ca="1">AVERAGE(OFFSET($FI$3,0,0,'Données projet'!$E$16+1,1))-AVERAGE(OFFSET($H$3,0,0,'Données projet'!$E$16+1,1))</f>
        <v>#N/A</v>
      </c>
      <c r="FK54" s="60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0" t="e">
        <f t="shared" si="26"/>
        <v>#N/A</v>
      </c>
      <c r="GE54" s="60" t="e">
        <f ca="1">AVERAGE(OFFSET($GD$3,0,0,'Données projet'!$E$17+1,1))-AVERAGE(OFFSET($H$3,0,0,'Données projet'!$E$17+1,1))</f>
        <v>#N/A</v>
      </c>
      <c r="GF54" s="60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5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8">
        <f t="shared" si="1"/>
        <v>256.66666666666669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>
        <f>VLOOKUP(A55,'Données projet'!$A$35:$I$55,2,0)</f>
        <v>331.56923076923078</v>
      </c>
      <c r="L55" s="13">
        <f>VLOOKUP(A55,'Données projet'!$A$35:$I$55,9,0)</f>
        <v>11.611538461538466</v>
      </c>
      <c r="M55" s="13">
        <f t="array" ref="M55">INDEX(L:L,MIN(IF(ISNUMBER(L55:L251),ROW(L55:L251),"")))</f>
        <v>11.611538461538466</v>
      </c>
      <c r="N55" s="14">
        <f>IF('Données projet'!$A$36&gt;35,N54+M55-V54,IF(A55&lt;'Données projet'!$A$36,$K$205^A55,IF(A55='Données projet'!$A$36,'Données projet'!$B$36,N54+M55-V54)))</f>
        <v>331.56923076923084</v>
      </c>
      <c r="O55" s="14">
        <f>N55*VLOOKUP('Données projet'!$B$9,Paramètres!$A$1:$I$89,3,0)*VLOOKUP('Données projet'!$B$9,Paramètres!$A$1:$I$89,5,0)</f>
        <v>198.27840000000003</v>
      </c>
      <c r="P55" s="14">
        <f t="shared" si="33"/>
        <v>49.36562199236586</v>
      </c>
      <c r="Q55" s="22">
        <f t="shared" si="53"/>
        <v>431.31333830337053</v>
      </c>
      <c r="R55" s="60">
        <f t="shared" si="0"/>
        <v>724.64667163670379</v>
      </c>
      <c r="S55" s="60">
        <f ca="1">AVERAGE(OFFSET($R$3,0,0,'Données projet'!$E$9+1,1))-AVERAGE(OFFSET($H$3,0,0,'Données projet'!$E$9+1,1))</f>
        <v>260.02504691866199</v>
      </c>
      <c r="T55" s="60">
        <f t="shared" si="34"/>
        <v>270.11268336406368</v>
      </c>
      <c r="U55" s="16">
        <f>IF(ISNA(VLOOKUP(A55,'Données projet'!$A$35:$I$55,3,0)),0,VLOOKUP(A55,'Données projet'!$A$35:$I$55,3,0))</f>
        <v>6</v>
      </c>
      <c r="V55" s="16">
        <f>IF(ISNA(VLOOKUP(A55,'Données projet'!$A$35:$I$55,4,0)),0,VLOOKUP(A55,'Données projet'!$A$35:$I$55,4,0))</f>
        <v>61.784615384615378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6.4735372286705202</v>
      </c>
      <c r="AA55" s="23">
        <f>EXP(-LN(2)/25)*AA54+(1-EXP(-LN(2)/25))/(LN(2)/25)*Calculateur!V55*Calculateur!X55*VLOOKUP('Données projet'!$B$9,Paramètres!$A$1:$I$89,3,0)*0.475*44/12</f>
        <v>8.9308074462064102</v>
      </c>
      <c r="AB55" s="23">
        <f>EXP(-LN(2)/2)*AB54+(1-EXP(-LN(2)/2))/(LN(2)/2)*V55*Y55*VLOOKUP('Données projet'!$B$9,Paramètres!$A$1:$I$89,3,0)*0.475*44/12</f>
        <v>3.0956840556268768E-3</v>
      </c>
      <c r="AC55" s="24">
        <f t="shared" si="3"/>
        <v>15.407440358932558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173</v>
      </c>
      <c r="AJ55" s="14">
        <f>AI55*VLOOKUP('Données projet'!$B$10,Paramètres!$A$1:$I$89,3,0)*VLOOKUP('Données projet'!$B$10,Paramètres!$A$1:$I$89,5,0)</f>
        <v>175.422</v>
      </c>
      <c r="AK55" s="14">
        <f t="shared" si="35"/>
        <v>44.302143412304737</v>
      </c>
      <c r="AL55" s="22">
        <f t="shared" si="4"/>
        <v>382.68621644309741</v>
      </c>
      <c r="AM55" s="60">
        <f t="shared" si="5"/>
        <v>676.01954977643072</v>
      </c>
      <c r="AN55" s="60">
        <f ca="1">AVERAGE(OFFSET($AM$3,0,0,'Données projet'!$E$10+1,1))-AVERAGE(OFFSET($H$3,0,0,'Données projet'!$E$10+1,1))</f>
        <v>475.47920969424894</v>
      </c>
      <c r="AO55" s="60">
        <f t="shared" si="36"/>
        <v>271.73544012419364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5.5</v>
      </c>
      <c r="BD55" s="13">
        <f>IF('Données projet'!$A$88&gt;35,BD54+BC55-BL54,IF(A55&lt;'Données projet'!$A$88,$BA$205^A55,IF(A55='Données projet'!$A$88,'Données projet'!$B$88,BD54+BC55-BL54)))</f>
        <v>117.99999999999997</v>
      </c>
      <c r="BE55" s="14">
        <f>BD55*VLOOKUP('Données projet'!$B$11,Paramètres!$A$1:$I$89,3,0)*VLOOKUP('Données projet'!$B$11,Paramètres!$A$1:$I$89,5,0)</f>
        <v>106.76639999999998</v>
      </c>
      <c r="BF55" s="14">
        <f t="shared" si="37"/>
        <v>28.5678052620942</v>
      </c>
      <c r="BG55" s="22">
        <f t="shared" si="7"/>
        <v>235.707074164814</v>
      </c>
      <c r="BH55" s="60">
        <f t="shared" si="8"/>
        <v>529.04040749814726</v>
      </c>
      <c r="BI55" s="60">
        <f ca="1">AVERAGE(OFFSET($BH$3,0,0,'Données projet'!$E$11+1,1))-AVERAGE(OFFSET($H$3,0,0,'Données projet'!$E$11+1,1))</f>
        <v>325.2649384779973</v>
      </c>
      <c r="BJ55" s="60">
        <f t="shared" si="38"/>
        <v>146.70159365068315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20.2</v>
      </c>
      <c r="BY55" s="13">
        <f>IF('Données projet'!$A$114&gt;35,BY54+BX55-CG54,IF(A55&lt;'Données projet'!$A$114,$BV$205^A55,IF(A55='Données projet'!$A$114,'Données projet'!$B$114,BY54+BX55-CG54)))</f>
        <v>617.80000000000007</v>
      </c>
      <c r="BZ55" s="14">
        <f>BY55*VLOOKUP('Données projet'!$B$12,Paramètres!$A$1:$I$89,3,0)*VLOOKUP('Données projet'!$B$12,Paramètres!$A$1:$I$89,5,0)</f>
        <v>273.06760000000008</v>
      </c>
      <c r="CA55" s="14">
        <f t="shared" si="39"/>
        <v>65.499862757346591</v>
      </c>
      <c r="CB55" s="22">
        <f t="shared" si="10"/>
        <v>589.67166430237876</v>
      </c>
      <c r="CC55" s="60">
        <f t="shared" si="11"/>
        <v>883.00499763571202</v>
      </c>
      <c r="CD55" s="60">
        <f ca="1">AVERAGE(OFFSET($CC$3,0,0,'Données projet'!$E$12+1,1))-AVERAGE(OFFSET($H$3,0,0,'Données projet'!$E$12+1,1))</f>
        <v>401.84375324751227</v>
      </c>
      <c r="CE55" s="60">
        <f t="shared" si="40"/>
        <v>350.39368043404164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4.5280969406316567</v>
      </c>
      <c r="CM55" s="23">
        <f>EXP(-LN(2)/2)*CM54+(1-EXP(-LN(2)/2))/(LN(2)/2)*CG55*CJ55*VLOOKUP('Données projet'!$B$12,Paramètres!$A$1:$I$89,3,0)*0.475*44/12</f>
        <v>6.8035162310797694E-4</v>
      </c>
      <c r="CN55" s="24">
        <f t="shared" si="12"/>
        <v>4.5287772922547642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8.9376923076923056</v>
      </c>
      <c r="CT55" s="13">
        <f>IF('Données projet'!$A$140&gt;35,CT54+CS55-DB54,IF(A55&lt;'Données projet'!$A$140,$CQ$205^A55,IF(A55='Données projet'!$A$140,'Données projet'!$B$140,CT54+CS55-DB54)))</f>
        <v>203.80615384615385</v>
      </c>
      <c r="CU55" s="18">
        <f>CT55*VLOOKUP('Données projet'!$B$13,Paramètres!$A$1:$I$89,3,0)*VLOOKUP('Données projet'!$B$13,Paramètres!$A$1:$I$89,5,0)</f>
        <v>121.87608000000002</v>
      </c>
      <c r="CV55" s="14">
        <f t="shared" si="41"/>
        <v>32.112168303032924</v>
      </c>
      <c r="CW55" s="22">
        <f t="shared" si="13"/>
        <v>268.19619912778239</v>
      </c>
      <c r="CX55" s="60">
        <f t="shared" si="14"/>
        <v>561.52953246111565</v>
      </c>
      <c r="CY55" s="60">
        <f ca="1">AVERAGE(OFFSET($CX$3,0,0,'Données projet'!$E$13+1,1))-AVERAGE(OFFSET($H$3,0,0,'Données projet'!$E$13+1,1))</f>
        <v>232.73140429491525</v>
      </c>
      <c r="CZ55" s="60">
        <f t="shared" si="42"/>
        <v>201.02719152328638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4.3265249965564232</v>
      </c>
      <c r="DH55" s="23">
        <f>EXP(-LN(2)/2)*DH54+(1-EXP(-LN(2)/2))/(LN(2)/2)*DB55*DE55*VLOOKUP('Données projet'!$B$13,Paramètres!$A$1:$I$89,3,0)*0.475*44/12</f>
        <v>1.5033312945911259E-3</v>
      </c>
      <c r="DI55" s="24">
        <f t="shared" si="15"/>
        <v>4.3280283278510145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4.2307692307692317</v>
      </c>
      <c r="DO55" s="13">
        <f>IF('Données projet'!$A$166&gt;35,DO54+DN55-DW54,IF(A55&lt;'Données projet'!$A$166,$DL$205^A55,IF(A55='Données projet'!$A$166,'Données projet'!$B$166,DO54+DN55-DW54)))</f>
        <v>137.9487179487179</v>
      </c>
      <c r="DP55" s="18">
        <f>DO55*VLOOKUP('Données projet'!$B$14,Paramètres!$A$1:$I$89,3,0)*VLOOKUP('Données projet'!$B$14,Paramètres!$A$1:$I$89,5,0)</f>
        <v>131.27199999999996</v>
      </c>
      <c r="DQ55" s="14">
        <f t="shared" si="43"/>
        <v>34.290114413733548</v>
      </c>
      <c r="DR55" s="22">
        <f t="shared" si="16"/>
        <v>288.35401593725254</v>
      </c>
      <c r="DS55" s="60">
        <f t="shared" si="17"/>
        <v>581.68734927058586</v>
      </c>
      <c r="DT55" s="60">
        <f ca="1">AVERAGE(OFFSET($DS$3,0,0,'Données projet'!$E$14+1,1))-AVERAGE(OFFSET($H$3,0,0,'Données projet'!$E$14+1,1))</f>
        <v>302.15577364214136</v>
      </c>
      <c r="DU55" s="60">
        <f t="shared" si="44"/>
        <v>197.15142751137051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5.6410256410256405</v>
      </c>
      <c r="EJ55" s="13">
        <f>IF('Données projet'!$A$192&gt;35,EJ54+EI55-ER54,IF(A55&lt;'Données projet'!$A$192,$EG$205^A55,IF(A55='Données projet'!$A$192,'Données projet'!$B$192,EJ54+EI55-ER54)))</f>
        <v>190.12820512820505</v>
      </c>
      <c r="EK55" s="18">
        <f>EJ55*VLOOKUP('Données projet'!$B$15,Paramètres!$A$1:$I$89,3,0)*VLOOKUP('Données projet'!$B$15,Paramètres!$A$1:$I$89,5,0)</f>
        <v>198.72199999999992</v>
      </c>
      <c r="EL55" s="14">
        <f t="shared" si="45"/>
        <v>49.463197303970119</v>
      </c>
      <c r="EM55" s="22">
        <f t="shared" si="19"/>
        <v>432.25588530441445</v>
      </c>
      <c r="EN55" s="60">
        <f t="shared" si="20"/>
        <v>725.58921863774776</v>
      </c>
      <c r="EO55" s="60">
        <f ca="1">AVERAGE(OFFSET($EN$3,0,0,'Données projet'!$E$15+1,1))-AVERAGE(OFFSET($H$3,0,0,'Données projet'!$E$15+1,1))</f>
        <v>493.70175665335978</v>
      </c>
      <c r="EP55" s="60">
        <f t="shared" si="46"/>
        <v>325.12357781685949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0" t="e">
        <f t="shared" si="23"/>
        <v>#N/A</v>
      </c>
      <c r="FJ55" s="60" t="e">
        <f ca="1">AVERAGE(OFFSET($FI$3,0,0,'Données projet'!$E$16+1,1))-AVERAGE(OFFSET($H$3,0,0,'Données projet'!$E$16+1,1))</f>
        <v>#N/A</v>
      </c>
      <c r="FK55" s="60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0" t="e">
        <f t="shared" si="26"/>
        <v>#N/A</v>
      </c>
      <c r="GE55" s="60" t="e">
        <f ca="1">AVERAGE(OFFSET($GD$3,0,0,'Données projet'!$E$17+1,1))-AVERAGE(OFFSET($H$3,0,0,'Données projet'!$E$17+1,1))</f>
        <v>#N/A</v>
      </c>
      <c r="GF55" s="60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5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8">
        <f t="shared" si="1"/>
        <v>256.66666666666669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10.464423076923076</v>
      </c>
      <c r="N56" s="14">
        <f>IF('Données projet'!$A$36&gt;35,N55+M56-V55,IF(A56&lt;'Données projet'!$A$36,$K$205^A56,IF(A56='Données projet'!$A$36,'Données projet'!$B$36,N55+M56-V55)))</f>
        <v>280.24903846153853</v>
      </c>
      <c r="O56" s="14">
        <f>N56*VLOOKUP('Données projet'!$B$9,Paramètres!$A$1:$I$89,3,0)*VLOOKUP('Données projet'!$B$9,Paramètres!$A$1:$I$89,5,0)</f>
        <v>167.58892500000007</v>
      </c>
      <c r="P56" s="14">
        <f t="shared" si="33"/>
        <v>42.549574883574216</v>
      </c>
      <c r="Q56" s="22">
        <f t="shared" si="53"/>
        <v>365.99122063055853</v>
      </c>
      <c r="R56" s="60">
        <f t="shared" si="0"/>
        <v>659.32455396389184</v>
      </c>
      <c r="S56" s="60">
        <f ca="1">AVERAGE(OFFSET($R$3,0,0,'Données projet'!$E$9+1,1))-AVERAGE(OFFSET($H$3,0,0,'Données projet'!$E$9+1,1))</f>
        <v>260.02504691866199</v>
      </c>
      <c r="T56" s="60">
        <f t="shared" si="34"/>
        <v>270.11268336406368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6.3465951120841222</v>
      </c>
      <c r="AA56" s="23">
        <f>EXP(-LN(2)/25)*AA55+(1-EXP(-LN(2)/25))/(LN(2)/25)*Calculateur!V56*Calculateur!X56*VLOOKUP('Données projet'!$B$9,Paramètres!$A$1:$I$89,3,0)*0.475*44/12</f>
        <v>8.6865940469391436</v>
      </c>
      <c r="AB56" s="23">
        <f>EXP(-LN(2)/2)*AB55+(1-EXP(-LN(2)/2))/(LN(2)/2)*V56*Y56*VLOOKUP('Données projet'!$B$9,Paramètres!$A$1:$I$89,3,0)*0.475*44/12</f>
        <v>2.188979188144838E-3</v>
      </c>
      <c r="AC56" s="24">
        <f t="shared" si="3"/>
        <v>15.03537813821141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181</v>
      </c>
      <c r="AJ56" s="14">
        <f>AI56*VLOOKUP('Données projet'!$B$10,Paramètres!$A$1:$I$89,3,0)*VLOOKUP('Données projet'!$B$10,Paramètres!$A$1:$I$89,5,0)</f>
        <v>183.53400000000002</v>
      </c>
      <c r="AK56" s="14">
        <f t="shared" si="35"/>
        <v>46.107544136839593</v>
      </c>
      <c r="AL56" s="22">
        <f t="shared" si="4"/>
        <v>399.95902270499568</v>
      </c>
      <c r="AM56" s="60">
        <f t="shared" si="5"/>
        <v>693.29235603832899</v>
      </c>
      <c r="AN56" s="60">
        <f ca="1">AVERAGE(OFFSET($AM$3,0,0,'Données projet'!$E$10+1,1))-AVERAGE(OFFSET($H$3,0,0,'Données projet'!$E$10+1,1))</f>
        <v>475.47920969424894</v>
      </c>
      <c r="AO56" s="60">
        <f t="shared" si="36"/>
        <v>271.73544012419364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5.5</v>
      </c>
      <c r="BD56" s="13">
        <f>IF('Données projet'!$A$88&gt;35,BD55+BC56-BL55,IF(A56&lt;'Données projet'!$A$88,$BA$205^A56,IF(A56='Données projet'!$A$88,'Données projet'!$B$88,BD55+BC56-BL55)))</f>
        <v>123.49999999999997</v>
      </c>
      <c r="BE56" s="14">
        <f>BD56*VLOOKUP('Données projet'!$B$11,Paramètres!$A$1:$I$89,3,0)*VLOOKUP('Données projet'!$B$11,Paramètres!$A$1:$I$89,5,0)</f>
        <v>111.74279999999997</v>
      </c>
      <c r="BF56" s="14">
        <f t="shared" si="37"/>
        <v>29.741225429709573</v>
      </c>
      <c r="BG56" s="22">
        <f t="shared" si="7"/>
        <v>246.4180109567441</v>
      </c>
      <c r="BH56" s="60">
        <f t="shared" si="8"/>
        <v>539.75134429007744</v>
      </c>
      <c r="BI56" s="60">
        <f ca="1">AVERAGE(OFFSET($BH$3,0,0,'Données projet'!$E$11+1,1))-AVERAGE(OFFSET($H$3,0,0,'Données projet'!$E$11+1,1))</f>
        <v>325.2649384779973</v>
      </c>
      <c r="BJ56" s="60">
        <f t="shared" si="38"/>
        <v>146.70159365068315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>
        <f>VLOOKUP(A56,'Données projet'!$A$113:$I$133,2,0)</f>
        <v>638</v>
      </c>
      <c r="BW56" s="13">
        <f>VLOOKUP(A56,'Données projet'!$A$113:$I$133,9,0)</f>
        <v>20.2</v>
      </c>
      <c r="BX56" s="13">
        <f t="array" ref="BX56">INDEX(BW:BW,MIN(IF(ISNUMBER(BW56:BW252),ROW(BW56:BW252),"")))</f>
        <v>20.2</v>
      </c>
      <c r="BY56" s="13">
        <f>IF('Données projet'!$A$114&gt;35,BY55+BX56-CG55,IF(A56&lt;'Données projet'!$A$114,$BV$205^A56,IF(A56='Données projet'!$A$114,'Données projet'!$B$114,BY55+BX56-CG55)))</f>
        <v>638.00000000000011</v>
      </c>
      <c r="BZ56" s="14">
        <f>BY56*VLOOKUP('Données projet'!$B$12,Paramètres!$A$1:$I$89,3,0)*VLOOKUP('Données projet'!$B$12,Paramètres!$A$1:$I$89,5,0)</f>
        <v>281.99600000000009</v>
      </c>
      <c r="CA56" s="14">
        <f t="shared" si="39"/>
        <v>67.388646519175396</v>
      </c>
      <c r="CB56" s="22">
        <f t="shared" si="10"/>
        <v>608.51159268756396</v>
      </c>
      <c r="CC56" s="60">
        <f t="shared" si="11"/>
        <v>901.84492602089722</v>
      </c>
      <c r="CD56" s="60">
        <f ca="1">AVERAGE(OFFSET($CC$3,0,0,'Données projet'!$E$12+1,1))-AVERAGE(OFFSET($H$3,0,0,'Données projet'!$E$12+1,1))</f>
        <v>401.84375324751227</v>
      </c>
      <c r="CE56" s="60">
        <f t="shared" si="40"/>
        <v>350.39368043404164</v>
      </c>
      <c r="CF56" s="16">
        <f>IF(ISNA(VLOOKUP(A56,'Données projet'!$A$113:$I$133,3,0)),0,VLOOKUP(A56,'Données projet'!$A$113:$I$133,3,0))</f>
        <v>4</v>
      </c>
      <c r="CG56" s="16">
        <f>IF(ISNA(VLOOKUP(A56,'Données projet'!$A$113:$I$133,4,0)),0,VLOOKUP(A56,'Données projet'!$A$113:$I$133,4,0))</f>
        <v>94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4.4042758916678153</v>
      </c>
      <c r="CM56" s="23">
        <f>EXP(-LN(2)/2)*CM55+(1-EXP(-LN(2)/2))/(LN(2)/2)*CG56*CJ56*VLOOKUP('Données projet'!$B$12,Paramètres!$A$1:$I$89,3,0)*0.475*44/12</f>
        <v>4.8108124629092473E-4</v>
      </c>
      <c r="CN56" s="24">
        <f t="shared" si="12"/>
        <v>4.4047569729141065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8.9376923076923056</v>
      </c>
      <c r="CT56" s="13">
        <f>IF('Données projet'!$A$140&gt;35,CT55+CS56-DB55,IF(A56&lt;'Données projet'!$A$140,$CQ$205^A56,IF(A56='Données projet'!$A$140,'Données projet'!$B$140,CT55+CS56-DB55)))</f>
        <v>212.74384615384616</v>
      </c>
      <c r="CU56" s="18">
        <f>CT56*VLOOKUP('Données projet'!$B$13,Paramètres!$A$1:$I$89,3,0)*VLOOKUP('Données projet'!$B$13,Paramètres!$A$1:$I$89,5,0)</f>
        <v>127.22082000000002</v>
      </c>
      <c r="CV56" s="14">
        <f t="shared" si="41"/>
        <v>33.353366983355464</v>
      </c>
      <c r="CW56" s="22">
        <f t="shared" si="13"/>
        <v>279.66670899601081</v>
      </c>
      <c r="CX56" s="60">
        <f t="shared" si="14"/>
        <v>573.00004232934407</v>
      </c>
      <c r="CY56" s="60">
        <f ca="1">AVERAGE(OFFSET($CX$3,0,0,'Données projet'!$E$13+1,1))-AVERAGE(OFFSET($H$3,0,0,'Données projet'!$E$13+1,1))</f>
        <v>232.73140429491525</v>
      </c>
      <c r="CZ56" s="60">
        <f t="shared" si="42"/>
        <v>201.02719152328638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4.2082159430035269</v>
      </c>
      <c r="DH56" s="23">
        <f>EXP(-LN(2)/2)*DH55+(1-EXP(-LN(2)/2))/(LN(2)/2)*DB56*DE56*VLOOKUP('Données projet'!$B$13,Paramètres!$A$1:$I$89,3,0)*0.475*44/12</f>
        <v>1.0630157527753365E-3</v>
      </c>
      <c r="DI56" s="24">
        <f t="shared" si="15"/>
        <v>4.2092789587563022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4.2307692307692317</v>
      </c>
      <c r="DO56" s="13">
        <f>IF('Données projet'!$A$166&gt;35,DO55+DN56-DW55,IF(A56&lt;'Données projet'!$A$166,$DL$205^A56,IF(A56='Données projet'!$A$166,'Données projet'!$B$166,DO55+DN56-DW55)))</f>
        <v>142.17948717948713</v>
      </c>
      <c r="DP56" s="18">
        <f>DO56*VLOOKUP('Données projet'!$B$14,Paramètres!$A$1:$I$89,3,0)*VLOOKUP('Données projet'!$B$14,Paramètres!$A$1:$I$89,5,0)</f>
        <v>135.29799999999997</v>
      </c>
      <c r="DQ56" s="14">
        <f t="shared" si="43"/>
        <v>35.217711012909547</v>
      </c>
      <c r="DR56" s="22">
        <f t="shared" si="16"/>
        <v>296.98153001415074</v>
      </c>
      <c r="DS56" s="60">
        <f t="shared" si="17"/>
        <v>590.31486334748411</v>
      </c>
      <c r="DT56" s="60">
        <f ca="1">AVERAGE(OFFSET($DS$3,0,0,'Données projet'!$E$14+1,1))-AVERAGE(OFFSET($H$3,0,0,'Données projet'!$E$14+1,1))</f>
        <v>302.15577364214136</v>
      </c>
      <c r="DU56" s="60">
        <f t="shared" si="44"/>
        <v>197.15142751137051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5.6410256410256405</v>
      </c>
      <c r="EJ56" s="13">
        <f>IF('Données projet'!$A$192&gt;35,EJ55+EI56-ER55,IF(A56&lt;'Données projet'!$A$192,$EG$205^A56,IF(A56='Données projet'!$A$192,'Données projet'!$B$192,EJ55+EI56-ER55)))</f>
        <v>195.76923076923069</v>
      </c>
      <c r="EK56" s="18">
        <f>EJ56*VLOOKUP('Données projet'!$B$15,Paramètres!$A$1:$I$89,3,0)*VLOOKUP('Données projet'!$B$15,Paramètres!$A$1:$I$89,5,0)</f>
        <v>204.61799999999994</v>
      </c>
      <c r="EL56" s="14">
        <f t="shared" si="45"/>
        <v>50.757712073649664</v>
      </c>
      <c r="EM56" s="22">
        <f t="shared" si="19"/>
        <v>444.77936519493966</v>
      </c>
      <c r="EN56" s="60">
        <f t="shared" si="20"/>
        <v>738.11269852827297</v>
      </c>
      <c r="EO56" s="60">
        <f ca="1">AVERAGE(OFFSET($EN$3,0,0,'Données projet'!$E$15+1,1))-AVERAGE(OFFSET($H$3,0,0,'Données projet'!$E$15+1,1))</f>
        <v>493.70175665335978</v>
      </c>
      <c r="EP56" s="60">
        <f t="shared" si="46"/>
        <v>325.12357781685949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0" t="e">
        <f t="shared" si="23"/>
        <v>#N/A</v>
      </c>
      <c r="FJ56" s="60" t="e">
        <f ca="1">AVERAGE(OFFSET($FI$3,0,0,'Données projet'!$E$16+1,1))-AVERAGE(OFFSET($H$3,0,0,'Données projet'!$E$16+1,1))</f>
        <v>#N/A</v>
      </c>
      <c r="FK56" s="60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0" t="e">
        <f t="shared" si="26"/>
        <v>#N/A</v>
      </c>
      <c r="GE56" s="60" t="e">
        <f ca="1">AVERAGE(OFFSET($GD$3,0,0,'Données projet'!$E$17+1,1))-AVERAGE(OFFSET($H$3,0,0,'Données projet'!$E$17+1,1))</f>
        <v>#N/A</v>
      </c>
      <c r="GF56" s="60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5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8">
        <f t="shared" si="1"/>
        <v>256.66666666666669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10.464423076923076</v>
      </c>
      <c r="N57" s="14">
        <f>IF('Données projet'!$A$36&gt;35,N56+M57-V56,IF(A57&lt;'Données projet'!$A$36,$K$205^A57,IF(A57='Données projet'!$A$36,'Données projet'!$B$36,N56+M57-V56)))</f>
        <v>290.71346153846162</v>
      </c>
      <c r="O57" s="14">
        <f>N57*VLOOKUP('Données projet'!$B$9,Paramètres!$A$1:$I$89,3,0)*VLOOKUP('Données projet'!$B$9,Paramètres!$A$1:$I$89,5,0)</f>
        <v>173.84665000000007</v>
      </c>
      <c r="P57" s="14">
        <f t="shared" si="33"/>
        <v>43.9504201164318</v>
      </c>
      <c r="Q57" s="22">
        <f t="shared" si="53"/>
        <v>379.3298971194522</v>
      </c>
      <c r="R57" s="60">
        <f t="shared" si="0"/>
        <v>672.66323045278546</v>
      </c>
      <c r="S57" s="60">
        <f ca="1">AVERAGE(OFFSET($R$3,0,0,'Données projet'!$E$9+1,1))-AVERAGE(OFFSET($H$3,0,0,'Données projet'!$E$9+1,1))</f>
        <v>260.02504691866199</v>
      </c>
      <c r="T57" s="60">
        <f t="shared" si="34"/>
        <v>270.11268336406368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6.222142252976937</v>
      </c>
      <c r="AA57" s="23">
        <f>EXP(-LN(2)/25)*AA56+(1-EXP(-LN(2)/25))/(LN(2)/25)*Calculateur!V57*Calculateur!X57*VLOOKUP('Données projet'!$B$9,Paramètres!$A$1:$I$89,3,0)*0.475*44/12</f>
        <v>8.4490586759174651</v>
      </c>
      <c r="AB57" s="23">
        <f>EXP(-LN(2)/2)*AB56+(1-EXP(-LN(2)/2))/(LN(2)/2)*V57*Y57*VLOOKUP('Données projet'!$B$9,Paramètres!$A$1:$I$89,3,0)*0.475*44/12</f>
        <v>1.5478420278134384E-3</v>
      </c>
      <c r="AC57" s="24">
        <f t="shared" si="3"/>
        <v>14.672748770922215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189</v>
      </c>
      <c r="AJ57" s="14">
        <f>AI57*VLOOKUP('Données projet'!$B$10,Paramètres!$A$1:$I$89,3,0)*VLOOKUP('Données projet'!$B$10,Paramètres!$A$1:$I$89,5,0)</f>
        <v>191.64600000000002</v>
      </c>
      <c r="AK57" s="14">
        <f t="shared" si="35"/>
        <v>47.903677189291635</v>
      </c>
      <c r="AL57" s="22">
        <f t="shared" si="4"/>
        <v>417.21568777134962</v>
      </c>
      <c r="AM57" s="60">
        <f t="shared" si="5"/>
        <v>710.54902110468288</v>
      </c>
      <c r="AN57" s="60">
        <f ca="1">AVERAGE(OFFSET($AM$3,0,0,'Données projet'!$E$10+1,1))-AVERAGE(OFFSET($H$3,0,0,'Données projet'!$E$10+1,1))</f>
        <v>475.47920969424894</v>
      </c>
      <c r="AO57" s="60">
        <f t="shared" si="36"/>
        <v>271.73544012419364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5.5</v>
      </c>
      <c r="BD57" s="13">
        <f>IF('Données projet'!$A$88&gt;35,BD56+BC57-BL56,IF(A57&lt;'Données projet'!$A$88,$BA$205^A57,IF(A57='Données projet'!$A$88,'Données projet'!$B$88,BD56+BC57-BL56)))</f>
        <v>128.99999999999997</v>
      </c>
      <c r="BE57" s="14">
        <f>BD57*VLOOKUP('Données projet'!$B$11,Paramètres!$A$1:$I$89,3,0)*VLOOKUP('Données projet'!$B$11,Paramètres!$A$1:$I$89,5,0)</f>
        <v>116.71919999999997</v>
      </c>
      <c r="BF57" s="14">
        <f t="shared" si="37"/>
        <v>30.908576435525887</v>
      </c>
      <c r="BG57" s="22">
        <f t="shared" si="7"/>
        <v>257.11837729187414</v>
      </c>
      <c r="BH57" s="60">
        <f t="shared" si="8"/>
        <v>550.4517106252074</v>
      </c>
      <c r="BI57" s="60">
        <f ca="1">AVERAGE(OFFSET($BH$3,0,0,'Données projet'!$E$11+1,1))-AVERAGE(OFFSET($H$3,0,0,'Données projet'!$E$11+1,1))</f>
        <v>325.2649384779973</v>
      </c>
      <c r="BJ57" s="60">
        <f t="shared" si="38"/>
        <v>146.70159365068315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17.600000000000001</v>
      </c>
      <c r="BY57" s="13">
        <f>IF('Données projet'!$A$114&gt;35,BY56+BX57-CG56,IF(A57&lt;'Données projet'!$A$114,$BV$205^A57,IF(A57='Données projet'!$A$114,'Données projet'!$B$114,BY56+BX57-CG56)))</f>
        <v>561.60000000000014</v>
      </c>
      <c r="BZ57" s="14">
        <f>BY57*VLOOKUP('Données projet'!$B$12,Paramètres!$A$1:$I$89,3,0)*VLOOKUP('Données projet'!$B$12,Paramètres!$A$1:$I$89,5,0)</f>
        <v>248.2272000000001</v>
      </c>
      <c r="CA57" s="14">
        <f t="shared" si="39"/>
        <v>60.20616532763993</v>
      </c>
      <c r="CB57" s="22">
        <f t="shared" si="10"/>
        <v>537.188111278973</v>
      </c>
      <c r="CC57" s="60">
        <f t="shared" si="11"/>
        <v>830.52144461230637</v>
      </c>
      <c r="CD57" s="60">
        <f ca="1">AVERAGE(OFFSET($CC$3,0,0,'Données projet'!$E$12+1,1))-AVERAGE(OFFSET($H$3,0,0,'Données projet'!$E$12+1,1))</f>
        <v>401.84375324751227</v>
      </c>
      <c r="CE57" s="60">
        <f t="shared" si="40"/>
        <v>350.39368043404164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4.2838407357993562</v>
      </c>
      <c r="CM57" s="23">
        <f>EXP(-LN(2)/2)*CM56+(1-EXP(-LN(2)/2))/(LN(2)/2)*CG57*CJ57*VLOOKUP('Données projet'!$B$12,Paramètres!$A$1:$I$89,3,0)*0.475*44/12</f>
        <v>3.4017581155398852E-4</v>
      </c>
      <c r="CN57" s="24">
        <f t="shared" si="12"/>
        <v>4.2841809116109104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8.9376923076923056</v>
      </c>
      <c r="CT57" s="13">
        <f>IF('Données projet'!$A$140&gt;35,CT56+CS57-DB56,IF(A57&lt;'Données projet'!$A$140,$CQ$205^A57,IF(A57='Données projet'!$A$140,'Données projet'!$B$140,CT56+CS57-DB56)))</f>
        <v>221.68153846153848</v>
      </c>
      <c r="CU57" s="18">
        <f>CT57*VLOOKUP('Données projet'!$B$13,Paramètres!$A$1:$I$89,3,0)*VLOOKUP('Données projet'!$B$13,Paramètres!$A$1:$I$89,5,0)</f>
        <v>132.56556000000003</v>
      </c>
      <c r="CV57" s="14">
        <f t="shared" si="41"/>
        <v>34.588508962227628</v>
      </c>
      <c r="CW57" s="22">
        <f t="shared" si="13"/>
        <v>291.12667010921319</v>
      </c>
      <c r="CX57" s="60">
        <f t="shared" si="14"/>
        <v>584.46000344254651</v>
      </c>
      <c r="CY57" s="60">
        <f ca="1">AVERAGE(OFFSET($CX$3,0,0,'Données projet'!$E$13+1,1))-AVERAGE(OFFSET($H$3,0,0,'Données projet'!$E$13+1,1))</f>
        <v>232.73140429491525</v>
      </c>
      <c r="CZ57" s="60">
        <f t="shared" si="42"/>
        <v>201.02719152328638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4.0931420567416366</v>
      </c>
      <c r="DH57" s="23">
        <f>EXP(-LN(2)/2)*DH56+(1-EXP(-LN(2)/2))/(LN(2)/2)*DB57*DE57*VLOOKUP('Données projet'!$B$13,Paramètres!$A$1:$I$89,3,0)*0.475*44/12</f>
        <v>7.5166564729556296E-4</v>
      </c>
      <c r="DI57" s="24">
        <f t="shared" si="15"/>
        <v>4.0938937223889322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4.2307692307692317</v>
      </c>
      <c r="DO57" s="13">
        <f>IF('Données projet'!$A$166&gt;35,DO56+DN57-DW56,IF(A57&lt;'Données projet'!$A$166,$DL$205^A57,IF(A57='Données projet'!$A$166,'Données projet'!$B$166,DO56+DN57-DW56)))</f>
        <v>146.41025641025635</v>
      </c>
      <c r="DP57" s="18">
        <f>DO57*VLOOKUP('Données projet'!$B$14,Paramètres!$A$1:$I$89,3,0)*VLOOKUP('Données projet'!$B$14,Paramètres!$A$1:$I$89,5,0)</f>
        <v>139.32399999999996</v>
      </c>
      <c r="DQ57" s="14">
        <f t="shared" si="43"/>
        <v>36.142099789520231</v>
      </c>
      <c r="DR57" s="22">
        <f t="shared" si="16"/>
        <v>305.60345713341434</v>
      </c>
      <c r="DS57" s="60">
        <f t="shared" si="17"/>
        <v>598.93679046674765</v>
      </c>
      <c r="DT57" s="60">
        <f ca="1">AVERAGE(OFFSET($DS$3,0,0,'Données projet'!$E$14+1,1))-AVERAGE(OFFSET($H$3,0,0,'Données projet'!$E$14+1,1))</f>
        <v>302.15577364214136</v>
      </c>
      <c r="DU57" s="60">
        <f t="shared" si="44"/>
        <v>197.15142751137051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5.6410256410256405</v>
      </c>
      <c r="EJ57" s="13">
        <f>IF('Données projet'!$A$192&gt;35,EJ56+EI57-ER56,IF(A57&lt;'Données projet'!$A$192,$EG$205^A57,IF(A57='Données projet'!$A$192,'Données projet'!$B$192,EJ56+EI57-ER56)))</f>
        <v>201.41025641025632</v>
      </c>
      <c r="EK57" s="18">
        <f>EJ57*VLOOKUP('Données projet'!$B$15,Paramètres!$A$1:$I$89,3,0)*VLOOKUP('Données projet'!$B$15,Paramètres!$A$1:$I$89,5,0)</f>
        <v>210.51399999999992</v>
      </c>
      <c r="EL57" s="14">
        <f t="shared" si="45"/>
        <v>52.047891644487855</v>
      </c>
      <c r="EM57" s="22">
        <f t="shared" si="19"/>
        <v>457.2952946141495</v>
      </c>
      <c r="EN57" s="60">
        <f t="shared" si="20"/>
        <v>750.62862794748276</v>
      </c>
      <c r="EO57" s="60">
        <f ca="1">AVERAGE(OFFSET($EN$3,0,0,'Données projet'!$E$15+1,1))-AVERAGE(OFFSET($H$3,0,0,'Données projet'!$E$15+1,1))</f>
        <v>493.70175665335978</v>
      </c>
      <c r="EP57" s="60">
        <f t="shared" si="46"/>
        <v>325.12357781685949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0" t="e">
        <f t="shared" si="23"/>
        <v>#N/A</v>
      </c>
      <c r="FJ57" s="60" t="e">
        <f ca="1">AVERAGE(OFFSET($FI$3,0,0,'Données projet'!$E$16+1,1))-AVERAGE(OFFSET($H$3,0,0,'Données projet'!$E$16+1,1))</f>
        <v>#N/A</v>
      </c>
      <c r="FK57" s="60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0" t="e">
        <f t="shared" si="26"/>
        <v>#N/A</v>
      </c>
      <c r="GE57" s="60" t="e">
        <f ca="1">AVERAGE(OFFSET($GD$3,0,0,'Données projet'!$E$17+1,1))-AVERAGE(OFFSET($H$3,0,0,'Données projet'!$E$17+1,1))</f>
        <v>#N/A</v>
      </c>
      <c r="GF57" s="60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5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8">
        <f t="shared" si="1"/>
        <v>256.66666666666669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10.464423076923076</v>
      </c>
      <c r="N58" s="14">
        <f>IF('Données projet'!$A$36&gt;35,N57+M58-V57,IF(A58&lt;'Données projet'!$A$36,$K$205^A58,IF(A58='Données projet'!$A$36,'Données projet'!$B$36,N57+M58-V57)))</f>
        <v>301.1778846153847</v>
      </c>
      <c r="O58" s="14">
        <f>N58*VLOOKUP('Données projet'!$B$9,Paramètres!$A$1:$I$89,3,0)*VLOOKUP('Données projet'!$B$9,Paramètres!$A$1:$I$89,5,0)</f>
        <v>180.10437500000006</v>
      </c>
      <c r="P58" s="14">
        <f t="shared" si="33"/>
        <v>45.345406897560061</v>
      </c>
      <c r="Q58" s="22">
        <f t="shared" si="53"/>
        <v>392.65837013825052</v>
      </c>
      <c r="R58" s="60">
        <f t="shared" si="0"/>
        <v>685.99170347158383</v>
      </c>
      <c r="S58" s="60">
        <f ca="1">AVERAGE(OFFSET($R$3,0,0,'Données projet'!$E$9+1,1))-AVERAGE(OFFSET($H$3,0,0,'Données projet'!$E$9+1,1))</f>
        <v>260.02504691866199</v>
      </c>
      <c r="T58" s="60">
        <f t="shared" si="34"/>
        <v>270.11268336406368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6.1001298385280958</v>
      </c>
      <c r="AA58" s="23">
        <f>EXP(-LN(2)/25)*AA57+(1-EXP(-LN(2)/25))/(LN(2)/25)*Calculateur!V58*Calculateur!X58*VLOOKUP('Données projet'!$B$9,Paramètres!$A$1:$I$89,3,0)*0.475*44/12</f>
        <v>8.218018722107816</v>
      </c>
      <c r="AB58" s="23">
        <f>EXP(-LN(2)/2)*AB57+(1-EXP(-LN(2)/2))/(LN(2)/2)*V58*Y58*VLOOKUP('Données projet'!$B$9,Paramètres!$A$1:$I$89,3,0)*0.475*44/12</f>
        <v>1.094489594072419E-3</v>
      </c>
      <c r="AC58" s="24">
        <f t="shared" si="3"/>
        <v>14.319243050229984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197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197</v>
      </c>
      <c r="AJ58" s="14">
        <f>AI58*VLOOKUP('Données projet'!$B$10,Paramètres!$A$1:$I$89,3,0)*VLOOKUP('Données projet'!$B$10,Paramètres!$A$1:$I$89,5,0)</f>
        <v>199.75800000000004</v>
      </c>
      <c r="AK58" s="14">
        <f t="shared" si="35"/>
        <v>49.690979702964015</v>
      </c>
      <c r="AL58" s="22">
        <f t="shared" si="4"/>
        <v>434.45697298266236</v>
      </c>
      <c r="AM58" s="60">
        <f t="shared" si="5"/>
        <v>727.79030631599562</v>
      </c>
      <c r="AN58" s="60">
        <f ca="1">AVERAGE(OFFSET($AM$3,0,0,'Données projet'!$E$10+1,1))-AVERAGE(OFFSET($H$3,0,0,'Données projet'!$E$10+1,1))</f>
        <v>475.47920969424894</v>
      </c>
      <c r="AO58" s="60">
        <f t="shared" si="36"/>
        <v>271.73544012419364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5.5</v>
      </c>
      <c r="BD58" s="13">
        <f>IF('Données projet'!$A$88&gt;35,BD57+BC58-BL57,IF(A58&lt;'Données projet'!$A$88,$BA$205^A58,IF(A58='Données projet'!$A$88,'Données projet'!$B$88,BD57+BC58-BL57)))</f>
        <v>134.49999999999997</v>
      </c>
      <c r="BE58" s="14">
        <f>BD58*VLOOKUP('Données projet'!$B$11,Paramètres!$A$1:$I$89,3,0)*VLOOKUP('Données projet'!$B$11,Paramètres!$A$1:$I$89,5,0)</f>
        <v>121.69559999999997</v>
      </c>
      <c r="BF58" s="14">
        <f t="shared" si="37"/>
        <v>32.070146624846785</v>
      </c>
      <c r="BG58" s="22">
        <f t="shared" si="7"/>
        <v>267.8086753716081</v>
      </c>
      <c r="BH58" s="60">
        <f t="shared" si="8"/>
        <v>561.14200870494142</v>
      </c>
      <c r="BI58" s="60">
        <f ca="1">AVERAGE(OFFSET($BH$3,0,0,'Données projet'!$E$11+1,1))-AVERAGE(OFFSET($H$3,0,0,'Données projet'!$E$11+1,1))</f>
        <v>325.2649384779973</v>
      </c>
      <c r="BJ58" s="60">
        <f t="shared" si="38"/>
        <v>146.70159365068315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17.600000000000001</v>
      </c>
      <c r="BY58" s="13">
        <f>IF('Données projet'!$A$114&gt;35,BY57+BX58-CG57,IF(A58&lt;'Données projet'!$A$114,$BV$205^A58,IF(A58='Données projet'!$A$114,'Données projet'!$B$114,BY57+BX58-CG57)))</f>
        <v>579.20000000000016</v>
      </c>
      <c r="BZ58" s="14">
        <f>BY58*VLOOKUP('Données projet'!$B$12,Paramètres!$A$1:$I$89,3,0)*VLOOKUP('Données projet'!$B$12,Paramètres!$A$1:$I$89,5,0)</f>
        <v>256.0064000000001</v>
      </c>
      <c r="CA58" s="14">
        <f t="shared" si="39"/>
        <v>61.870338437443316</v>
      </c>
      <c r="CB58" s="22">
        <f t="shared" si="10"/>
        <v>553.6353194452139</v>
      </c>
      <c r="CC58" s="60">
        <f t="shared" si="11"/>
        <v>846.96865277854727</v>
      </c>
      <c r="CD58" s="60">
        <f ca="1">AVERAGE(OFFSET($CC$3,0,0,'Données projet'!$E$12+1,1))-AVERAGE(OFFSET($H$3,0,0,'Données projet'!$E$12+1,1))</f>
        <v>401.84375324751227</v>
      </c>
      <c r="CE58" s="60">
        <f t="shared" si="40"/>
        <v>350.39368043404164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4.1666988856015292</v>
      </c>
      <c r="CM58" s="23">
        <f>EXP(-LN(2)/2)*CM57+(1-EXP(-LN(2)/2))/(LN(2)/2)*CG58*CJ58*VLOOKUP('Données projet'!$B$12,Paramètres!$A$1:$I$89,3,0)*0.475*44/12</f>
        <v>2.4054062314546239E-4</v>
      </c>
      <c r="CN58" s="24">
        <f t="shared" si="12"/>
        <v>4.1669394262246744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8.9376923076923056</v>
      </c>
      <c r="CT58" s="13">
        <f>IF('Données projet'!$A$140&gt;35,CT57+CS58-DB57,IF(A58&lt;'Données projet'!$A$140,$CQ$205^A58,IF(A58='Données projet'!$A$140,'Données projet'!$B$140,CT57+CS58-DB57)))</f>
        <v>230.6192307692308</v>
      </c>
      <c r="CU58" s="18">
        <f>CT58*VLOOKUP('Données projet'!$B$13,Paramètres!$A$1:$I$89,3,0)*VLOOKUP('Données projet'!$B$13,Paramètres!$A$1:$I$89,5,0)</f>
        <v>137.91030000000003</v>
      </c>
      <c r="CV58" s="14">
        <f t="shared" si="41"/>
        <v>35.817866367551225</v>
      </c>
      <c r="CW58" s="22">
        <f t="shared" si="13"/>
        <v>302.5765564234851</v>
      </c>
      <c r="CX58" s="60">
        <f t="shared" si="14"/>
        <v>595.90988975681842</v>
      </c>
      <c r="CY58" s="60">
        <f ca="1">AVERAGE(OFFSET($CX$3,0,0,'Données projet'!$E$13+1,1))-AVERAGE(OFFSET($H$3,0,0,'Données projet'!$E$13+1,1))</f>
        <v>232.73140429491525</v>
      </c>
      <c r="CZ58" s="60">
        <f t="shared" si="42"/>
        <v>201.02719152328638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3.9812148719510509</v>
      </c>
      <c r="DH58" s="23">
        <f>EXP(-LN(2)/2)*DH57+(1-EXP(-LN(2)/2))/(LN(2)/2)*DB58*DE58*VLOOKUP('Données projet'!$B$13,Paramètres!$A$1:$I$89,3,0)*0.475*44/12</f>
        <v>5.3150787638766824E-4</v>
      </c>
      <c r="DI58" s="24">
        <f t="shared" si="15"/>
        <v>3.9817463798274386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150.64102564102564</v>
      </c>
      <c r="DM58" s="13">
        <f>VLOOKUP(A58,'Données projet'!$A$165:$I$185,9,0)</f>
        <v>4.2307692307692317</v>
      </c>
      <c r="DN58" s="13">
        <f t="array" ref="DN58">INDEX(DM:DM,MIN(IF(ISNUMBER(DM58:DM254),ROW(DM58:DM254),"")))</f>
        <v>4.2307692307692317</v>
      </c>
      <c r="DO58" s="13">
        <f>IF('Données projet'!$A$166&gt;35,DO57+DN58-DW57,IF(A58&lt;'Données projet'!$A$166,$DL$205^A58,IF(A58='Données projet'!$A$166,'Données projet'!$B$166,DO57+DN58-DW57)))</f>
        <v>150.64102564102558</v>
      </c>
      <c r="DP58" s="18">
        <f>DO58*VLOOKUP('Données projet'!$B$14,Paramètres!$A$1:$I$89,3,0)*VLOOKUP('Données projet'!$B$14,Paramètres!$A$1:$I$89,5,0)</f>
        <v>143.34999999999994</v>
      </c>
      <c r="DQ58" s="14">
        <f t="shared" si="43"/>
        <v>37.063384084012156</v>
      </c>
      <c r="DR58" s="22">
        <f t="shared" si="16"/>
        <v>314.21997727965436</v>
      </c>
      <c r="DS58" s="60">
        <f t="shared" si="17"/>
        <v>607.55331061298762</v>
      </c>
      <c r="DT58" s="60">
        <f ca="1">AVERAGE(OFFSET($DS$3,0,0,'Données projet'!$E$14+1,1))-AVERAGE(OFFSET($H$3,0,0,'Données projet'!$E$14+1,1))</f>
        <v>302.15577364214136</v>
      </c>
      <c r="DU58" s="60">
        <f t="shared" si="44"/>
        <v>197.15142751137051</v>
      </c>
      <c r="DV58" s="16">
        <f>IF(ISNA(VLOOKUP(A58,'Données projet'!$A$165:$I$185,3,0)),0,VLOOKUP(A58,'Données projet'!$A$165:$I$185,3,0))</f>
        <v>4</v>
      </c>
      <c r="DW58" s="16">
        <f>IF(ISNA(VLOOKUP(A58,'Données projet'!$A$165:$I$185,4,0)),0,VLOOKUP(A58,'Données projet'!$A$165:$I$185,4,0))</f>
        <v>23.076923076923077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207.05128205128204</v>
      </c>
      <c r="EH58" s="13">
        <f>VLOOKUP(A58,'Données projet'!$A$191:$I$211,9,0)</f>
        <v>5.6410256410256405</v>
      </c>
      <c r="EI58" s="13">
        <f t="array" ref="EI58">INDEX(EH:EH,MIN(IF(ISNUMBER(EH58:EH254),ROW(EH58:EH254),"")))</f>
        <v>5.6410256410256405</v>
      </c>
      <c r="EJ58" s="13">
        <f>IF('Données projet'!$A$192&gt;35,EJ57+EI58-ER57,IF(A58&lt;'Données projet'!$A$192,$EG$205^A58,IF(A58='Données projet'!$A$192,'Données projet'!$B$192,EJ57+EI58-ER57)))</f>
        <v>207.05128205128196</v>
      </c>
      <c r="EK58" s="18">
        <f>EJ58*VLOOKUP('Données projet'!$B$15,Paramètres!$A$1:$I$89,3,0)*VLOOKUP('Données projet'!$B$15,Paramètres!$A$1:$I$89,5,0)</f>
        <v>216.40999999999991</v>
      </c>
      <c r="EL58" s="14">
        <f t="shared" si="45"/>
        <v>53.333871383439472</v>
      </c>
      <c r="EM58" s="22">
        <f t="shared" si="19"/>
        <v>469.80390932615688</v>
      </c>
      <c r="EN58" s="60">
        <f t="shared" si="20"/>
        <v>763.1372426594902</v>
      </c>
      <c r="EO58" s="60">
        <f ca="1">AVERAGE(OFFSET($EN$3,0,0,'Données projet'!$E$15+1,1))-AVERAGE(OFFSET($H$3,0,0,'Données projet'!$E$15+1,1))</f>
        <v>493.70175665335978</v>
      </c>
      <c r="EP58" s="60">
        <f t="shared" si="46"/>
        <v>325.12357781685949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0" t="e">
        <f t="shared" si="23"/>
        <v>#N/A</v>
      </c>
      <c r="FJ58" s="60" t="e">
        <f ca="1">AVERAGE(OFFSET($FI$3,0,0,'Données projet'!$E$16+1,1))-AVERAGE(OFFSET($H$3,0,0,'Données projet'!$E$16+1,1))</f>
        <v>#N/A</v>
      </c>
      <c r="FK58" s="60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0" t="e">
        <f t="shared" si="26"/>
        <v>#N/A</v>
      </c>
      <c r="GE58" s="60" t="e">
        <f ca="1">AVERAGE(OFFSET($GD$3,0,0,'Données projet'!$E$17+1,1))-AVERAGE(OFFSET($H$3,0,0,'Données projet'!$E$17+1,1))</f>
        <v>#N/A</v>
      </c>
      <c r="GF58" s="60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5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8">
        <f t="shared" si="1"/>
        <v>256.66666666666669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10.464423076923076</v>
      </c>
      <c r="N59" s="14">
        <f>IF('Données projet'!$A$36&gt;35,N58+M59-V58,IF(A59&lt;'Données projet'!$A$36,$K$205^A59,IF(A59='Données projet'!$A$36,'Données projet'!$B$36,N58+M59-V58)))</f>
        <v>311.64230769230778</v>
      </c>
      <c r="O59" s="14">
        <f>N59*VLOOKUP('Données projet'!$B$9,Paramètres!$A$1:$I$89,3,0)*VLOOKUP('Données projet'!$B$9,Paramètres!$A$1:$I$89,5,0)</f>
        <v>186.36210000000005</v>
      </c>
      <c r="P59" s="14">
        <f t="shared" si="33"/>
        <v>46.734762106127967</v>
      </c>
      <c r="Q59" s="22">
        <f t="shared" si="53"/>
        <v>405.97703483483957</v>
      </c>
      <c r="R59" s="60">
        <f t="shared" si="0"/>
        <v>699.31036816817289</v>
      </c>
      <c r="S59" s="60">
        <f ca="1">AVERAGE(OFFSET($R$3,0,0,'Données projet'!$E$9+1,1))-AVERAGE(OFFSET($H$3,0,0,'Données projet'!$E$9+1,1))</f>
        <v>260.02504691866199</v>
      </c>
      <c r="T59" s="60">
        <f t="shared" si="34"/>
        <v>270.11268336406368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5.9805100131063718</v>
      </c>
      <c r="AA59" s="23">
        <f>EXP(-LN(2)/25)*AA58+(1-EXP(-LN(2)/25))/(LN(2)/25)*Calculateur!V59*Calculateur!X59*VLOOKUP('Données projet'!$B$9,Paramètres!$A$1:$I$89,3,0)*0.475*44/12</f>
        <v>7.9932965679849559</v>
      </c>
      <c r="AB59" s="23">
        <f>EXP(-LN(2)/2)*AB58+(1-EXP(-LN(2)/2))/(LN(2)/2)*V59*Y59*VLOOKUP('Données projet'!$B$9,Paramètres!$A$1:$I$89,3,0)*0.475*44/12</f>
        <v>7.7392101390671921E-4</v>
      </c>
      <c r="AC59" s="24">
        <f t="shared" si="3"/>
        <v>13.974580502105235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204.6</v>
      </c>
      <c r="AJ59" s="14">
        <f>AI59*VLOOKUP('Données projet'!$B$10,Paramètres!$A$1:$I$89,3,0)*VLOOKUP('Données projet'!$B$10,Paramètres!$A$1:$I$89,5,0)</f>
        <v>207.46440000000001</v>
      </c>
      <c r="AK59" s="14">
        <f t="shared" si="35"/>
        <v>51.381102169014063</v>
      </c>
      <c r="AL59" s="22">
        <f t="shared" si="4"/>
        <v>450.82258294436616</v>
      </c>
      <c r="AM59" s="60">
        <f t="shared" si="5"/>
        <v>744.15591627769948</v>
      </c>
      <c r="AN59" s="60">
        <f ca="1">AVERAGE(OFFSET($AM$3,0,0,'Données projet'!$E$10+1,1))-AVERAGE(OFFSET($H$3,0,0,'Données projet'!$E$10+1,1))</f>
        <v>475.47920969424894</v>
      </c>
      <c r="AO59" s="60">
        <f t="shared" si="36"/>
        <v>271.73544012419364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5.5</v>
      </c>
      <c r="BD59" s="13">
        <f>IF('Données projet'!$A$88&gt;35,BD58+BC59-BL58,IF(A59&lt;'Données projet'!$A$88,$BA$205^A59,IF(A59='Données projet'!$A$88,'Données projet'!$B$88,BD58+BC59-BL58)))</f>
        <v>139.99999999999997</v>
      </c>
      <c r="BE59" s="14">
        <f>BD59*VLOOKUP('Données projet'!$B$11,Paramètres!$A$1:$I$89,3,0)*VLOOKUP('Données projet'!$B$11,Paramètres!$A$1:$I$89,5,0)</f>
        <v>126.67199999999997</v>
      </c>
      <c r="BF59" s="14">
        <f t="shared" si="37"/>
        <v>33.226199426361319</v>
      </c>
      <c r="BG59" s="22">
        <f t="shared" si="7"/>
        <v>278.48936400091259</v>
      </c>
      <c r="BH59" s="60">
        <f t="shared" si="8"/>
        <v>571.82269733424596</v>
      </c>
      <c r="BI59" s="60">
        <f ca="1">AVERAGE(OFFSET($BH$3,0,0,'Données projet'!$E$11+1,1))-AVERAGE(OFFSET($H$3,0,0,'Données projet'!$E$11+1,1))</f>
        <v>325.2649384779973</v>
      </c>
      <c r="BJ59" s="60">
        <f t="shared" si="38"/>
        <v>146.70159365068315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17.600000000000001</v>
      </c>
      <c r="BY59" s="13">
        <f>IF('Données projet'!$A$114&gt;35,BY58+BX59-CG58,IF(A59&lt;'Données projet'!$A$114,$BV$205^A59,IF(A59='Données projet'!$A$114,'Données projet'!$B$114,BY58+BX59-CG58)))</f>
        <v>596.80000000000018</v>
      </c>
      <c r="BZ59" s="14">
        <f>BY59*VLOOKUP('Données projet'!$B$12,Paramètres!$A$1:$I$89,3,0)*VLOOKUP('Données projet'!$B$12,Paramètres!$A$1:$I$89,5,0)</f>
        <v>263.7856000000001</v>
      </c>
      <c r="CA59" s="14">
        <f t="shared" si="39"/>
        <v>63.528634781372368</v>
      </c>
      <c r="CB59" s="22">
        <f t="shared" si="10"/>
        <v>570.07229224422372</v>
      </c>
      <c r="CC59" s="60">
        <f t="shared" si="11"/>
        <v>863.40562557755698</v>
      </c>
      <c r="CD59" s="60">
        <f ca="1">AVERAGE(OFFSET($CC$3,0,0,'Données projet'!$E$12+1,1))-AVERAGE(OFFSET($H$3,0,0,'Données projet'!$E$12+1,1))</f>
        <v>401.84375324751227</v>
      </c>
      <c r="CE59" s="60">
        <f t="shared" si="40"/>
        <v>350.39368043404164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4.0527602854575839</v>
      </c>
      <c r="CM59" s="23">
        <f>EXP(-LN(2)/2)*CM58+(1-EXP(-LN(2)/2))/(LN(2)/2)*CG59*CJ59*VLOOKUP('Données projet'!$B$12,Paramètres!$A$1:$I$89,3,0)*0.475*44/12</f>
        <v>1.7008790577699429E-4</v>
      </c>
      <c r="CN59" s="24">
        <f t="shared" si="12"/>
        <v>4.0529303733633606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8.9376923076923056</v>
      </c>
      <c r="CT59" s="13">
        <f>IF('Données projet'!$A$140&gt;35,CT58+CS59-DB58,IF(A59&lt;'Données projet'!$A$140,$CQ$205^A59,IF(A59='Données projet'!$A$140,'Données projet'!$B$140,CT58+CS59-DB58)))</f>
        <v>239.55692307692311</v>
      </c>
      <c r="CU59" s="18">
        <f>CT59*VLOOKUP('Données projet'!$B$13,Paramètres!$A$1:$I$89,3,0)*VLOOKUP('Données projet'!$B$13,Paramètres!$A$1:$I$89,5,0)</f>
        <v>143.25504000000004</v>
      </c>
      <c r="CV59" s="14">
        <f t="shared" si="41"/>
        <v>37.041689040099591</v>
      </c>
      <c r="CW59" s="22">
        <f t="shared" si="13"/>
        <v>314.0168030781735</v>
      </c>
      <c r="CX59" s="60">
        <f t="shared" si="14"/>
        <v>607.35013641150681</v>
      </c>
      <c r="CY59" s="60">
        <f ca="1">AVERAGE(OFFSET($CX$3,0,0,'Données projet'!$E$13+1,1))-AVERAGE(OFFSET($H$3,0,0,'Données projet'!$E$13+1,1))</f>
        <v>232.73140429491525</v>
      </c>
      <c r="CZ59" s="60">
        <f t="shared" si="42"/>
        <v>201.02719152328638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3.8723483419145586</v>
      </c>
      <c r="DH59" s="23">
        <f>EXP(-LN(2)/2)*DH58+(1-EXP(-LN(2)/2))/(LN(2)/2)*DB59*DE59*VLOOKUP('Données projet'!$B$13,Paramètres!$A$1:$I$89,3,0)*0.475*44/12</f>
        <v>3.7583282364778148E-4</v>
      </c>
      <c r="DI59" s="24">
        <f t="shared" si="15"/>
        <v>3.8727241747382064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4.1025641025641022</v>
      </c>
      <c r="DO59" s="13">
        <f>IF('Données projet'!$A$166&gt;35,DO58+DN59-DW58,IF(A59&lt;'Données projet'!$A$166,$DL$205^A59,IF(A59='Données projet'!$A$166,'Données projet'!$B$166,DO58+DN59-DW58)))</f>
        <v>131.6666666666666</v>
      </c>
      <c r="DP59" s="18">
        <f>DO59*VLOOKUP('Données projet'!$B$14,Paramètres!$A$1:$I$89,3,0)*VLOOKUP('Données projet'!$B$14,Paramètres!$A$1:$I$89,5,0)</f>
        <v>125.29399999999993</v>
      </c>
      <c r="DQ59" s="14">
        <f t="shared" si="43"/>
        <v>32.906618419657974</v>
      </c>
      <c r="DR59" s="22">
        <f t="shared" si="16"/>
        <v>275.53274374757081</v>
      </c>
      <c r="DS59" s="60">
        <f t="shared" si="17"/>
        <v>568.86607708090412</v>
      </c>
      <c r="DT59" s="60">
        <f ca="1">AVERAGE(OFFSET($DS$3,0,0,'Données projet'!$E$14+1,1))-AVERAGE(OFFSET($H$3,0,0,'Données projet'!$E$14+1,1))</f>
        <v>302.15577364214136</v>
      </c>
      <c r="DU59" s="60">
        <f t="shared" si="44"/>
        <v>197.15142751137051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5.2564102564102537</v>
      </c>
      <c r="EJ59" s="13">
        <f>IF('Données projet'!$A$192&gt;35,EJ58+EI59-ER58,IF(A59&lt;'Données projet'!$A$192,$EG$205^A59,IF(A59='Données projet'!$A$192,'Données projet'!$B$192,EJ58+EI59-ER58)))</f>
        <v>212.30769230769221</v>
      </c>
      <c r="EK59" s="18">
        <f>EJ59*VLOOKUP('Données projet'!$B$15,Paramètres!$A$1:$I$89,3,0)*VLOOKUP('Données projet'!$B$15,Paramètres!$A$1:$I$89,5,0)</f>
        <v>221.90399999999991</v>
      </c>
      <c r="EL59" s="14">
        <f t="shared" si="45"/>
        <v>54.528502940168273</v>
      </c>
      <c r="EM59" s="22">
        <f t="shared" si="19"/>
        <v>481.45327595412624</v>
      </c>
      <c r="EN59" s="60">
        <f t="shared" si="20"/>
        <v>774.78660928745956</v>
      </c>
      <c r="EO59" s="60">
        <f ca="1">AVERAGE(OFFSET($EN$3,0,0,'Données projet'!$E$15+1,1))-AVERAGE(OFFSET($H$3,0,0,'Données projet'!$E$15+1,1))</f>
        <v>493.70175665335978</v>
      </c>
      <c r="EP59" s="60">
        <f t="shared" si="46"/>
        <v>325.12357781685949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0" t="e">
        <f t="shared" si="23"/>
        <v>#N/A</v>
      </c>
      <c r="FJ59" s="60" t="e">
        <f ca="1">AVERAGE(OFFSET($FI$3,0,0,'Données projet'!$E$16+1,1))-AVERAGE(OFFSET($H$3,0,0,'Données projet'!$E$16+1,1))</f>
        <v>#N/A</v>
      </c>
      <c r="FK59" s="60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0" t="e">
        <f t="shared" si="26"/>
        <v>#N/A</v>
      </c>
      <c r="GE59" s="60" t="e">
        <f ca="1">AVERAGE(OFFSET($GD$3,0,0,'Données projet'!$E$17+1,1))-AVERAGE(OFFSET($H$3,0,0,'Données projet'!$E$17+1,1))</f>
        <v>#N/A</v>
      </c>
      <c r="GF59" s="60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5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8">
        <f t="shared" si="1"/>
        <v>256.66666666666669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10.464423076923076</v>
      </c>
      <c r="N60" s="14">
        <f>IF('Données projet'!$A$36&gt;35,N59+M60-V59,IF(A60&lt;'Données projet'!$A$36,$K$205^A60,IF(A60='Données projet'!$A$36,'Données projet'!$B$36,N59+M60-V59)))</f>
        <v>322.10673076923086</v>
      </c>
      <c r="O60" s="14">
        <f>N60*VLOOKUP('Données projet'!$B$9,Paramètres!$A$1:$I$89,3,0)*VLOOKUP('Données projet'!$B$9,Paramètres!$A$1:$I$89,5,0)</f>
        <v>192.61982500000008</v>
      </c>
      <c r="P60" s="14">
        <f t="shared" si="33"/>
        <v>48.118696520369063</v>
      </c>
      <c r="Q60" s="22">
        <f t="shared" si="53"/>
        <v>419.28625831464296</v>
      </c>
      <c r="R60" s="60">
        <f t="shared" si="0"/>
        <v>712.61959164797622</v>
      </c>
      <c r="S60" s="60">
        <f ca="1">AVERAGE(OFFSET($R$3,0,0,'Données projet'!$E$9+1,1))-AVERAGE(OFFSET($H$3,0,0,'Données projet'!$E$9+1,1))</f>
        <v>260.02504691866199</v>
      </c>
      <c r="T60" s="60">
        <f t="shared" si="34"/>
        <v>270.11268336406368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5.8632358595002785</v>
      </c>
      <c r="AA60" s="23">
        <f>EXP(-LN(2)/25)*AA59+(1-EXP(-LN(2)/25))/(LN(2)/25)*Calculateur!V60*Calculateur!X60*VLOOKUP('Données projet'!$B$9,Paramètres!$A$1:$I$89,3,0)*0.475*44/12</f>
        <v>7.7747194529842094</v>
      </c>
      <c r="AB60" s="23">
        <f>EXP(-LN(2)/2)*AB59+(1-EXP(-LN(2)/2))/(LN(2)/2)*V60*Y60*VLOOKUP('Données projet'!$B$9,Paramètres!$A$1:$I$89,3,0)*0.475*44/12</f>
        <v>5.472447970362095E-4</v>
      </c>
      <c r="AC60" s="24">
        <f t="shared" si="3"/>
        <v>13.638502557281525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212.2</v>
      </c>
      <c r="AJ60" s="14">
        <f>AI60*VLOOKUP('Données projet'!$B$10,Paramètres!$A$1:$I$89,3,0)*VLOOKUP('Données projet'!$B$10,Paramètres!$A$1:$I$89,5,0)</f>
        <v>215.17080000000001</v>
      </c>
      <c r="AK60" s="14">
        <f t="shared" si="35"/>
        <v>53.063930965723607</v>
      </c>
      <c r="AL60" s="22">
        <f t="shared" si="4"/>
        <v>467.17548976530185</v>
      </c>
      <c r="AM60" s="60">
        <f t="shared" si="5"/>
        <v>760.50882309863516</v>
      </c>
      <c r="AN60" s="60">
        <f ca="1">AVERAGE(OFFSET($AM$3,0,0,'Données projet'!$E$10+1,1))-AVERAGE(OFFSET($H$3,0,0,'Données projet'!$E$10+1,1))</f>
        <v>475.47920969424894</v>
      </c>
      <c r="AO60" s="60">
        <f t="shared" si="36"/>
        <v>271.73544012419364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5.5</v>
      </c>
      <c r="BD60" s="13">
        <f>IF('Données projet'!$A$88&gt;35,BD59+BC60-BL59,IF(A60&lt;'Données projet'!$A$88,$BA$205^A60,IF(A60='Données projet'!$A$88,'Données projet'!$B$88,BD59+BC60-BL59)))</f>
        <v>145.49999999999997</v>
      </c>
      <c r="BE60" s="14">
        <f>BD60*VLOOKUP('Données projet'!$B$11,Paramètres!$A$1:$I$89,3,0)*VLOOKUP('Données projet'!$B$11,Paramètres!$A$1:$I$89,5,0)</f>
        <v>131.64839999999995</v>
      </c>
      <c r="BF60" s="14">
        <f t="shared" si="37"/>
        <v>34.376976398956401</v>
      </c>
      <c r="BG60" s="22">
        <f t="shared" si="7"/>
        <v>289.16086389484894</v>
      </c>
      <c r="BH60" s="60">
        <f t="shared" si="8"/>
        <v>582.4941972281822</v>
      </c>
      <c r="BI60" s="60">
        <f ca="1">AVERAGE(OFFSET($BH$3,0,0,'Données projet'!$E$11+1,1))-AVERAGE(OFFSET($H$3,0,0,'Données projet'!$E$11+1,1))</f>
        <v>325.2649384779973</v>
      </c>
      <c r="BJ60" s="60">
        <f t="shared" si="38"/>
        <v>146.70159365068315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17.600000000000001</v>
      </c>
      <c r="BY60" s="13">
        <f>IF('Données projet'!$A$114&gt;35,BY59+BX60-CG59,IF(A60&lt;'Données projet'!$A$114,$BV$205^A60,IF(A60='Données projet'!$A$114,'Données projet'!$B$114,BY59+BX60-CG59)))</f>
        <v>614.4000000000002</v>
      </c>
      <c r="BZ60" s="14">
        <f>BY60*VLOOKUP('Données projet'!$B$12,Paramètres!$A$1:$I$89,3,0)*VLOOKUP('Données projet'!$B$12,Paramètres!$A$1:$I$89,5,0)</f>
        <v>271.5648000000001</v>
      </c>
      <c r="CA60" s="14">
        <f t="shared" si="39"/>
        <v>65.181247567168526</v>
      </c>
      <c r="CB60" s="22">
        <f t="shared" si="10"/>
        <v>586.49936617948526</v>
      </c>
      <c r="CC60" s="60">
        <f t="shared" si="11"/>
        <v>879.83269951281864</v>
      </c>
      <c r="CD60" s="60">
        <f ca="1">AVERAGE(OFFSET($CC$3,0,0,'Données projet'!$E$12+1,1))-AVERAGE(OFFSET($H$3,0,0,'Données projet'!$E$12+1,1))</f>
        <v>401.84375324751227</v>
      </c>
      <c r="CE60" s="60">
        <f t="shared" si="40"/>
        <v>350.39368043404164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3.9419373423263457</v>
      </c>
      <c r="CM60" s="23">
        <f>EXP(-LN(2)/2)*CM59+(1-EXP(-LN(2)/2))/(LN(2)/2)*CG60*CJ60*VLOOKUP('Données projet'!$B$12,Paramètres!$A$1:$I$89,3,0)*0.475*44/12</f>
        <v>1.2027031157273122E-4</v>
      </c>
      <c r="CN60" s="24">
        <f t="shared" si="12"/>
        <v>3.9420576126379183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8.9376923076923056</v>
      </c>
      <c r="CT60" s="13">
        <f>IF('Données projet'!$A$140&gt;35,CT59+CS60-DB59,IF(A60&lt;'Données projet'!$A$140,$CQ$205^A60,IF(A60='Données projet'!$A$140,'Données projet'!$B$140,CT59+CS60-DB59)))</f>
        <v>248.49461538461543</v>
      </c>
      <c r="CU60" s="18">
        <f>CT60*VLOOKUP('Données projet'!$B$13,Paramètres!$A$1:$I$89,3,0)*VLOOKUP('Données projet'!$B$13,Paramètres!$A$1:$I$89,5,0)</f>
        <v>148.59978000000004</v>
      </c>
      <c r="CV60" s="14">
        <f t="shared" si="41"/>
        <v>38.260207121707367</v>
      </c>
      <c r="CW60" s="22">
        <f t="shared" si="13"/>
        <v>325.44781090364035</v>
      </c>
      <c r="CX60" s="60">
        <f t="shared" si="14"/>
        <v>618.78114423697366</v>
      </c>
      <c r="CY60" s="60">
        <f ca="1">AVERAGE(OFFSET($CX$3,0,0,'Données projet'!$E$13+1,1))-AVERAGE(OFFSET($H$3,0,0,'Données projet'!$E$13+1,1))</f>
        <v>232.73140429491525</v>
      </c>
      <c r="CZ60" s="60">
        <f t="shared" si="42"/>
        <v>201.02719152328638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3.7664587728669559</v>
      </c>
      <c r="DH60" s="23">
        <f>EXP(-LN(2)/2)*DH59+(1-EXP(-LN(2)/2))/(LN(2)/2)*DB60*DE60*VLOOKUP('Données projet'!$B$13,Paramètres!$A$1:$I$89,3,0)*0.475*44/12</f>
        <v>2.6575393819383412E-4</v>
      </c>
      <c r="DI60" s="24">
        <f t="shared" si="15"/>
        <v>3.7667245268051497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4.1025641025641022</v>
      </c>
      <c r="DO60" s="13">
        <f>IF('Données projet'!$A$166&gt;35,DO59+DN60-DW59,IF(A60&lt;'Données projet'!$A$166,$DL$205^A60,IF(A60='Données projet'!$A$166,'Données projet'!$B$166,DO59+DN60-DW59)))</f>
        <v>135.76923076923072</v>
      </c>
      <c r="DP60" s="18">
        <f>DO60*VLOOKUP('Données projet'!$B$14,Paramètres!$A$1:$I$89,3,0)*VLOOKUP('Données projet'!$B$14,Paramètres!$A$1:$I$89,5,0)</f>
        <v>129.19799999999995</v>
      </c>
      <c r="DQ60" s="14">
        <f t="shared" si="43"/>
        <v>33.810973987871463</v>
      </c>
      <c r="DR60" s="22">
        <f t="shared" si="16"/>
        <v>283.90729636220937</v>
      </c>
      <c r="DS60" s="60">
        <f t="shared" si="17"/>
        <v>577.24062969554268</v>
      </c>
      <c r="DT60" s="60">
        <f ca="1">AVERAGE(OFFSET($DS$3,0,0,'Données projet'!$E$14+1,1))-AVERAGE(OFFSET($H$3,0,0,'Données projet'!$E$14+1,1))</f>
        <v>302.15577364214136</v>
      </c>
      <c r="DU60" s="60">
        <f t="shared" si="44"/>
        <v>197.15142751137051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5.2564102564102537</v>
      </c>
      <c r="EJ60" s="13">
        <f>IF('Données projet'!$A$192&gt;35,EJ59+EI60-ER59,IF(A60&lt;'Données projet'!$A$192,$EG$205^A60,IF(A60='Données projet'!$A$192,'Données projet'!$B$192,EJ59+EI60-ER59)))</f>
        <v>217.56410256410246</v>
      </c>
      <c r="EK60" s="18">
        <f>EJ60*VLOOKUP('Données projet'!$B$15,Paramètres!$A$1:$I$89,3,0)*VLOOKUP('Données projet'!$B$15,Paramètres!$A$1:$I$89,5,0)</f>
        <v>227.39799999999991</v>
      </c>
      <c r="EL60" s="14">
        <f t="shared" si="45"/>
        <v>55.719696292134515</v>
      </c>
      <c r="EM60" s="22">
        <f t="shared" si="19"/>
        <v>493.09665437546749</v>
      </c>
      <c r="EN60" s="60">
        <f t="shared" si="20"/>
        <v>786.42998770880081</v>
      </c>
      <c r="EO60" s="60">
        <f ca="1">AVERAGE(OFFSET($EN$3,0,0,'Données projet'!$E$15+1,1))-AVERAGE(OFFSET($H$3,0,0,'Données projet'!$E$15+1,1))</f>
        <v>493.70175665335978</v>
      </c>
      <c r="EP60" s="60">
        <f t="shared" si="46"/>
        <v>325.12357781685949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0" t="e">
        <f t="shared" si="23"/>
        <v>#N/A</v>
      </c>
      <c r="FJ60" s="60" t="e">
        <f ca="1">AVERAGE(OFFSET($FI$3,0,0,'Données projet'!$E$16+1,1))-AVERAGE(OFFSET($H$3,0,0,'Données projet'!$E$16+1,1))</f>
        <v>#N/A</v>
      </c>
      <c r="FK60" s="60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0" t="e">
        <f t="shared" si="26"/>
        <v>#N/A</v>
      </c>
      <c r="GE60" s="60" t="e">
        <f ca="1">AVERAGE(OFFSET($GD$3,0,0,'Données projet'!$E$17+1,1))-AVERAGE(OFFSET($H$3,0,0,'Données projet'!$E$17+1,1))</f>
        <v>#N/A</v>
      </c>
      <c r="GF60" s="60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5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8">
        <f t="shared" si="1"/>
        <v>256.66666666666669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10.464423076923076</v>
      </c>
      <c r="N61" s="14">
        <f>IF('Données projet'!$A$36&gt;35,N60+M61-V60,IF(A61&lt;'Données projet'!$A$36,$K$205^A61,IF(A61='Données projet'!$A$36,'Données projet'!$B$36,N60+M61-V60)))</f>
        <v>332.57115384615395</v>
      </c>
      <c r="O61" s="14">
        <f>N61*VLOOKUP('Données projet'!$B$9,Paramètres!$A$1:$I$89,3,0)*VLOOKUP('Données projet'!$B$9,Paramètres!$A$1:$I$89,5,0)</f>
        <v>198.87755000000007</v>
      </c>
      <c r="P61" s="14">
        <f t="shared" si="33"/>
        <v>49.49740644579321</v>
      </c>
      <c r="Q61" s="22">
        <f t="shared" si="53"/>
        <v>432.5863824764233</v>
      </c>
      <c r="R61" s="60">
        <f t="shared" si="0"/>
        <v>725.91971580975655</v>
      </c>
      <c r="S61" s="60">
        <f ca="1">AVERAGE(OFFSET($R$3,0,0,'Données projet'!$E$9+1,1))-AVERAGE(OFFSET($H$3,0,0,'Données projet'!$E$9+1,1))</f>
        <v>260.02504691866199</v>
      </c>
      <c r="T61" s="60">
        <f t="shared" si="34"/>
        <v>270.11268336406368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5.7482613805162295</v>
      </c>
      <c r="AA61" s="23">
        <f>EXP(-LN(2)/25)*AA60+(1-EXP(-LN(2)/25))/(LN(2)/25)*Calculateur!V61*Calculateur!X61*VLOOKUP('Données projet'!$B$9,Paramètres!$A$1:$I$89,3,0)*0.475*44/12</f>
        <v>7.5621193406876293</v>
      </c>
      <c r="AB61" s="23">
        <f>EXP(-LN(2)/2)*AB60+(1-EXP(-LN(2)/2))/(LN(2)/2)*V61*Y61*VLOOKUP('Données projet'!$B$9,Paramètres!$A$1:$I$89,3,0)*0.475*44/12</f>
        <v>3.869605069533596E-4</v>
      </c>
      <c r="AC61" s="24">
        <f t="shared" si="3"/>
        <v>13.310767681710812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219.79999999999998</v>
      </c>
      <c r="AJ61" s="14">
        <f>AI61*VLOOKUP('Données projet'!$B$10,Paramètres!$A$1:$I$89,3,0)*VLOOKUP('Données projet'!$B$10,Paramètres!$A$1:$I$89,5,0)</f>
        <v>222.87720000000002</v>
      </c>
      <c r="AK61" s="14">
        <f t="shared" si="35"/>
        <v>54.739757243913829</v>
      </c>
      <c r="AL61" s="22">
        <f t="shared" si="4"/>
        <v>483.51620053314986</v>
      </c>
      <c r="AM61" s="60">
        <f t="shared" si="5"/>
        <v>776.84953386648317</v>
      </c>
      <c r="AN61" s="60">
        <f ca="1">AVERAGE(OFFSET($AM$3,0,0,'Données projet'!$E$10+1,1))-AVERAGE(OFFSET($H$3,0,0,'Données projet'!$E$10+1,1))</f>
        <v>475.47920969424894</v>
      </c>
      <c r="AO61" s="60">
        <f t="shared" si="36"/>
        <v>271.73544012419364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5.5</v>
      </c>
      <c r="BD61" s="13">
        <f>IF('Données projet'!$A$88&gt;35,BD60+BC61-BL60,IF(A61&lt;'Données projet'!$A$88,$BA$205^A61,IF(A61='Données projet'!$A$88,'Données projet'!$B$88,BD60+BC61-BL60)))</f>
        <v>150.99999999999997</v>
      </c>
      <c r="BE61" s="14">
        <f>BD61*VLOOKUP('Données projet'!$B$11,Paramètres!$A$1:$I$89,3,0)*VLOOKUP('Données projet'!$B$11,Paramètres!$A$1:$I$89,5,0)</f>
        <v>136.62479999999999</v>
      </c>
      <c r="BF61" s="14">
        <f t="shared" si="37"/>
        <v>35.522699804888632</v>
      </c>
      <c r="BG61" s="22">
        <f t="shared" si="7"/>
        <v>299.82356216018104</v>
      </c>
      <c r="BH61" s="60">
        <f t="shared" si="8"/>
        <v>593.15689549351441</v>
      </c>
      <c r="BI61" s="60">
        <f ca="1">AVERAGE(OFFSET($BH$3,0,0,'Données projet'!$E$11+1,1))-AVERAGE(OFFSET($H$3,0,0,'Données projet'!$E$11+1,1))</f>
        <v>325.2649384779973</v>
      </c>
      <c r="BJ61" s="60">
        <f t="shared" si="38"/>
        <v>146.70159365068315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>
        <f>VLOOKUP(A61,'Données projet'!$A$113:$I$133,2,0)</f>
        <v>632</v>
      </c>
      <c r="BW61" s="13">
        <f>VLOOKUP(A61,'Données projet'!$A$113:$I$133,9,0)</f>
        <v>17.600000000000001</v>
      </c>
      <c r="BX61" s="13">
        <f t="array" ref="BX61">INDEX(BW:BW,MIN(IF(ISNUMBER(BW61:BW257),ROW(BW61:BW257),"")))</f>
        <v>17.600000000000001</v>
      </c>
      <c r="BY61" s="13">
        <f>IF('Données projet'!$A$114&gt;35,BY60+BX61-CG60,IF(A61&lt;'Données projet'!$A$114,$BV$205^A61,IF(A61='Données projet'!$A$114,'Données projet'!$B$114,BY60+BX61-CG60)))</f>
        <v>632.00000000000023</v>
      </c>
      <c r="BZ61" s="14">
        <f>BY61*VLOOKUP('Données projet'!$B$12,Paramètres!$A$1:$I$89,3,0)*VLOOKUP('Données projet'!$B$12,Paramètres!$A$1:$I$89,5,0)</f>
        <v>279.34400000000011</v>
      </c>
      <c r="CA61" s="14">
        <f t="shared" si="39"/>
        <v>66.828358303818135</v>
      </c>
      <c r="CB61" s="22">
        <f t="shared" si="10"/>
        <v>602.91685737914997</v>
      </c>
      <c r="CC61" s="60">
        <f t="shared" si="11"/>
        <v>896.25019071248335</v>
      </c>
      <c r="CD61" s="60">
        <f ca="1">AVERAGE(OFFSET($CC$3,0,0,'Données projet'!$E$12+1,1))-AVERAGE(OFFSET($H$3,0,0,'Données projet'!$E$12+1,1))</f>
        <v>401.84375324751227</v>
      </c>
      <c r="CE61" s="60">
        <f t="shared" si="40"/>
        <v>350.39368043404164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3.8341448584029565</v>
      </c>
      <c r="CM61" s="23">
        <f>EXP(-LN(2)/2)*CM60+(1-EXP(-LN(2)/2))/(LN(2)/2)*CG61*CJ61*VLOOKUP('Données projet'!$B$12,Paramètres!$A$1:$I$89,3,0)*0.475*44/12</f>
        <v>8.5043952888497158E-5</v>
      </c>
      <c r="CN61" s="24">
        <f t="shared" si="12"/>
        <v>3.8342299023558448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8.9376923076923056</v>
      </c>
      <c r="CT61" s="13">
        <f>IF('Données projet'!$A$140&gt;35,CT60+CS61-DB60,IF(A61&lt;'Données projet'!$A$140,$CQ$205^A61,IF(A61='Données projet'!$A$140,'Données projet'!$B$140,CT60+CS61-DB60)))</f>
        <v>257.43230769230775</v>
      </c>
      <c r="CU61" s="18">
        <f>CT61*VLOOKUP('Données projet'!$B$13,Paramètres!$A$1:$I$89,3,0)*VLOOKUP('Données projet'!$B$13,Paramètres!$A$1:$I$89,5,0)</f>
        <v>153.94452000000004</v>
      </c>
      <c r="CV61" s="14">
        <f t="shared" si="41"/>
        <v>39.473633260634188</v>
      </c>
      <c r="CW61" s="22">
        <f t="shared" si="13"/>
        <v>336.86995026227123</v>
      </c>
      <c r="CX61" s="60">
        <f t="shared" si="14"/>
        <v>630.20328359560449</v>
      </c>
      <c r="CY61" s="60">
        <f ca="1">AVERAGE(OFFSET($CX$3,0,0,'Données projet'!$E$13+1,1))-AVERAGE(OFFSET($H$3,0,0,'Données projet'!$E$13+1,1))</f>
        <v>232.73140429491525</v>
      </c>
      <c r="CZ61" s="60">
        <f t="shared" si="42"/>
        <v>201.02719152328638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3.6634647596534506</v>
      </c>
      <c r="DH61" s="23">
        <f>EXP(-LN(2)/2)*DH60+(1-EXP(-LN(2)/2))/(LN(2)/2)*DB61*DE61*VLOOKUP('Données projet'!$B$13,Paramètres!$A$1:$I$89,3,0)*0.475*44/12</f>
        <v>1.8791641182389074E-4</v>
      </c>
      <c r="DI61" s="24">
        <f t="shared" si="15"/>
        <v>3.6636526760652743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4.1025641025641022</v>
      </c>
      <c r="DO61" s="13">
        <f>IF('Données projet'!$A$166&gt;35,DO60+DN61-DW60,IF(A61&lt;'Données projet'!$A$166,$DL$205^A61,IF(A61='Données projet'!$A$166,'Données projet'!$B$166,DO60+DN61-DW60)))</f>
        <v>139.8717948717948</v>
      </c>
      <c r="DP61" s="18">
        <f>DO61*VLOOKUP('Données projet'!$B$14,Paramètres!$A$1:$I$89,3,0)*VLOOKUP('Données projet'!$B$14,Paramètres!$A$1:$I$89,5,0)</f>
        <v>133.10199999999995</v>
      </c>
      <c r="DQ61" s="14">
        <f t="shared" si="43"/>
        <v>34.712153760745586</v>
      </c>
      <c r="DR61" s="22">
        <f t="shared" si="16"/>
        <v>292.27631779996517</v>
      </c>
      <c r="DS61" s="60">
        <f t="shared" si="17"/>
        <v>585.60965113329848</v>
      </c>
      <c r="DT61" s="60">
        <f ca="1">AVERAGE(OFFSET($DS$3,0,0,'Données projet'!$E$14+1,1))-AVERAGE(OFFSET($H$3,0,0,'Données projet'!$E$14+1,1))</f>
        <v>302.15577364214136</v>
      </c>
      <c r="DU61" s="60">
        <f t="shared" si="44"/>
        <v>197.15142751137051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5.2564102564102537</v>
      </c>
      <c r="EJ61" s="13">
        <f>IF('Données projet'!$A$192&gt;35,EJ60+EI61-ER60,IF(A61&lt;'Données projet'!$A$192,$EG$205^A61,IF(A61='Données projet'!$A$192,'Données projet'!$B$192,EJ60+EI61-ER60)))</f>
        <v>222.8205128205127</v>
      </c>
      <c r="EK61" s="18">
        <f>EJ61*VLOOKUP('Données projet'!$B$15,Paramètres!$A$1:$I$89,3,0)*VLOOKUP('Données projet'!$B$15,Paramètres!$A$1:$I$89,5,0)</f>
        <v>232.89199999999991</v>
      </c>
      <c r="EL61" s="14">
        <f t="shared" si="45"/>
        <v>56.907544064397435</v>
      </c>
      <c r="EM61" s="22">
        <f t="shared" si="19"/>
        <v>504.73420591215864</v>
      </c>
      <c r="EN61" s="60">
        <f t="shared" si="20"/>
        <v>798.06753924549196</v>
      </c>
      <c r="EO61" s="60">
        <f ca="1">AVERAGE(OFFSET($EN$3,0,0,'Données projet'!$E$15+1,1))-AVERAGE(OFFSET($H$3,0,0,'Données projet'!$E$15+1,1))</f>
        <v>493.70175665335978</v>
      </c>
      <c r="EP61" s="60">
        <f t="shared" si="46"/>
        <v>325.12357781685949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0" t="e">
        <f t="shared" si="23"/>
        <v>#N/A</v>
      </c>
      <c r="FJ61" s="60" t="e">
        <f ca="1">AVERAGE(OFFSET($FI$3,0,0,'Données projet'!$E$16+1,1))-AVERAGE(OFFSET($H$3,0,0,'Données projet'!$E$16+1,1))</f>
        <v>#N/A</v>
      </c>
      <c r="FK61" s="60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0" t="e">
        <f t="shared" si="26"/>
        <v>#N/A</v>
      </c>
      <c r="GE61" s="60" t="e">
        <f ca="1">AVERAGE(OFFSET($GD$3,0,0,'Données projet'!$E$17+1,1))-AVERAGE(OFFSET($H$3,0,0,'Données projet'!$E$17+1,1))</f>
        <v>#N/A</v>
      </c>
      <c r="GF61" s="60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5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8">
        <f t="shared" si="1"/>
        <v>256.66666666666669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10.464423076923076</v>
      </c>
      <c r="N62" s="14">
        <f>IF('Données projet'!$A$36&gt;35,N61+M62-V61,IF(A62&lt;'Données projet'!$A$36,$K$205^A62,IF(A62='Données projet'!$A$36,'Données projet'!$B$36,N61+M62-V61)))</f>
        <v>343.03557692307703</v>
      </c>
      <c r="O62" s="14">
        <f>N62*VLOOKUP('Données projet'!$B$9,Paramètres!$A$1:$I$89,3,0)*VLOOKUP('Données projet'!$B$9,Paramètres!$A$1:$I$89,5,0)</f>
        <v>205.13527500000006</v>
      </c>
      <c r="P62" s="14">
        <f t="shared" si="33"/>
        <v>50.871075132713329</v>
      </c>
      <c r="Q62" s="22">
        <f t="shared" si="53"/>
        <v>445.87772648114247</v>
      </c>
      <c r="R62" s="60">
        <f t="shared" si="0"/>
        <v>739.21105981447579</v>
      </c>
      <c r="S62" s="60">
        <f ca="1">AVERAGE(OFFSET($R$3,0,0,'Données projet'!$E$9+1,1))-AVERAGE(OFFSET($H$3,0,0,'Données projet'!$E$9+1,1))</f>
        <v>260.02504691866199</v>
      </c>
      <c r="T62" s="60">
        <f t="shared" si="34"/>
        <v>270.11268336406368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5.6355414809375501</v>
      </c>
      <c r="AA62" s="23">
        <f>EXP(-LN(2)/25)*AA61+(1-EXP(-LN(2)/25))/(LN(2)/25)*Calculateur!V62*Calculateur!X62*VLOOKUP('Données projet'!$B$9,Paramètres!$A$1:$I$89,3,0)*0.475*44/12</f>
        <v>7.3553327896419534</v>
      </c>
      <c r="AB62" s="23">
        <f>EXP(-LN(2)/2)*AB61+(1-EXP(-LN(2)/2))/(LN(2)/2)*V62*Y62*VLOOKUP('Données projet'!$B$9,Paramètres!$A$1:$I$89,3,0)*0.475*44/12</f>
        <v>2.7362239851810475E-4</v>
      </c>
      <c r="AC62" s="24">
        <f t="shared" si="3"/>
        <v>12.991147892978022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227.39999999999998</v>
      </c>
      <c r="AJ62" s="14">
        <f>AI62*VLOOKUP('Données projet'!$B$10,Paramètres!$A$1:$I$89,3,0)*VLOOKUP('Données projet'!$B$10,Paramètres!$A$1:$I$89,5,0)</f>
        <v>230.58360000000002</v>
      </c>
      <c r="AK62" s="14">
        <f t="shared" si="35"/>
        <v>56.408850878327968</v>
      </c>
      <c r="AL62" s="22">
        <f t="shared" si="4"/>
        <v>499.8451852797545</v>
      </c>
      <c r="AM62" s="60">
        <f t="shared" si="5"/>
        <v>793.17851861308782</v>
      </c>
      <c r="AN62" s="60">
        <f ca="1">AVERAGE(OFFSET($AM$3,0,0,'Données projet'!$E$10+1,1))-AVERAGE(OFFSET($H$3,0,0,'Données projet'!$E$10+1,1))</f>
        <v>475.47920969424894</v>
      </c>
      <c r="AO62" s="60">
        <f t="shared" si="36"/>
        <v>271.73544012419364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5.5</v>
      </c>
      <c r="BD62" s="13">
        <f>IF('Données projet'!$A$88&gt;35,BD61+BC62-BL61,IF(A62&lt;'Données projet'!$A$88,$BA$205^A62,IF(A62='Données projet'!$A$88,'Données projet'!$B$88,BD61+BC62-BL61)))</f>
        <v>156.49999999999997</v>
      </c>
      <c r="BE62" s="14">
        <f>BD62*VLOOKUP('Données projet'!$B$11,Paramètres!$A$1:$I$89,3,0)*VLOOKUP('Données projet'!$B$11,Paramètres!$A$1:$I$89,5,0)</f>
        <v>141.60119999999998</v>
      </c>
      <c r="BF62" s="14">
        <f t="shared" si="37"/>
        <v>36.66357479752002</v>
      </c>
      <c r="BG62" s="22">
        <f t="shared" si="7"/>
        <v>310.47781610568063</v>
      </c>
      <c r="BH62" s="60">
        <f t="shared" si="8"/>
        <v>603.81114943901389</v>
      </c>
      <c r="BI62" s="60">
        <f ca="1">AVERAGE(OFFSET($BH$3,0,0,'Données projet'!$E$11+1,1))-AVERAGE(OFFSET($H$3,0,0,'Données projet'!$E$11+1,1))</f>
        <v>325.2649384779973</v>
      </c>
      <c r="BJ62" s="60">
        <f t="shared" si="38"/>
        <v>146.70159365068315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15.2</v>
      </c>
      <c r="BY62" s="13">
        <f>IF('Données projet'!$A$114&gt;35,BY61+BX62-CG61,IF(A62&lt;'Données projet'!$A$114,$BV$205^A62,IF(A62='Données projet'!$A$114,'Données projet'!$B$114,BY61+BX62-CG61)))</f>
        <v>647.20000000000027</v>
      </c>
      <c r="BZ62" s="14">
        <f>BY62*VLOOKUP('Données projet'!$B$12,Paramètres!$A$1:$I$89,3,0)*VLOOKUP('Données projet'!$B$12,Paramètres!$A$1:$I$89,5,0)</f>
        <v>286.06240000000014</v>
      </c>
      <c r="CA62" s="14">
        <f t="shared" si="39"/>
        <v>68.246566729281085</v>
      </c>
      <c r="CB62" s="22">
        <f t="shared" si="10"/>
        <v>617.08811705349808</v>
      </c>
      <c r="CC62" s="60">
        <f t="shared" si="11"/>
        <v>910.42145038683134</v>
      </c>
      <c r="CD62" s="60">
        <f ca="1">AVERAGE(OFFSET($CC$3,0,0,'Données projet'!$E$12+1,1))-AVERAGE(OFFSET($H$3,0,0,'Données projet'!$E$12+1,1))</f>
        <v>401.84375324751227</v>
      </c>
      <c r="CE62" s="60">
        <f t="shared" si="40"/>
        <v>350.39368043404164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3.7292999656210126</v>
      </c>
      <c r="CM62" s="23">
        <f>EXP(-LN(2)/2)*CM61+(1-EXP(-LN(2)/2))/(LN(2)/2)*CG62*CJ62*VLOOKUP('Données projet'!$B$12,Paramètres!$A$1:$I$89,3,0)*0.475*44/12</f>
        <v>6.0135155786365619E-5</v>
      </c>
      <c r="CN62" s="24">
        <f t="shared" si="12"/>
        <v>3.7293601007767991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8.9376923076923056</v>
      </c>
      <c r="CT62" s="13">
        <f>IF('Données projet'!$A$140&gt;35,CT61+CS62-DB61,IF(A62&lt;'Données projet'!$A$140,$CQ$205^A62,IF(A62='Données projet'!$A$140,'Données projet'!$B$140,CT61+CS62-DB61)))</f>
        <v>266.37000000000006</v>
      </c>
      <c r="CU62" s="18">
        <f>CT62*VLOOKUP('Données projet'!$B$13,Paramètres!$A$1:$I$89,3,0)*VLOOKUP('Données projet'!$B$13,Paramètres!$A$1:$I$89,5,0)</f>
        <v>159.28926000000004</v>
      </c>
      <c r="CV62" s="14">
        <f t="shared" si="41"/>
        <v>40.682164502055365</v>
      </c>
      <c r="CW62" s="22">
        <f t="shared" si="13"/>
        <v>348.28356434107985</v>
      </c>
      <c r="CX62" s="60">
        <f t="shared" si="14"/>
        <v>641.61689767441317</v>
      </c>
      <c r="CY62" s="60">
        <f ca="1">AVERAGE(OFFSET($CX$3,0,0,'Données projet'!$E$13+1,1))-AVERAGE(OFFSET($H$3,0,0,'Données projet'!$E$13+1,1))</f>
        <v>232.73140429491525</v>
      </c>
      <c r="CZ62" s="60">
        <f t="shared" si="42"/>
        <v>201.02719152328638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3.5632871231474881</v>
      </c>
      <c r="DH62" s="23">
        <f>EXP(-LN(2)/2)*DH61+(1-EXP(-LN(2)/2))/(LN(2)/2)*DB62*DE62*VLOOKUP('Données projet'!$B$13,Paramètres!$A$1:$I$89,3,0)*0.475*44/12</f>
        <v>1.3287696909691706E-4</v>
      </c>
      <c r="DI62" s="24">
        <f t="shared" si="15"/>
        <v>3.5634200001165848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4.1025641025641022</v>
      </c>
      <c r="DO62" s="13">
        <f>IF('Données projet'!$A$166&gt;35,DO61+DN62-DW61,IF(A62&lt;'Données projet'!$A$166,$DL$205^A62,IF(A62='Données projet'!$A$166,'Données projet'!$B$166,DO61+DN62-DW61)))</f>
        <v>143.97435897435889</v>
      </c>
      <c r="DP62" s="18">
        <f>DO62*VLOOKUP('Données projet'!$B$14,Paramètres!$A$1:$I$89,3,0)*VLOOKUP('Données projet'!$B$14,Paramètres!$A$1:$I$89,5,0)</f>
        <v>137.00599999999994</v>
      </c>
      <c r="DQ62" s="14">
        <f t="shared" si="43"/>
        <v>35.610261582580215</v>
      </c>
      <c r="DR62" s="22">
        <f t="shared" si="16"/>
        <v>300.63998892299378</v>
      </c>
      <c r="DS62" s="60">
        <f t="shared" si="17"/>
        <v>593.97332225632704</v>
      </c>
      <c r="DT62" s="60">
        <f ca="1">AVERAGE(OFFSET($DS$3,0,0,'Données projet'!$E$14+1,1))-AVERAGE(OFFSET($H$3,0,0,'Données projet'!$E$14+1,1))</f>
        <v>302.15577364214136</v>
      </c>
      <c r="DU62" s="60">
        <f t="shared" si="44"/>
        <v>197.15142751137051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5.2564102564102537</v>
      </c>
      <c r="EJ62" s="13">
        <f>IF('Données projet'!$A$192&gt;35,EJ61+EI62-ER61,IF(A62&lt;'Données projet'!$A$192,$EG$205^A62,IF(A62='Données projet'!$A$192,'Données projet'!$B$192,EJ61+EI62-ER61)))</f>
        <v>228.07692307692295</v>
      </c>
      <c r="EK62" s="18">
        <f>EJ62*VLOOKUP('Données projet'!$B$15,Paramètres!$A$1:$I$89,3,0)*VLOOKUP('Données projet'!$B$15,Paramètres!$A$1:$I$89,5,0)</f>
        <v>238.38599999999991</v>
      </c>
      <c r="EL62" s="14">
        <f t="shared" si="45"/>
        <v>58.092134262616966</v>
      </c>
      <c r="EM62" s="22">
        <f t="shared" si="19"/>
        <v>516.3660838407244</v>
      </c>
      <c r="EN62" s="60">
        <f t="shared" si="20"/>
        <v>809.69941717405777</v>
      </c>
      <c r="EO62" s="60">
        <f ca="1">AVERAGE(OFFSET($EN$3,0,0,'Données projet'!$E$15+1,1))-AVERAGE(OFFSET($H$3,0,0,'Données projet'!$E$15+1,1))</f>
        <v>493.70175665335978</v>
      </c>
      <c r="EP62" s="60">
        <f t="shared" si="46"/>
        <v>325.12357781685949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0" t="e">
        <f t="shared" si="23"/>
        <v>#N/A</v>
      </c>
      <c r="FJ62" s="60" t="e">
        <f ca="1">AVERAGE(OFFSET($FI$3,0,0,'Données projet'!$E$16+1,1))-AVERAGE(OFFSET($H$3,0,0,'Données projet'!$E$16+1,1))</f>
        <v>#N/A</v>
      </c>
      <c r="FK62" s="60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0" t="e">
        <f t="shared" si="26"/>
        <v>#N/A</v>
      </c>
      <c r="GE62" s="60" t="e">
        <f ca="1">AVERAGE(OFFSET($GD$3,0,0,'Données projet'!$E$17+1,1))-AVERAGE(OFFSET($H$3,0,0,'Données projet'!$E$17+1,1))</f>
        <v>#N/A</v>
      </c>
      <c r="GF62" s="60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5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8">
        <f t="shared" si="1"/>
        <v>256.66666666666669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353.5</v>
      </c>
      <c r="L63" s="13">
        <f>VLOOKUP(A63,'Données projet'!$A$35:$I$55,9,0)</f>
        <v>10.464423076923076</v>
      </c>
      <c r="M63" s="13">
        <f t="array" ref="M63">INDEX(L:L,MIN(IF(ISNUMBER(L63:L259),ROW(L63:L259),"")))</f>
        <v>10.464423076923076</v>
      </c>
      <c r="N63" s="14">
        <f>IF('Données projet'!$A$36&gt;35,N62+M63-V62,IF(A63&lt;'Données projet'!$A$36,$K$205^A63,IF(A63='Données projet'!$A$36,'Données projet'!$B$36,N62+M63-V62)))</f>
        <v>353.50000000000011</v>
      </c>
      <c r="O63" s="14">
        <f>N63*VLOOKUP('Données projet'!$B$9,Paramètres!$A$1:$I$89,3,0)*VLOOKUP('Données projet'!$B$9,Paramètres!$A$1:$I$89,5,0)</f>
        <v>211.39300000000009</v>
      </c>
      <c r="P63" s="14">
        <f t="shared" si="33"/>
        <v>52.239874015944089</v>
      </c>
      <c r="Q63" s="22">
        <f t="shared" si="53"/>
        <v>459.16058891110282</v>
      </c>
      <c r="R63" s="60">
        <f t="shared" si="0"/>
        <v>752.49392224443613</v>
      </c>
      <c r="S63" s="60">
        <f ca="1">AVERAGE(OFFSET($R$3,0,0,'Données projet'!$E$9+1,1))-AVERAGE(OFFSET($H$3,0,0,'Données projet'!$E$9+1,1))</f>
        <v>260.02504691866199</v>
      </c>
      <c r="T63" s="60">
        <f t="shared" si="34"/>
        <v>270.11268336406368</v>
      </c>
      <c r="U63" s="16">
        <f>IF(ISNA(VLOOKUP(A63,'Données projet'!$A$35:$I$55,3,0)),0,VLOOKUP(A63,'Données projet'!$A$35:$I$55,3,0))</f>
        <v>7</v>
      </c>
      <c r="V63" s="16">
        <f>IF(ISNA(VLOOKUP(A63,'Données projet'!$A$35:$I$55,4,0)),0,VLOOKUP(A63,'Données projet'!$A$35:$I$55,4,0))</f>
        <v>353.5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5.5250319498372589</v>
      </c>
      <c r="AA63" s="23">
        <f>EXP(-LN(2)/25)*AA62+(1-EXP(-LN(2)/25))/(LN(2)/25)*Calculateur!V63*Calculateur!X63*VLOOKUP('Données projet'!$B$9,Paramètres!$A$1:$I$89,3,0)*0.475*44/12</f>
        <v>7.1542008277090536</v>
      </c>
      <c r="AB63" s="23">
        <f>EXP(-LN(2)/2)*AB62+(1-EXP(-LN(2)/2))/(LN(2)/2)*V63*Y63*VLOOKUP('Données projet'!$B$9,Paramètres!$A$1:$I$89,3,0)*0.475*44/12</f>
        <v>1.934802534766798E-4</v>
      </c>
      <c r="AC63" s="24">
        <f t="shared" si="3"/>
        <v>12.67942625779979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235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234.99999999999997</v>
      </c>
      <c r="AJ63" s="14">
        <f>AI63*VLOOKUP('Données projet'!$B$10,Paramètres!$A$1:$I$89,3,0)*VLOOKUP('Données projet'!$B$10,Paramètres!$A$1:$I$89,5,0)</f>
        <v>238.29000000000002</v>
      </c>
      <c r="AK63" s="14">
        <f t="shared" si="35"/>
        <v>58.071462681001513</v>
      </c>
      <c r="AL63" s="22">
        <f t="shared" si="4"/>
        <v>516.16288083607753</v>
      </c>
      <c r="AM63" s="60">
        <f t="shared" si="5"/>
        <v>809.49621416941091</v>
      </c>
      <c r="AN63" s="60">
        <f ca="1">AVERAGE(OFFSET($AM$3,0,0,'Données projet'!$E$10+1,1))-AVERAGE(OFFSET($H$3,0,0,'Données projet'!$E$10+1,1))</f>
        <v>475.47920969424894</v>
      </c>
      <c r="AO63" s="60">
        <f t="shared" si="36"/>
        <v>271.73544012419364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42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162</v>
      </c>
      <c r="BB63" s="13">
        <f>VLOOKUP(A63,'Données projet'!$A$87:$I$107,9,0)</f>
        <v>5.5</v>
      </c>
      <c r="BC63" s="13">
        <f t="array" ref="BC63">INDEX(BB:BB,MIN(IF(ISNUMBER(BB63:BB259),ROW(BB63:BB259),"")))</f>
        <v>5.5</v>
      </c>
      <c r="BD63" s="13">
        <f>IF('Données projet'!$A$88&gt;35,BD62+BC63-BL62,IF(A63&lt;'Données projet'!$A$88,$BA$205^A63,IF(A63='Données projet'!$A$88,'Données projet'!$B$88,BD62+BC63-BL62)))</f>
        <v>161.99999999999997</v>
      </c>
      <c r="BE63" s="14">
        <f>BD63*VLOOKUP('Données projet'!$B$11,Paramètres!$A$1:$I$89,3,0)*VLOOKUP('Données projet'!$B$11,Paramètres!$A$1:$I$89,5,0)</f>
        <v>146.57759999999996</v>
      </c>
      <c r="BF63" s="14">
        <f t="shared" si="37"/>
        <v>37.799791292871213</v>
      </c>
      <c r="BG63" s="22">
        <f t="shared" si="7"/>
        <v>321.12395650175063</v>
      </c>
      <c r="BH63" s="60">
        <f t="shared" si="8"/>
        <v>614.45728983508388</v>
      </c>
      <c r="BI63" s="60">
        <f ca="1">AVERAGE(OFFSET($BH$3,0,0,'Données projet'!$E$11+1,1))-AVERAGE(OFFSET($H$3,0,0,'Données projet'!$E$11+1,1))</f>
        <v>325.2649384779973</v>
      </c>
      <c r="BJ63" s="60">
        <f t="shared" si="38"/>
        <v>146.70159365068315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28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15.2</v>
      </c>
      <c r="BY63" s="13">
        <f>IF('Données projet'!$A$114&gt;35,BY62+BX63-CG62,IF(A63&lt;'Données projet'!$A$114,$BV$205^A63,IF(A63='Données projet'!$A$114,'Données projet'!$B$114,BY62+BX63-CG62)))</f>
        <v>662.40000000000032</v>
      </c>
      <c r="BZ63" s="14">
        <f>BY63*VLOOKUP('Données projet'!$B$12,Paramètres!$A$1:$I$89,3,0)*VLOOKUP('Données projet'!$B$12,Paramètres!$A$1:$I$89,5,0)</f>
        <v>292.78080000000017</v>
      </c>
      <c r="CA63" s="14">
        <f t="shared" si="39"/>
        <v>69.660903052386288</v>
      </c>
      <c r="CB63" s="22">
        <f t="shared" si="10"/>
        <v>631.25263281623972</v>
      </c>
      <c r="CC63" s="60">
        <f t="shared" si="11"/>
        <v>924.5859661495731</v>
      </c>
      <c r="CD63" s="60">
        <f ca="1">AVERAGE(OFFSET($CC$3,0,0,'Données projet'!$E$12+1,1))-AVERAGE(OFFSET($H$3,0,0,'Données projet'!$E$12+1,1))</f>
        <v>401.84375324751227</v>
      </c>
      <c r="CE63" s="60">
        <f t="shared" si="40"/>
        <v>350.39368043404164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3.6273220619457445</v>
      </c>
      <c r="CM63" s="23">
        <f>EXP(-LN(2)/2)*CM62+(1-EXP(-LN(2)/2))/(LN(2)/2)*CG63*CJ63*VLOOKUP('Données projet'!$B$12,Paramètres!$A$1:$I$89,3,0)*0.475*44/12</f>
        <v>4.2521976444248586E-5</v>
      </c>
      <c r="CN63" s="24">
        <f t="shared" si="12"/>
        <v>3.6273645839221889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275.30769230769226</v>
      </c>
      <c r="CR63" s="13">
        <f>VLOOKUP(A63,'Données projet'!$A$139:$I$159,9,0)</f>
        <v>8.9376923076923056</v>
      </c>
      <c r="CS63" s="13">
        <f t="array" ref="CS63">INDEX(CR:CR,MIN(IF(ISNUMBER(CR63:CR259),ROW(CR63:CR259),"")))</f>
        <v>8.9376923076923056</v>
      </c>
      <c r="CT63" s="13">
        <f>IF('Données projet'!$A$140&gt;35,CT62+CS63-DB62,IF(A63&lt;'Données projet'!$A$140,$CQ$205^A63,IF(A63='Données projet'!$A$140,'Données projet'!$B$140,CT62+CS63-DB62)))</f>
        <v>275.30769230769238</v>
      </c>
      <c r="CU63" s="18">
        <f>CT63*VLOOKUP('Données projet'!$B$13,Paramètres!$A$1:$I$89,3,0)*VLOOKUP('Données projet'!$B$13,Paramètres!$A$1:$I$89,5,0)</f>
        <v>164.63400000000007</v>
      </c>
      <c r="CV63" s="14">
        <f t="shared" si="41"/>
        <v>41.885983917692833</v>
      </c>
      <c r="CW63" s="22">
        <f t="shared" si="13"/>
        <v>359.68897198998178</v>
      </c>
      <c r="CX63" s="60">
        <f t="shared" si="14"/>
        <v>653.02230532331509</v>
      </c>
      <c r="CY63" s="60">
        <f ca="1">AVERAGE(OFFSET($CX$3,0,0,'Données projet'!$E$13+1,1))-AVERAGE(OFFSET($H$3,0,0,'Données projet'!$E$13+1,1))</f>
        <v>232.73140429491525</v>
      </c>
      <c r="CZ63" s="60">
        <f t="shared" si="42"/>
        <v>201.02719152328638</v>
      </c>
      <c r="DA63" s="16">
        <f>IF(ISNA(VLOOKUP(A63,'Données projet'!$A$139:$I$159,3,0)),0,VLOOKUP(A63,'Données projet'!$A$139:$I$159,3,0))</f>
        <v>5</v>
      </c>
      <c r="DB63" s="16">
        <f>IF(ISNA(VLOOKUP(A63,'Données projet'!$A$139:$I$159,4,0)),0,VLOOKUP(A63,'Données projet'!$A$139:$I$159,4,0))</f>
        <v>50.076923076923073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3.4658488493798942</v>
      </c>
      <c r="DH63" s="23">
        <f>EXP(-LN(2)/2)*DH62+(1-EXP(-LN(2)/2))/(LN(2)/2)*DB63*DE63*VLOOKUP('Données projet'!$B$13,Paramètres!$A$1:$I$89,3,0)*0.475*44/12</f>
        <v>9.3958205911945369E-5</v>
      </c>
      <c r="DI63" s="24">
        <f t="shared" si="15"/>
        <v>3.4659428075858063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148.07692307692307</v>
      </c>
      <c r="DM63" s="13">
        <f>VLOOKUP(A63,'Données projet'!$A$165:$I$185,9,0)</f>
        <v>4.1025641025641022</v>
      </c>
      <c r="DN63" s="13">
        <f t="array" ref="DN63">INDEX(DM:DM,MIN(IF(ISNUMBER(DM63:DM259),ROW(DM63:DM259),"")))</f>
        <v>4.1025641025641022</v>
      </c>
      <c r="DO63" s="13">
        <f>IF('Données projet'!$A$166&gt;35,DO62+DN63-DW62,IF(A63&lt;'Données projet'!$A$166,$DL$205^A63,IF(A63='Données projet'!$A$166,'Données projet'!$B$166,DO62+DN63-DW62)))</f>
        <v>148.07692307692298</v>
      </c>
      <c r="DP63" s="18">
        <f>DO63*VLOOKUP('Données projet'!$B$14,Paramètres!$A$1:$I$89,3,0)*VLOOKUP('Données projet'!$B$14,Paramètres!$A$1:$I$89,5,0)</f>
        <v>140.90999999999991</v>
      </c>
      <c r="DQ63" s="14">
        <f t="shared" si="43"/>
        <v>36.505395042946809</v>
      </c>
      <c r="DR63" s="22">
        <f t="shared" si="16"/>
        <v>308.99847969979891</v>
      </c>
      <c r="DS63" s="60">
        <f t="shared" si="17"/>
        <v>602.33181303313222</v>
      </c>
      <c r="DT63" s="60">
        <f ca="1">AVERAGE(OFFSET($DS$3,0,0,'Données projet'!$E$14+1,1))-AVERAGE(OFFSET($H$3,0,0,'Données projet'!$E$14+1,1))</f>
        <v>302.15577364214136</v>
      </c>
      <c r="DU63" s="60">
        <f t="shared" si="44"/>
        <v>197.15142751137051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233.33333333333331</v>
      </c>
      <c r="EH63" s="13">
        <f>VLOOKUP(A63,'Données projet'!$A$191:$I$211,9,0)</f>
        <v>5.2564102564102537</v>
      </c>
      <c r="EI63" s="13">
        <f t="array" ref="EI63">INDEX(EH:EH,MIN(IF(ISNUMBER(EH63:EH259),ROW(EH63:EH259),"")))</f>
        <v>5.2564102564102537</v>
      </c>
      <c r="EJ63" s="13">
        <f>IF('Données projet'!$A$192&gt;35,EJ62+EI63-ER62,IF(A63&lt;'Données projet'!$A$192,$EG$205^A63,IF(A63='Données projet'!$A$192,'Données projet'!$B$192,EJ62+EI63-ER62)))</f>
        <v>233.3333333333332</v>
      </c>
      <c r="EK63" s="18">
        <f>EJ63*VLOOKUP('Données projet'!$B$15,Paramètres!$A$1:$I$89,3,0)*VLOOKUP('Données projet'!$B$15,Paramètres!$A$1:$I$89,5,0)</f>
        <v>243.87999999999988</v>
      </c>
      <c r="EL63" s="14">
        <f t="shared" si="45"/>
        <v>59.2735506045045</v>
      </c>
      <c r="EM63" s="22">
        <f t="shared" si="19"/>
        <v>527.99243396951181</v>
      </c>
      <c r="EN63" s="60">
        <f t="shared" si="20"/>
        <v>821.32576730284518</v>
      </c>
      <c r="EO63" s="60">
        <f ca="1">AVERAGE(OFFSET($EN$3,0,0,'Données projet'!$E$15+1,1))-AVERAGE(OFFSET($H$3,0,0,'Données projet'!$E$15+1,1))</f>
        <v>493.70175665335978</v>
      </c>
      <c r="EP63" s="60">
        <f t="shared" si="46"/>
        <v>325.12357781685949</v>
      </c>
      <c r="EQ63" s="16">
        <f>IF(ISNA(VLOOKUP(A63,'Données projet'!$A$191:$I$211,3,0)),0,VLOOKUP(A63,'Données projet'!$A$191:$I$211,3,0))</f>
        <v>4</v>
      </c>
      <c r="ER63" s="16">
        <f>IF(ISNA(VLOOKUP(A63,'Données projet'!$A$191:$I$211,4,0)),0,VLOOKUP(A63,'Données projet'!$A$191:$I$211,4,0))</f>
        <v>24.358974358974358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0" t="e">
        <f t="shared" si="23"/>
        <v>#N/A</v>
      </c>
      <c r="FJ63" s="60" t="e">
        <f ca="1">AVERAGE(OFFSET($FI$3,0,0,'Données projet'!$E$16+1,1))-AVERAGE(OFFSET($H$3,0,0,'Données projet'!$E$16+1,1))</f>
        <v>#N/A</v>
      </c>
      <c r="FK63" s="60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0" t="e">
        <f t="shared" si="26"/>
        <v>#N/A</v>
      </c>
      <c r="GE63" s="60" t="e">
        <f ca="1">AVERAGE(OFFSET($GD$3,0,0,'Données projet'!$E$17+1,1))-AVERAGE(OFFSET($H$3,0,0,'Données projet'!$E$17+1,1))</f>
        <v>#N/A</v>
      </c>
      <c r="GF63" s="60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5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8">
        <f t="shared" si="1"/>
        <v>256.66666666666669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0">
        <f t="shared" si="0"/>
        <v>293.3333333333353</v>
      </c>
      <c r="S64" s="60">
        <f ca="1">AVERAGE(OFFSET($R$3,0,0,'Données projet'!$E$9+1,1))-AVERAGE(OFFSET($H$3,0,0,'Données projet'!$E$9+1,1))</f>
        <v>260.02504691866199</v>
      </c>
      <c r="T64" s="60">
        <f t="shared" si="34"/>
        <v>270.11268336406368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5.4166894432376864</v>
      </c>
      <c r="AA64" s="23">
        <f>EXP(-LN(2)/25)*AA63+(1-EXP(-LN(2)/25))/(LN(2)/25)*Calculateur!V64*Calculateur!X64*VLOOKUP('Données projet'!$B$9,Paramètres!$A$1:$I$89,3,0)*0.475*44/12</f>
        <v>6.958568829852279</v>
      </c>
      <c r="AB64" s="23">
        <f>EXP(-LN(2)/2)*AB63+(1-EXP(-LN(2)/2))/(LN(2)/2)*V64*Y64*VLOOKUP('Données projet'!$B$9,Paramètres!$A$1:$I$89,3,0)*0.475*44/12</f>
        <v>1.3681119925905238E-4</v>
      </c>
      <c r="AC64" s="24">
        <f t="shared" si="3"/>
        <v>12.375395084289224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7.2</v>
      </c>
      <c r="AI64" s="14">
        <f>IF('Données projet'!$A$62&gt;35,AI63+AH64-AQ63,IF(A64&lt;'Données projet'!$A$62,$AF$205^A64,IF(A64='Données projet'!$A$62,'Données projet'!$B$62,AI63+AH64-AQ63)))</f>
        <v>200.19999999999996</v>
      </c>
      <c r="AJ64" s="14">
        <f>AI64*VLOOKUP('Données projet'!$B$10,Paramètres!$A$1:$I$89,3,0)*VLOOKUP('Données projet'!$B$10,Paramètres!$A$1:$I$89,5,0)</f>
        <v>203.00279999999995</v>
      </c>
      <c r="AK64" s="14">
        <f t="shared" si="35"/>
        <v>50.403518824343074</v>
      </c>
      <c r="AL64" s="22">
        <f t="shared" si="4"/>
        <v>441.3493386190641</v>
      </c>
      <c r="AM64" s="60">
        <f t="shared" si="5"/>
        <v>734.68267195239741</v>
      </c>
      <c r="AN64" s="60">
        <f ca="1">AVERAGE(OFFSET($AM$3,0,0,'Données projet'!$E$10+1,1))-AVERAGE(OFFSET($H$3,0,0,'Données projet'!$E$10+1,1))</f>
        <v>475.47920969424894</v>
      </c>
      <c r="AO64" s="60">
        <f t="shared" si="36"/>
        <v>271.73544012419364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5.2</v>
      </c>
      <c r="BD64" s="13">
        <f>IF('Données projet'!$A$88&gt;35,BD63+BC64-BL63,IF(A64&lt;'Données projet'!$A$88,$BA$205^A64,IF(A64='Données projet'!$A$88,'Données projet'!$B$88,BD63+BC64-BL63)))</f>
        <v>139.19999999999996</v>
      </c>
      <c r="BE64" s="14">
        <f>BD64*VLOOKUP('Données projet'!$B$11,Paramètres!$A$1:$I$89,3,0)*VLOOKUP('Données projet'!$B$11,Paramètres!$A$1:$I$89,5,0)</f>
        <v>125.94815999999997</v>
      </c>
      <c r="BF64" s="14">
        <f t="shared" si="37"/>
        <v>33.058379686398482</v>
      </c>
      <c r="BG64" s="22">
        <f t="shared" si="7"/>
        <v>276.93638995381065</v>
      </c>
      <c r="BH64" s="60">
        <f t="shared" si="8"/>
        <v>570.26972328714396</v>
      </c>
      <c r="BI64" s="60">
        <f ca="1">AVERAGE(OFFSET($BH$3,0,0,'Données projet'!$E$11+1,1))-AVERAGE(OFFSET($H$3,0,0,'Données projet'!$E$11+1,1))</f>
        <v>325.2649384779973</v>
      </c>
      <c r="BJ64" s="60">
        <f t="shared" si="38"/>
        <v>146.70159365068315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15.2</v>
      </c>
      <c r="BY64" s="13">
        <f>IF('Données projet'!$A$114&gt;35,BY63+BX64-CG63,IF(A64&lt;'Données projet'!$A$114,$BV$205^A64,IF(A64='Données projet'!$A$114,'Données projet'!$B$114,BY63+BX64-CG63)))</f>
        <v>677.60000000000036</v>
      </c>
      <c r="BZ64" s="14">
        <f>BY64*VLOOKUP('Données projet'!$B$12,Paramètres!$A$1:$I$89,3,0)*VLOOKUP('Données projet'!$B$12,Paramètres!$A$1:$I$89,5,0)</f>
        <v>299.4992000000002</v>
      </c>
      <c r="CA64" s="14">
        <f t="shared" si="39"/>
        <v>71.071466353381297</v>
      </c>
      <c r="CB64" s="22">
        <f t="shared" si="10"/>
        <v>645.41057723213942</v>
      </c>
      <c r="CC64" s="60">
        <f t="shared" si="11"/>
        <v>938.74391056547279</v>
      </c>
      <c r="CD64" s="60">
        <f ca="1">AVERAGE(OFFSET($CC$3,0,0,'Données projet'!$E$12+1,1))-AVERAGE(OFFSET($H$3,0,0,'Données projet'!$E$12+1,1))</f>
        <v>401.84375324751227</v>
      </c>
      <c r="CE64" s="60">
        <f t="shared" si="40"/>
        <v>350.39368043404164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3.5281327494092611</v>
      </c>
      <c r="CM64" s="23">
        <f>EXP(-LN(2)/2)*CM63+(1-EXP(-LN(2)/2))/(LN(2)/2)*CG64*CJ64*VLOOKUP('Données projet'!$B$12,Paramètres!$A$1:$I$89,3,0)*0.475*44/12</f>
        <v>3.0067577893182816E-5</v>
      </c>
      <c r="CN64" s="24">
        <f t="shared" si="12"/>
        <v>3.5281628169871544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7.7092307692307687</v>
      </c>
      <c r="CT64" s="13">
        <f>IF('Données projet'!$A$140&gt;35,CT63+CS64-DB63,IF(A64&lt;'Données projet'!$A$140,$CQ$205^A64,IF(A64='Données projet'!$A$140,'Données projet'!$B$140,CT63+CS64-DB63)))</f>
        <v>232.94000000000008</v>
      </c>
      <c r="CU64" s="18">
        <f>CT64*VLOOKUP('Données projet'!$B$13,Paramètres!$A$1:$I$89,3,0)*VLOOKUP('Données projet'!$B$13,Paramètres!$A$1:$I$89,5,0)</f>
        <v>139.29812000000007</v>
      </c>
      <c r="CV64" s="14">
        <f t="shared" si="41"/>
        <v>36.13616763956604</v>
      </c>
      <c r="CW64" s="22">
        <f t="shared" si="13"/>
        <v>305.54805097224425</v>
      </c>
      <c r="CX64" s="60">
        <f t="shared" si="14"/>
        <v>598.88138430557751</v>
      </c>
      <c r="CY64" s="60">
        <f ca="1">AVERAGE(OFFSET($CX$3,0,0,'Données projet'!$E$13+1,1))-AVERAGE(OFFSET($H$3,0,0,'Données projet'!$E$13+1,1))</f>
        <v>232.73140429491525</v>
      </c>
      <c r="CZ64" s="60">
        <f t="shared" si="42"/>
        <v>201.02719152328638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3.3710750303325314</v>
      </c>
      <c r="DH64" s="23">
        <f>EXP(-LN(2)/2)*DH63+(1-EXP(-LN(2)/2))/(LN(2)/2)*DB64*DE64*VLOOKUP('Données projet'!$B$13,Paramètres!$A$1:$I$89,3,0)*0.475*44/12</f>
        <v>6.643848454845853E-5</v>
      </c>
      <c r="DI64" s="24">
        <f t="shared" si="15"/>
        <v>3.37114146881708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3.974358974358978</v>
      </c>
      <c r="DO64" s="13">
        <f>IF('Données projet'!$A$166&gt;35,DO63+DN64-DW63,IF(A64&lt;'Données projet'!$A$166,$DL$205^A64,IF(A64='Données projet'!$A$166,'Données projet'!$B$166,DO63+DN64-DW63)))</f>
        <v>152.05128205128196</v>
      </c>
      <c r="DP64" s="18">
        <f>DO64*VLOOKUP('Données projet'!$B$14,Paramètres!$A$1:$I$89,3,0)*VLOOKUP('Données projet'!$B$14,Paramètres!$A$1:$I$89,5,0)</f>
        <v>144.69199999999992</v>
      </c>
      <c r="DQ64" s="14">
        <f t="shared" si="43"/>
        <v>37.369805931272168</v>
      </c>
      <c r="DR64" s="22">
        <f t="shared" si="16"/>
        <v>317.09097866363226</v>
      </c>
      <c r="DS64" s="60">
        <f t="shared" si="17"/>
        <v>610.42431199696557</v>
      </c>
      <c r="DT64" s="60">
        <f ca="1">AVERAGE(OFFSET($DS$3,0,0,'Données projet'!$E$14+1,1))-AVERAGE(OFFSET($H$3,0,0,'Données projet'!$E$14+1,1))</f>
        <v>302.15577364214136</v>
      </c>
      <c r="DU64" s="60">
        <f t="shared" si="44"/>
        <v>197.15142751137051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5.0000000000000053</v>
      </c>
      <c r="EJ64" s="13">
        <f>IF('Données projet'!$A$192&gt;35,EJ63+EI64-ER63,IF(A64&lt;'Données projet'!$A$192,$EG$205^A64,IF(A64='Données projet'!$A$192,'Données projet'!$B$192,EJ63+EI64-ER63)))</f>
        <v>213.97435897435884</v>
      </c>
      <c r="EK64" s="18">
        <f>EJ64*VLOOKUP('Données projet'!$B$15,Paramètres!$A$1:$I$89,3,0)*VLOOKUP('Données projet'!$B$15,Paramètres!$A$1:$I$89,5,0)</f>
        <v>223.64599999999987</v>
      </c>
      <c r="EL64" s="14">
        <f t="shared" si="45"/>
        <v>54.906566144961104</v>
      </c>
      <c r="EM64" s="22">
        <f t="shared" si="19"/>
        <v>485.14571936914029</v>
      </c>
      <c r="EN64" s="60">
        <f t="shared" si="20"/>
        <v>778.47905270247361</v>
      </c>
      <c r="EO64" s="60">
        <f ca="1">AVERAGE(OFFSET($EN$3,0,0,'Données projet'!$E$15+1,1))-AVERAGE(OFFSET($H$3,0,0,'Données projet'!$E$15+1,1))</f>
        <v>493.70175665335978</v>
      </c>
      <c r="EP64" s="60">
        <f t="shared" si="46"/>
        <v>325.12357781685949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0" t="e">
        <f t="shared" si="23"/>
        <v>#N/A</v>
      </c>
      <c r="FJ64" s="60" t="e">
        <f ca="1">AVERAGE(OFFSET($FI$3,0,0,'Données projet'!$E$16+1,1))-AVERAGE(OFFSET($H$3,0,0,'Données projet'!$E$16+1,1))</f>
        <v>#N/A</v>
      </c>
      <c r="FK64" s="60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0" t="e">
        <f t="shared" si="26"/>
        <v>#N/A</v>
      </c>
      <c r="GE64" s="60" t="e">
        <f ca="1">AVERAGE(OFFSET($GD$3,0,0,'Données projet'!$E$17+1,1))-AVERAGE(OFFSET($H$3,0,0,'Données projet'!$E$17+1,1))</f>
        <v>#N/A</v>
      </c>
      <c r="GF64" s="60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5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8">
        <f t="shared" si="1"/>
        <v>256.66666666666669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0">
        <f t="shared" si="0"/>
        <v>293.3333333333353</v>
      </c>
      <c r="S65" s="60">
        <f ca="1">AVERAGE(OFFSET($R$3,0,0,'Données projet'!$E$9+1,1))-AVERAGE(OFFSET($H$3,0,0,'Données projet'!$E$9+1,1))</f>
        <v>260.02504691866199</v>
      </c>
      <c r="T65" s="60">
        <f t="shared" si="34"/>
        <v>270.11268336406368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5.3104714671101272</v>
      </c>
      <c r="AA65" s="23">
        <f>EXP(-LN(2)/25)*AA64+(1-EXP(-LN(2)/25))/(LN(2)/25)*Calculateur!V65*Calculateur!X65*VLOOKUP('Données projet'!$B$9,Paramètres!$A$1:$I$89,3,0)*0.475*44/12</f>
        <v>6.7682863992647375</v>
      </c>
      <c r="AB65" s="23">
        <f>EXP(-LN(2)/2)*AB64+(1-EXP(-LN(2)/2))/(LN(2)/2)*V65*Y65*VLOOKUP('Données projet'!$B$9,Paramètres!$A$1:$I$89,3,0)*0.475*44/12</f>
        <v>9.6740126738339901E-5</v>
      </c>
      <c r="AC65" s="24">
        <f t="shared" si="3"/>
        <v>12.078854606501602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7.2</v>
      </c>
      <c r="AI65" s="14">
        <f>IF('Données projet'!$A$62&gt;35,AI64+AH65-AQ64,IF(A65&lt;'Données projet'!$A$62,$AF$205^A65,IF(A65='Données projet'!$A$62,'Données projet'!$B$62,AI64+AH65-AQ64)))</f>
        <v>207.39999999999995</v>
      </c>
      <c r="AJ65" s="14">
        <f>AI65*VLOOKUP('Données projet'!$B$10,Paramètres!$A$1:$I$89,3,0)*VLOOKUP('Données projet'!$B$10,Paramètres!$A$1:$I$89,5,0)</f>
        <v>210.30359999999996</v>
      </c>
      <c r="AK65" s="14">
        <f t="shared" si="35"/>
        <v>52.001924357524459</v>
      </c>
      <c r="AL65" s="22">
        <f t="shared" si="4"/>
        <v>456.84878825602163</v>
      </c>
      <c r="AM65" s="60">
        <f t="shared" si="5"/>
        <v>750.18212158935489</v>
      </c>
      <c r="AN65" s="60">
        <f ca="1">AVERAGE(OFFSET($AM$3,0,0,'Données projet'!$E$10+1,1))-AVERAGE(OFFSET($H$3,0,0,'Données projet'!$E$10+1,1))</f>
        <v>475.47920969424894</v>
      </c>
      <c r="AO65" s="60">
        <f t="shared" si="36"/>
        <v>271.73544012419364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5.2</v>
      </c>
      <c r="BD65" s="13">
        <f>IF('Données projet'!$A$88&gt;35,BD64+BC65-BL64,IF(A65&lt;'Données projet'!$A$88,$BA$205^A65,IF(A65='Données projet'!$A$88,'Données projet'!$B$88,BD64+BC65-BL64)))</f>
        <v>144.39999999999995</v>
      </c>
      <c r="BE65" s="14">
        <f>BD65*VLOOKUP('Données projet'!$B$11,Paramètres!$A$1:$I$89,3,0)*VLOOKUP('Données projet'!$B$11,Paramètres!$A$1:$I$89,5,0)</f>
        <v>130.65311999999994</v>
      </c>
      <c r="BF65" s="14">
        <f t="shared" si="37"/>
        <v>34.147232142951147</v>
      </c>
      <c r="BG65" s="22">
        <f t="shared" si="7"/>
        <v>287.02727998230642</v>
      </c>
      <c r="BH65" s="60">
        <f t="shared" si="8"/>
        <v>580.36061331563974</v>
      </c>
      <c r="BI65" s="60">
        <f ca="1">AVERAGE(OFFSET($BH$3,0,0,'Données projet'!$E$11+1,1))-AVERAGE(OFFSET($H$3,0,0,'Données projet'!$E$11+1,1))</f>
        <v>325.2649384779973</v>
      </c>
      <c r="BJ65" s="60">
        <f t="shared" si="38"/>
        <v>146.70159365068315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15.2</v>
      </c>
      <c r="BY65" s="13">
        <f>IF('Données projet'!$A$114&gt;35,BY64+BX65-CG64,IF(A65&lt;'Données projet'!$A$114,$BV$205^A65,IF(A65='Données projet'!$A$114,'Données projet'!$B$114,BY64+BX65-CG64)))</f>
        <v>692.80000000000041</v>
      </c>
      <c r="BZ65" s="14">
        <f>BY65*VLOOKUP('Données projet'!$B$12,Paramètres!$A$1:$I$89,3,0)*VLOOKUP('Données projet'!$B$12,Paramètres!$A$1:$I$89,5,0)</f>
        <v>306.21760000000023</v>
      </c>
      <c r="CA65" s="14">
        <f t="shared" si="39"/>
        <v>72.478351013597631</v>
      </c>
      <c r="CB65" s="22">
        <f t="shared" si="10"/>
        <v>659.56211468201639</v>
      </c>
      <c r="CC65" s="60">
        <f t="shared" si="11"/>
        <v>952.89544801534976</v>
      </c>
      <c r="CD65" s="60">
        <f ca="1">AVERAGE(OFFSET($CC$3,0,0,'Données projet'!$E$12+1,1))-AVERAGE(OFFSET($H$3,0,0,'Données projet'!$E$12+1,1))</f>
        <v>401.84375324751227</v>
      </c>
      <c r="CE65" s="60">
        <f t="shared" si="40"/>
        <v>350.39368043404164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3.4316557738402271</v>
      </c>
      <c r="CM65" s="23">
        <f>EXP(-LN(2)/2)*CM64+(1-EXP(-LN(2)/2))/(LN(2)/2)*CG65*CJ65*VLOOKUP('Données projet'!$B$12,Paramètres!$A$1:$I$89,3,0)*0.475*44/12</f>
        <v>2.1260988222124296E-5</v>
      </c>
      <c r="CN65" s="24">
        <f t="shared" si="12"/>
        <v>3.4316770348284491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7.7092307692307687</v>
      </c>
      <c r="CT65" s="13">
        <f>IF('Données projet'!$A$140&gt;35,CT64+CS65-DB64,IF(A65&lt;'Données projet'!$A$140,$CQ$205^A65,IF(A65='Données projet'!$A$140,'Données projet'!$B$140,CT64+CS65-DB64)))</f>
        <v>240.64923076923085</v>
      </c>
      <c r="CU65" s="18">
        <f>CT65*VLOOKUP('Données projet'!$B$13,Paramètres!$A$1:$I$89,3,0)*VLOOKUP('Données projet'!$B$13,Paramètres!$A$1:$I$89,5,0)</f>
        <v>143.90824000000006</v>
      </c>
      <c r="CV65" s="14">
        <f t="shared" si="41"/>
        <v>37.190888648661023</v>
      </c>
      <c r="CW65" s="22">
        <f t="shared" si="13"/>
        <v>315.41431572975137</v>
      </c>
      <c r="CX65" s="60">
        <f t="shared" si="14"/>
        <v>608.74764906308474</v>
      </c>
      <c r="CY65" s="60">
        <f ca="1">AVERAGE(OFFSET($CX$3,0,0,'Données projet'!$E$13+1,1))-AVERAGE(OFFSET($H$3,0,0,'Données projet'!$E$13+1,1))</f>
        <v>232.73140429491525</v>
      </c>
      <c r="CZ65" s="60">
        <f t="shared" si="42"/>
        <v>201.02719152328638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3.278892806350957</v>
      </c>
      <c r="DH65" s="23">
        <f>EXP(-LN(2)/2)*DH64+(1-EXP(-LN(2)/2))/(LN(2)/2)*DB65*DE65*VLOOKUP('Données projet'!$B$13,Paramètres!$A$1:$I$89,3,0)*0.475*44/12</f>
        <v>4.6979102955972685E-5</v>
      </c>
      <c r="DI65" s="24">
        <f t="shared" si="15"/>
        <v>3.2789397854539128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3.974358974358978</v>
      </c>
      <c r="DO65" s="13">
        <f>IF('Données projet'!$A$166&gt;35,DO64+DN65-DW64,IF(A65&lt;'Données projet'!$A$166,$DL$205^A65,IF(A65='Données projet'!$A$166,'Données projet'!$B$166,DO64+DN65-DW64)))</f>
        <v>156.02564102564094</v>
      </c>
      <c r="DP65" s="18">
        <f>DO65*VLOOKUP('Données projet'!$B$14,Paramètres!$A$1:$I$89,3,0)*VLOOKUP('Données projet'!$B$14,Paramètres!$A$1:$I$89,5,0)</f>
        <v>148.47399999999993</v>
      </c>
      <c r="DQ65" s="14">
        <f t="shared" si="43"/>
        <v>38.231590533864001</v>
      </c>
      <c r="DR65" s="22">
        <f t="shared" si="16"/>
        <v>325.17890351314634</v>
      </c>
      <c r="DS65" s="60">
        <f t="shared" si="17"/>
        <v>618.51223684647971</v>
      </c>
      <c r="DT65" s="60">
        <f ca="1">AVERAGE(OFFSET($DS$3,0,0,'Données projet'!$E$14+1,1))-AVERAGE(OFFSET($H$3,0,0,'Données projet'!$E$14+1,1))</f>
        <v>302.15577364214136</v>
      </c>
      <c r="DU65" s="60">
        <f t="shared" si="44"/>
        <v>197.15142751137051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5.0000000000000053</v>
      </c>
      <c r="EJ65" s="13">
        <f>IF('Données projet'!$A$192&gt;35,EJ64+EI65-ER64,IF(A65&lt;'Données projet'!$A$192,$EG$205^A65,IF(A65='Données projet'!$A$192,'Données projet'!$B$192,EJ64+EI65-ER64)))</f>
        <v>218.97435897435884</v>
      </c>
      <c r="EK65" s="18">
        <f>EJ65*VLOOKUP('Données projet'!$B$15,Paramètres!$A$1:$I$89,3,0)*VLOOKUP('Données projet'!$B$15,Paramètres!$A$1:$I$89,5,0)</f>
        <v>228.87199999999987</v>
      </c>
      <c r="EL65" s="14">
        <f t="shared" si="45"/>
        <v>56.038711813998113</v>
      </c>
      <c r="EM65" s="22">
        <f t="shared" si="19"/>
        <v>496.21948974271317</v>
      </c>
      <c r="EN65" s="60">
        <f t="shared" si="20"/>
        <v>789.55282307604648</v>
      </c>
      <c r="EO65" s="60">
        <f ca="1">AVERAGE(OFFSET($EN$3,0,0,'Données projet'!$E$15+1,1))-AVERAGE(OFFSET($H$3,0,0,'Données projet'!$E$15+1,1))</f>
        <v>493.70175665335978</v>
      </c>
      <c r="EP65" s="60">
        <f t="shared" si="46"/>
        <v>325.12357781685949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0" t="e">
        <f t="shared" si="23"/>
        <v>#N/A</v>
      </c>
      <c r="FJ65" s="60" t="e">
        <f ca="1">AVERAGE(OFFSET($FI$3,0,0,'Données projet'!$E$16+1,1))-AVERAGE(OFFSET($H$3,0,0,'Données projet'!$E$16+1,1))</f>
        <v>#N/A</v>
      </c>
      <c r="FK65" s="60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0" t="e">
        <f t="shared" si="26"/>
        <v>#N/A</v>
      </c>
      <c r="GE65" s="60" t="e">
        <f ca="1">AVERAGE(OFFSET($GD$3,0,0,'Données projet'!$E$17+1,1))-AVERAGE(OFFSET($H$3,0,0,'Données projet'!$E$17+1,1))</f>
        <v>#N/A</v>
      </c>
      <c r="GF65" s="60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5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8">
        <f t="shared" si="1"/>
        <v>256.66666666666669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0">
        <f t="shared" si="0"/>
        <v>293.3333333333353</v>
      </c>
      <c r="S66" s="60">
        <f ca="1">AVERAGE(OFFSET($R$3,0,0,'Données projet'!$E$9+1,1))-AVERAGE(OFFSET($H$3,0,0,'Données projet'!$E$9+1,1))</f>
        <v>260.02504691866199</v>
      </c>
      <c r="T66" s="60">
        <f t="shared" si="34"/>
        <v>270.11268336406368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5.2063363607078612</v>
      </c>
      <c r="AA66" s="23">
        <f>EXP(-LN(2)/25)*AA65+(1-EXP(-LN(2)/25))/(LN(2)/25)*Calculateur!V66*Calculateur!X66*VLOOKUP('Données projet'!$B$9,Paramètres!$A$1:$I$89,3,0)*0.475*44/12</f>
        <v>6.5832072517481306</v>
      </c>
      <c r="AB66" s="23">
        <f>EXP(-LN(2)/2)*AB65+(1-EXP(-LN(2)/2))/(LN(2)/2)*V66*Y66*VLOOKUP('Données projet'!$B$9,Paramètres!$A$1:$I$89,3,0)*0.475*44/12</f>
        <v>6.8405599629526188E-5</v>
      </c>
      <c r="AC66" s="24">
        <f t="shared" si="3"/>
        <v>11.789612018055621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7.2</v>
      </c>
      <c r="AI66" s="14">
        <f>IF('Données projet'!$A$62&gt;35,AI65+AH66-AQ65,IF(A66&lt;'Données projet'!$A$62,$AF$205^A66,IF(A66='Données projet'!$A$62,'Données projet'!$B$62,AI65+AH66-AQ65)))</f>
        <v>214.59999999999994</v>
      </c>
      <c r="AJ66" s="14">
        <f>AI66*VLOOKUP('Données projet'!$B$10,Paramètres!$A$1:$I$89,3,0)*VLOOKUP('Données projet'!$B$10,Paramètres!$A$1:$I$89,5,0)</f>
        <v>217.60439999999994</v>
      </c>
      <c r="AK66" s="14">
        <f t="shared" si="35"/>
        <v>53.593882578706356</v>
      </c>
      <c r="AL66" s="22">
        <f t="shared" si="4"/>
        <v>472.33700882458015</v>
      </c>
      <c r="AM66" s="60">
        <f t="shared" si="5"/>
        <v>765.67034215791341</v>
      </c>
      <c r="AN66" s="60">
        <f ca="1">AVERAGE(OFFSET($AM$3,0,0,'Données projet'!$E$10+1,1))-AVERAGE(OFFSET($H$3,0,0,'Données projet'!$E$10+1,1))</f>
        <v>475.47920969424894</v>
      </c>
      <c r="AO66" s="60">
        <f t="shared" si="36"/>
        <v>271.73544012419364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5.2</v>
      </c>
      <c r="BD66" s="13">
        <f>IF('Données projet'!$A$88&gt;35,BD65+BC66-BL65,IF(A66&lt;'Données projet'!$A$88,$BA$205^A66,IF(A66='Données projet'!$A$88,'Données projet'!$B$88,BD65+BC66-BL65)))</f>
        <v>149.59999999999994</v>
      </c>
      <c r="BE66" s="14">
        <f>BD66*VLOOKUP('Données projet'!$B$11,Paramètres!$A$1:$I$89,3,0)*VLOOKUP('Données projet'!$B$11,Paramètres!$A$1:$I$89,5,0)</f>
        <v>135.35807999999994</v>
      </c>
      <c r="BF66" s="14">
        <f t="shared" si="37"/>
        <v>35.231528980112806</v>
      </c>
      <c r="BG66" s="22">
        <f t="shared" si="7"/>
        <v>297.11023564036304</v>
      </c>
      <c r="BH66" s="60">
        <f t="shared" si="8"/>
        <v>590.4435689736963</v>
      </c>
      <c r="BI66" s="60">
        <f ca="1">AVERAGE(OFFSET($BH$3,0,0,'Données projet'!$E$11+1,1))-AVERAGE(OFFSET($H$3,0,0,'Données projet'!$E$11+1,1))</f>
        <v>325.2649384779973</v>
      </c>
      <c r="BJ66" s="60">
        <f t="shared" si="38"/>
        <v>146.70159365068315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>
        <f>VLOOKUP(A66,'Données projet'!$A$113:$I$133,2,0)</f>
        <v>708</v>
      </c>
      <c r="BW66" s="13">
        <f>VLOOKUP(A66,'Données projet'!$A$113:$I$133,9,0)</f>
        <v>15.2</v>
      </c>
      <c r="BX66" s="13">
        <f t="array" ref="BX66">INDEX(BW:BW,MIN(IF(ISNUMBER(BW66:BW262),ROW(BW66:BW262),"")))</f>
        <v>15.2</v>
      </c>
      <c r="BY66" s="13">
        <f>IF('Données projet'!$A$114&gt;35,BY65+BX66-CG65,IF(A66&lt;'Données projet'!$A$114,$BV$205^A66,IF(A66='Données projet'!$A$114,'Données projet'!$B$114,BY65+BX66-CG65)))</f>
        <v>708.00000000000045</v>
      </c>
      <c r="BZ66" s="14">
        <f>BY66*VLOOKUP('Données projet'!$B$12,Paramètres!$A$1:$I$89,3,0)*VLOOKUP('Données projet'!$B$12,Paramètres!$A$1:$I$89,5,0)</f>
        <v>312.93600000000021</v>
      </c>
      <c r="CA66" s="14">
        <f t="shared" si="39"/>
        <v>73.881647036426315</v>
      </c>
      <c r="CB66" s="22">
        <f t="shared" si="10"/>
        <v>673.70740192177618</v>
      </c>
      <c r="CC66" s="60">
        <f t="shared" si="11"/>
        <v>967.04073525510944</v>
      </c>
      <c r="CD66" s="60">
        <f ca="1">AVERAGE(OFFSET($CC$3,0,0,'Données projet'!$E$12+1,1))-AVERAGE(OFFSET($H$3,0,0,'Données projet'!$E$12+1,1))</f>
        <v>401.84375324751227</v>
      </c>
      <c r="CE66" s="60">
        <f t="shared" si="40"/>
        <v>350.39368043404164</v>
      </c>
      <c r="CF66" s="16">
        <f>IF(ISNA(VLOOKUP(A66,'Données projet'!$A$113:$I$133,3,0)),0,VLOOKUP(A66,'Données projet'!$A$113:$I$133,3,0))</f>
        <v>5</v>
      </c>
      <c r="CG66" s="16">
        <f>IF(ISNA(VLOOKUP(A66,'Données projet'!$A$113:$I$133,4,0)),0,VLOOKUP(A66,'Données projet'!$A$113:$I$133,4,0))</f>
        <v>71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3.3378169662416322</v>
      </c>
      <c r="CM66" s="23">
        <f>EXP(-LN(2)/2)*CM65+(1-EXP(-LN(2)/2))/(LN(2)/2)*CG66*CJ66*VLOOKUP('Données projet'!$B$12,Paramètres!$A$1:$I$89,3,0)*0.475*44/12</f>
        <v>1.503378894659141E-5</v>
      </c>
      <c r="CN66" s="24">
        <f t="shared" si="12"/>
        <v>3.3378320000305788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7.7092307692307687</v>
      </c>
      <c r="CT66" s="13">
        <f>IF('Données projet'!$A$140&gt;35,CT65+CS66-DB65,IF(A66&lt;'Données projet'!$A$140,$CQ$205^A66,IF(A66='Données projet'!$A$140,'Données projet'!$B$140,CT65+CS66-DB65)))</f>
        <v>248.35846153846163</v>
      </c>
      <c r="CU66" s="18">
        <f>CT66*VLOOKUP('Données projet'!$B$13,Paramètres!$A$1:$I$89,3,0)*VLOOKUP('Données projet'!$B$13,Paramètres!$A$1:$I$89,5,0)</f>
        <v>148.51836000000006</v>
      </c>
      <c r="CV66" s="14">
        <f t="shared" si="41"/>
        <v>38.241683333484019</v>
      </c>
      <c r="CW66" s="22">
        <f t="shared" si="13"/>
        <v>325.27374213915141</v>
      </c>
      <c r="CX66" s="60">
        <f t="shared" si="14"/>
        <v>618.60707547248467</v>
      </c>
      <c r="CY66" s="60">
        <f ca="1">AVERAGE(OFFSET($CX$3,0,0,'Données projet'!$E$13+1,1))-AVERAGE(OFFSET($H$3,0,0,'Données projet'!$E$13+1,1))</f>
        <v>232.73140429491525</v>
      </c>
      <c r="CZ66" s="60">
        <f t="shared" si="42"/>
        <v>201.02719152328638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3.1892313101318113</v>
      </c>
      <c r="DH66" s="23">
        <f>EXP(-LN(2)/2)*DH65+(1-EXP(-LN(2)/2))/(LN(2)/2)*DB66*DE66*VLOOKUP('Données projet'!$B$13,Paramètres!$A$1:$I$89,3,0)*0.475*44/12</f>
        <v>3.3219242274229265E-5</v>
      </c>
      <c r="DI66" s="24">
        <f t="shared" si="15"/>
        <v>3.1892645293740856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3.974358974358978</v>
      </c>
      <c r="DO66" s="13">
        <f>IF('Données projet'!$A$166&gt;35,DO65+DN66-DW65,IF(A66&lt;'Données projet'!$A$166,$DL$205^A66,IF(A66='Données projet'!$A$166,'Données projet'!$B$166,DO65+DN66-DW65)))</f>
        <v>159.99999999999991</v>
      </c>
      <c r="DP66" s="18">
        <f>DO66*VLOOKUP('Données projet'!$B$14,Paramètres!$A$1:$I$89,3,0)*VLOOKUP('Données projet'!$B$14,Paramètres!$A$1:$I$89,5,0)</f>
        <v>152.25599999999994</v>
      </c>
      <c r="DQ66" s="14">
        <f t="shared" si="43"/>
        <v>39.090823441353066</v>
      </c>
      <c r="DR66" s="22">
        <f t="shared" si="16"/>
        <v>333.26238416035648</v>
      </c>
      <c r="DS66" s="60">
        <f t="shared" si="17"/>
        <v>626.59571749368979</v>
      </c>
      <c r="DT66" s="60">
        <f ca="1">AVERAGE(OFFSET($DS$3,0,0,'Données projet'!$E$14+1,1))-AVERAGE(OFFSET($H$3,0,0,'Données projet'!$E$14+1,1))</f>
        <v>302.15577364214136</v>
      </c>
      <c r="DU66" s="60">
        <f t="shared" si="44"/>
        <v>197.15142751137051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5.0000000000000053</v>
      </c>
      <c r="EJ66" s="13">
        <f>IF('Données projet'!$A$192&gt;35,EJ65+EI66-ER65,IF(A66&lt;'Données projet'!$A$192,$EG$205^A66,IF(A66='Données projet'!$A$192,'Données projet'!$B$192,EJ65+EI66-ER65)))</f>
        <v>223.97435897435884</v>
      </c>
      <c r="EK66" s="18">
        <f>EJ66*VLOOKUP('Données projet'!$B$15,Paramètres!$A$1:$I$89,3,0)*VLOOKUP('Données projet'!$B$15,Paramètres!$A$1:$I$89,5,0)</f>
        <v>234.09799999999987</v>
      </c>
      <c r="EL66" s="14">
        <f t="shared" si="45"/>
        <v>57.167852134096286</v>
      </c>
      <c r="EM66" s="22">
        <f t="shared" si="19"/>
        <v>507.28802580021755</v>
      </c>
      <c r="EN66" s="60">
        <f t="shared" si="20"/>
        <v>800.62135913355087</v>
      </c>
      <c r="EO66" s="60">
        <f ca="1">AVERAGE(OFFSET($EN$3,0,0,'Données projet'!$E$15+1,1))-AVERAGE(OFFSET($H$3,0,0,'Données projet'!$E$15+1,1))</f>
        <v>493.70175665335978</v>
      </c>
      <c r="EP66" s="60">
        <f t="shared" si="46"/>
        <v>325.12357781685949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0" t="e">
        <f t="shared" si="23"/>
        <v>#N/A</v>
      </c>
      <c r="FJ66" s="60" t="e">
        <f ca="1">AVERAGE(OFFSET($FI$3,0,0,'Données projet'!$E$16+1,1))-AVERAGE(OFFSET($H$3,0,0,'Données projet'!$E$16+1,1))</f>
        <v>#N/A</v>
      </c>
      <c r="FK66" s="60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0" t="e">
        <f t="shared" si="26"/>
        <v>#N/A</v>
      </c>
      <c r="GE66" s="60" t="e">
        <f ca="1">AVERAGE(OFFSET($GD$3,0,0,'Données projet'!$E$17+1,1))-AVERAGE(OFFSET($H$3,0,0,'Données projet'!$E$17+1,1))</f>
        <v>#N/A</v>
      </c>
      <c r="GF66" s="60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5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8">
        <f t="shared" si="1"/>
        <v>256.66666666666669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0">
        <f t="shared" ref="R67:R130" si="55">Q67+(I67+J67)*44/12</f>
        <v>293.3333333333353</v>
      </c>
      <c r="S67" s="60">
        <f ca="1">AVERAGE(OFFSET($R$3,0,0,'Données projet'!$E$9+1,1))-AVERAGE(OFFSET($H$3,0,0,'Données projet'!$E$9+1,1))</f>
        <v>260.02504691866199</v>
      </c>
      <c r="T67" s="60">
        <f t="shared" si="34"/>
        <v>270.11268336406368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5.104243280226</v>
      </c>
      <c r="AA67" s="23">
        <f>EXP(-LN(2)/25)*AA66+(1-EXP(-LN(2)/25))/(LN(2)/25)*Calculateur!V67*Calculateur!X67*VLOOKUP('Données projet'!$B$9,Paramètres!$A$1:$I$89,3,0)*0.475*44/12</f>
        <v>6.4031891032532551</v>
      </c>
      <c r="AB67" s="23">
        <f>EXP(-LN(2)/2)*AB66+(1-EXP(-LN(2)/2))/(LN(2)/2)*V67*Y67*VLOOKUP('Données projet'!$B$9,Paramètres!$A$1:$I$89,3,0)*0.475*44/12</f>
        <v>4.837006336916995E-5</v>
      </c>
      <c r="AC67" s="24">
        <f t="shared" si="3"/>
        <v>11.507480753542625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7.2</v>
      </c>
      <c r="AI67" s="14">
        <f>IF('Données projet'!$A$62&gt;35,AI66+AH67-AQ66,IF(A67&lt;'Données projet'!$A$62,$AF$205^A67,IF(A67='Données projet'!$A$62,'Données projet'!$B$62,AI66+AH67-AQ66)))</f>
        <v>221.79999999999993</v>
      </c>
      <c r="AJ67" s="14">
        <f>AI67*VLOOKUP('Données projet'!$B$10,Paramètres!$A$1:$I$89,3,0)*VLOOKUP('Données projet'!$B$10,Paramètres!$A$1:$I$89,5,0)</f>
        <v>224.90519999999995</v>
      </c>
      <c r="AK67" s="14">
        <f t="shared" si="35"/>
        <v>55.17963460003309</v>
      </c>
      <c r="AL67" s="22">
        <f t="shared" si="4"/>
        <v>487.81442026172425</v>
      </c>
      <c r="AM67" s="60">
        <f t="shared" si="5"/>
        <v>781.14775359505757</v>
      </c>
      <c r="AN67" s="60">
        <f ca="1">AVERAGE(OFFSET($AM$3,0,0,'Données projet'!$E$10+1,1))-AVERAGE(OFFSET($H$3,0,0,'Données projet'!$E$10+1,1))</f>
        <v>475.47920969424894</v>
      </c>
      <c r="AO67" s="60">
        <f t="shared" si="36"/>
        <v>271.73544012419364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5.2</v>
      </c>
      <c r="BD67" s="13">
        <f>IF('Données projet'!$A$88&gt;35,BD66+BC67-BL66,IF(A67&lt;'Données projet'!$A$88,$BA$205^A67,IF(A67='Données projet'!$A$88,'Données projet'!$B$88,BD66+BC67-BL66)))</f>
        <v>154.79999999999993</v>
      </c>
      <c r="BE67" s="14">
        <f>BD67*VLOOKUP('Données projet'!$B$11,Paramètres!$A$1:$I$89,3,0)*VLOOKUP('Données projet'!$B$11,Paramètres!$A$1:$I$89,5,0)</f>
        <v>140.06303999999992</v>
      </c>
      <c r="BF67" s="14">
        <f t="shared" si="37"/>
        <v>36.311446695369504</v>
      </c>
      <c r="BG67" s="22">
        <f t="shared" si="7"/>
        <v>307.18556432776842</v>
      </c>
      <c r="BH67" s="60">
        <f t="shared" si="8"/>
        <v>600.51889766110173</v>
      </c>
      <c r="BI67" s="60">
        <f ca="1">AVERAGE(OFFSET($BH$3,0,0,'Données projet'!$E$11+1,1))-AVERAGE(OFFSET($H$3,0,0,'Données projet'!$E$11+1,1))</f>
        <v>325.2649384779973</v>
      </c>
      <c r="BJ67" s="60">
        <f t="shared" si="38"/>
        <v>146.70159365068315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12.6</v>
      </c>
      <c r="BY67" s="13">
        <f>IF('Données projet'!$A$114&gt;35,BY66+BX67-CG66,IF(A67&lt;'Données projet'!$A$114,$BV$205^A67,IF(A67='Données projet'!$A$114,'Données projet'!$B$114,BY66+BX67-CG66)))</f>
        <v>649.60000000000048</v>
      </c>
      <c r="BZ67" s="14">
        <f>BY67*VLOOKUP('Données projet'!$B$12,Paramètres!$A$1:$I$89,3,0)*VLOOKUP('Données projet'!$B$12,Paramètres!$A$1:$I$89,5,0)</f>
        <v>287.12320000000022</v>
      </c>
      <c r="CA67" s="14">
        <f t="shared" si="39"/>
        <v>68.470137815725536</v>
      </c>
      <c r="CB67" s="22">
        <f t="shared" si="10"/>
        <v>619.32506336238896</v>
      </c>
      <c r="CC67" s="60">
        <f t="shared" si="11"/>
        <v>912.65839669572233</v>
      </c>
      <c r="CD67" s="60">
        <f ca="1">AVERAGE(OFFSET($CC$3,0,0,'Données projet'!$E$12+1,1))-AVERAGE(OFFSET($H$3,0,0,'Données projet'!$E$12+1,1))</f>
        <v>401.84375324751227</v>
      </c>
      <c r="CE67" s="60">
        <f t="shared" si="40"/>
        <v>350.39368043404164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3.2465441857715893</v>
      </c>
      <c r="CM67" s="23">
        <f>EXP(-LN(2)/2)*CM66+(1-EXP(-LN(2)/2))/(LN(2)/2)*CG67*CJ67*VLOOKUP('Données projet'!$B$12,Paramètres!$A$1:$I$89,3,0)*0.475*44/12</f>
        <v>1.063049411106215E-5</v>
      </c>
      <c r="CN67" s="24">
        <f t="shared" si="12"/>
        <v>3.2465548162657005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7.7092307692307687</v>
      </c>
      <c r="CT67" s="13">
        <f>IF('Données projet'!$A$140&gt;35,CT66+CS67-DB66,IF(A67&lt;'Données projet'!$A$140,$CQ$205^A67,IF(A67='Données projet'!$A$140,'Données projet'!$B$140,CT66+CS67-DB66)))</f>
        <v>256.06769230769237</v>
      </c>
      <c r="CU67" s="18">
        <f>CT67*VLOOKUP('Données projet'!$B$13,Paramètres!$A$1:$I$89,3,0)*VLOOKUP('Données projet'!$B$13,Paramètres!$A$1:$I$89,5,0)</f>
        <v>153.12848000000005</v>
      </c>
      <c r="CV67" s="14">
        <f t="shared" si="41"/>
        <v>39.288687555174619</v>
      </c>
      <c r="CW67" s="22">
        <f t="shared" si="13"/>
        <v>335.12656682526256</v>
      </c>
      <c r="CX67" s="60">
        <f t="shared" si="14"/>
        <v>628.45990015859593</v>
      </c>
      <c r="CY67" s="60">
        <f ca="1">AVERAGE(OFFSET($CX$3,0,0,'Données projet'!$E$13+1,1))-AVERAGE(OFFSET($H$3,0,0,'Données projet'!$E$13+1,1))</f>
        <v>232.73140429491525</v>
      </c>
      <c r="CZ67" s="60">
        <f t="shared" si="42"/>
        <v>201.02719152328638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3.1020216122418716</v>
      </c>
      <c r="DH67" s="23">
        <f>EXP(-LN(2)/2)*DH66+(1-EXP(-LN(2)/2))/(LN(2)/2)*DB67*DE67*VLOOKUP('Données projet'!$B$13,Paramètres!$A$1:$I$89,3,0)*0.475*44/12</f>
        <v>2.3489551477986342E-5</v>
      </c>
      <c r="DI67" s="24">
        <f t="shared" si="15"/>
        <v>3.1020451017933497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3.974358974358978</v>
      </c>
      <c r="DO67" s="13">
        <f>IF('Données projet'!$A$166&gt;35,DO66+DN67-DW66,IF(A67&lt;'Données projet'!$A$166,$DL$205^A67,IF(A67='Données projet'!$A$166,'Données projet'!$B$166,DO66+DN67-DW66)))</f>
        <v>163.97435897435889</v>
      </c>
      <c r="DP67" s="18">
        <f>DO67*VLOOKUP('Données projet'!$B$14,Paramètres!$A$1:$I$89,3,0)*VLOOKUP('Données projet'!$B$14,Paramètres!$A$1:$I$89,5,0)</f>
        <v>156.03799999999993</v>
      </c>
      <c r="DQ67" s="14">
        <f t="shared" si="43"/>
        <v>39.94757532752773</v>
      </c>
      <c r="DR67" s="22">
        <f t="shared" si="16"/>
        <v>341.34154369544399</v>
      </c>
      <c r="DS67" s="60">
        <f t="shared" si="17"/>
        <v>634.67487702877725</v>
      </c>
      <c r="DT67" s="60">
        <f ca="1">AVERAGE(OFFSET($DS$3,0,0,'Données projet'!$E$14+1,1))-AVERAGE(OFFSET($H$3,0,0,'Données projet'!$E$14+1,1))</f>
        <v>302.15577364214136</v>
      </c>
      <c r="DU67" s="60">
        <f t="shared" si="44"/>
        <v>197.15142751137051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5.0000000000000053</v>
      </c>
      <c r="EJ67" s="13">
        <f>IF('Données projet'!$A$192&gt;35,EJ66+EI67-ER66,IF(A67&lt;'Données projet'!$A$192,$EG$205^A67,IF(A67='Données projet'!$A$192,'Données projet'!$B$192,EJ66+EI67-ER66)))</f>
        <v>228.97435897435884</v>
      </c>
      <c r="EK67" s="18">
        <f>EJ67*VLOOKUP('Données projet'!$B$15,Paramètres!$A$1:$I$89,3,0)*VLOOKUP('Données projet'!$B$15,Paramètres!$A$1:$I$89,5,0)</f>
        <v>239.32399999999987</v>
      </c>
      <c r="EL67" s="14">
        <f t="shared" si="45"/>
        <v>58.294061921376255</v>
      </c>
      <c r="EM67" s="22">
        <f t="shared" si="19"/>
        <v>518.35145784639667</v>
      </c>
      <c r="EN67" s="60">
        <f t="shared" si="20"/>
        <v>811.68479117972993</v>
      </c>
      <c r="EO67" s="60">
        <f ca="1">AVERAGE(OFFSET($EN$3,0,0,'Données projet'!$E$15+1,1))-AVERAGE(OFFSET($H$3,0,0,'Données projet'!$E$15+1,1))</f>
        <v>493.70175665335978</v>
      </c>
      <c r="EP67" s="60">
        <f t="shared" si="46"/>
        <v>325.12357781685949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0" t="e">
        <f t="shared" si="23"/>
        <v>#N/A</v>
      </c>
      <c r="FJ67" s="60" t="e">
        <f ca="1">AVERAGE(OFFSET($FI$3,0,0,'Données projet'!$E$16+1,1))-AVERAGE(OFFSET($H$3,0,0,'Données projet'!$E$16+1,1))</f>
        <v>#N/A</v>
      </c>
      <c r="FK67" s="60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0" t="e">
        <f t="shared" si="26"/>
        <v>#N/A</v>
      </c>
      <c r="GE67" s="60" t="e">
        <f ca="1">AVERAGE(OFFSET($GD$3,0,0,'Données projet'!$E$17+1,1))-AVERAGE(OFFSET($H$3,0,0,'Données projet'!$E$17+1,1))</f>
        <v>#N/A</v>
      </c>
      <c r="GF67" s="60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5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8">
        <f t="shared" ref="H68:H131" si="56">(B68+E68+F68)*44/12+(C68+D68)*0.475*44/12</f>
        <v>256.66666666666669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0">
        <f t="shared" si="55"/>
        <v>293.3333333333353</v>
      </c>
      <c r="S68" s="60">
        <f ca="1">AVERAGE(OFFSET($R$3,0,0,'Données projet'!$E$9+1,1))-AVERAGE(OFFSET($H$3,0,0,'Données projet'!$E$9+1,1))</f>
        <v>260.02504691866199</v>
      </c>
      <c r="T68" s="60">
        <f t="shared" si="34"/>
        <v>270.11268336406368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5.0041521827817581</v>
      </c>
      <c r="AA68" s="23">
        <f>EXP(-LN(2)/25)*AA67+(1-EXP(-LN(2)/25))/(LN(2)/25)*Calculateur!V68*Calculateur!X68*VLOOKUP('Données projet'!$B$9,Paramètres!$A$1:$I$89,3,0)*0.475*44/12</f>
        <v>6.2280935604957142</v>
      </c>
      <c r="AB68" s="23">
        <f>EXP(-LN(2)/2)*AB67+(1-EXP(-LN(2)/2))/(LN(2)/2)*V68*Y68*VLOOKUP('Données projet'!$B$9,Paramètres!$A$1:$I$89,3,0)*0.475*44/12</f>
        <v>3.4202799814763094E-5</v>
      </c>
      <c r="AC68" s="24">
        <f t="shared" ref="AC68:AC131" si="57">SUM(Z68:AB68)</f>
        <v>11.232279946077288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7.2</v>
      </c>
      <c r="AH68" s="13">
        <f t="array" ref="AH68">INDEX(AG:AG,MIN(IF(ISNUMBER(AG68:AG264),ROW(AG68:AG264),"")))</f>
        <v>7.2</v>
      </c>
      <c r="AI68" s="14">
        <f>IF('Données projet'!$A$62&gt;35,AI67+AH68-AQ67,IF(A68&lt;'Données projet'!$A$62,$AF$205^A68,IF(A68='Données projet'!$A$62,'Données projet'!$B$62,AI67+AH68-AQ67)))</f>
        <v>228.99999999999991</v>
      </c>
      <c r="AJ68" s="14">
        <f>AI68*VLOOKUP('Données projet'!$B$10,Paramètres!$A$1:$I$89,3,0)*VLOOKUP('Données projet'!$B$10,Paramètres!$A$1:$I$89,5,0)</f>
        <v>232.2059999999999</v>
      </c>
      <c r="AK68" s="14">
        <f t="shared" si="35"/>
        <v>56.759404991217522</v>
      </c>
      <c r="AL68" s="22">
        <f t="shared" ref="AL68:AL131" si="58">(AJ68+AK68)*0.475*44/12</f>
        <v>503.281413693037</v>
      </c>
      <c r="AM68" s="60">
        <f t="shared" ref="AM68:AM131" si="59">AL68+(AD68+AE68)*44/12</f>
        <v>796.61474702637031</v>
      </c>
      <c r="AN68" s="60">
        <f ca="1">AVERAGE(OFFSET($AM$3,0,0,'Données projet'!$E$10+1,1))-AVERAGE(OFFSET($H$3,0,0,'Données projet'!$E$10+1,1))</f>
        <v>475.47920969424894</v>
      </c>
      <c r="AO68" s="60">
        <f t="shared" si="36"/>
        <v>271.73544012419364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5.2</v>
      </c>
      <c r="BD68" s="13">
        <f>IF('Données projet'!$A$88&gt;35,BD67+BC68-BL67,IF(A68&lt;'Données projet'!$A$88,$BA$205^A68,IF(A68='Données projet'!$A$88,'Données projet'!$B$88,BD67+BC68-BL67)))</f>
        <v>159.99999999999991</v>
      </c>
      <c r="BE68" s="14">
        <f>BD68*VLOOKUP('Données projet'!$B$11,Paramètres!$A$1:$I$89,3,0)*VLOOKUP('Données projet'!$B$11,Paramètres!$A$1:$I$89,5,0)</f>
        <v>144.76799999999992</v>
      </c>
      <c r="BF68" s="14">
        <f t="shared" si="37"/>
        <v>37.387149255707826</v>
      </c>
      <c r="BG68" s="22">
        <f t="shared" ref="BG68:BG131" si="61">(BE68+BF68)*0.475*44/12</f>
        <v>317.2535516203576</v>
      </c>
      <c r="BH68" s="60">
        <f t="shared" ref="BH68:BH131" si="62">BG68+(AY68+AZ68)*44/12</f>
        <v>610.58688495369097</v>
      </c>
      <c r="BI68" s="60">
        <f ca="1">AVERAGE(OFFSET($BH$3,0,0,'Données projet'!$E$11+1,1))-AVERAGE(OFFSET($H$3,0,0,'Données projet'!$E$11+1,1))</f>
        <v>325.2649384779973</v>
      </c>
      <c r="BJ68" s="60">
        <f t="shared" si="38"/>
        <v>146.70159365068315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12.6</v>
      </c>
      <c r="BY68" s="13">
        <f>IF('Données projet'!$A$114&gt;35,BY67+BX68-CG67,IF(A68&lt;'Données projet'!$A$114,$BV$205^A68,IF(A68='Données projet'!$A$114,'Données projet'!$B$114,BY67+BX68-CG67)))</f>
        <v>662.2000000000005</v>
      </c>
      <c r="BZ68" s="14">
        <f>BY68*VLOOKUP('Données projet'!$B$12,Paramètres!$A$1:$I$89,3,0)*VLOOKUP('Données projet'!$B$12,Paramètres!$A$1:$I$89,5,0)</f>
        <v>292.69240000000025</v>
      </c>
      <c r="CA68" s="14">
        <f t="shared" si="39"/>
        <v>69.642318071804894</v>
      </c>
      <c r="CB68" s="22">
        <f t="shared" ref="CB68:CB131" si="64">(BZ68+CA68)*0.475*44/12</f>
        <v>631.06630064172725</v>
      </c>
      <c r="CC68" s="60">
        <f t="shared" ref="CC68:CC131" si="65">CB68+(BT68+BU68)*44/12</f>
        <v>924.39963397506062</v>
      </c>
      <c r="CD68" s="60">
        <f ca="1">AVERAGE(OFFSET($CC$3,0,0,'Données projet'!$E$12+1,1))-AVERAGE(OFFSET($H$3,0,0,'Données projet'!$E$12+1,1))</f>
        <v>401.84375324751227</v>
      </c>
      <c r="CE68" s="60">
        <f t="shared" si="40"/>
        <v>350.39368043404164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3.1577672642833265</v>
      </c>
      <c r="CM68" s="23">
        <f>EXP(-LN(2)/2)*CM67+(1-EXP(-LN(2)/2))/(LN(2)/2)*CG68*CJ68*VLOOKUP('Données projet'!$B$12,Paramètres!$A$1:$I$89,3,0)*0.475*44/12</f>
        <v>7.5168944732957057E-6</v>
      </c>
      <c r="CN68" s="24">
        <f t="shared" ref="CN68:CN131" si="66">SUM(CK68:CM68)</f>
        <v>3.1577747811777996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7.7092307692307687</v>
      </c>
      <c r="CT68" s="13">
        <f>IF('Données projet'!$A$140&gt;35,CT67+CS68-DB67,IF(A68&lt;'Données projet'!$A$140,$CQ$205^A68,IF(A68='Données projet'!$A$140,'Données projet'!$B$140,CT67+CS68-DB67)))</f>
        <v>263.77692307692314</v>
      </c>
      <c r="CU68" s="18">
        <f>CT68*VLOOKUP('Données projet'!$B$13,Paramètres!$A$1:$I$89,3,0)*VLOOKUP('Données projet'!$B$13,Paramètres!$A$1:$I$89,5,0)</f>
        <v>157.73860000000005</v>
      </c>
      <c r="CV68" s="14">
        <f t="shared" si="41"/>
        <v>40.33202852942668</v>
      </c>
      <c r="CW68" s="22">
        <f t="shared" ref="CW68:CW131" si="67">(CU68+CV68)*0.475*44/12</f>
        <v>344.97301135541824</v>
      </c>
      <c r="CX68" s="60">
        <f t="shared" ref="CX68:CX131" si="68">CW68+(CO68+CP68)*44/12</f>
        <v>638.30634468875155</v>
      </c>
      <c r="CY68" s="60">
        <f ca="1">AVERAGE(OFFSET($CX$3,0,0,'Données projet'!$E$13+1,1))-AVERAGE(OFFSET($H$3,0,0,'Données projet'!$E$13+1,1))</f>
        <v>232.73140429491525</v>
      </c>
      <c r="CZ68" s="60">
        <f t="shared" si="42"/>
        <v>201.02719152328638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3.0171966681268909</v>
      </c>
      <c r="DH68" s="23">
        <f>EXP(-LN(2)/2)*DH67+(1-EXP(-LN(2)/2))/(LN(2)/2)*DB68*DE68*VLOOKUP('Données projet'!$B$13,Paramètres!$A$1:$I$89,3,0)*0.475*44/12</f>
        <v>1.6609621137114632E-5</v>
      </c>
      <c r="DI68" s="24">
        <f t="shared" ref="DI68:DI131" si="69">SUM(DF68:DH68)</f>
        <v>3.0172132777480281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167.94871794871796</v>
      </c>
      <c r="DM68" s="13">
        <f>VLOOKUP(A68,'Données projet'!$A$165:$I$185,9,0)</f>
        <v>3.974358974358978</v>
      </c>
      <c r="DN68" s="13">
        <f t="array" ref="DN68">INDEX(DM:DM,MIN(IF(ISNUMBER(DM68:DM264),ROW(DM68:DM264),"")))</f>
        <v>3.974358974358978</v>
      </c>
      <c r="DO68" s="13">
        <f>IF('Données projet'!$A$166&gt;35,DO67+DN68-DW67,IF(A68&lt;'Données projet'!$A$166,$DL$205^A68,IF(A68='Données projet'!$A$166,'Données projet'!$B$166,DO67+DN68-DW67)))</f>
        <v>167.94871794871787</v>
      </c>
      <c r="DP68" s="18">
        <f>DO68*VLOOKUP('Données projet'!$B$14,Paramètres!$A$1:$I$89,3,0)*VLOOKUP('Données projet'!$B$14,Paramètres!$A$1:$I$89,5,0)</f>
        <v>159.81999999999994</v>
      </c>
      <c r="DQ68" s="14">
        <f t="shared" si="43"/>
        <v>40.801913244889811</v>
      </c>
      <c r="DR68" s="22">
        <f t="shared" ref="DR68:DR131" si="70">(DP68+DQ68)*0.475*44/12</f>
        <v>349.41649890151626</v>
      </c>
      <c r="DS68" s="60">
        <f t="shared" ref="DS68:DS131" si="71">DR68+(DJ68+DK68)*44/12</f>
        <v>642.74983223484958</v>
      </c>
      <c r="DT68" s="60">
        <f ca="1">AVERAGE(OFFSET($DS$3,0,0,'Données projet'!$E$14+1,1))-AVERAGE(OFFSET($H$3,0,0,'Données projet'!$E$14+1,1))</f>
        <v>302.15577364214136</v>
      </c>
      <c r="DU68" s="60">
        <f t="shared" si="44"/>
        <v>197.15142751137051</v>
      </c>
      <c r="DV68" s="16">
        <f>IF(ISNA(VLOOKUP(A68,'Données projet'!$A$165:$I$185,3,0)),0,VLOOKUP(A68,'Données projet'!$A$165:$I$185,3,0))</f>
        <v>5</v>
      </c>
      <c r="DW68" s="16">
        <f>IF(ISNA(VLOOKUP(A68,'Données projet'!$A$165:$I$185,4,0)),0,VLOOKUP(A68,'Données projet'!$A$165:$I$185,4,0))</f>
        <v>23.076923076923077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233.97435897435898</v>
      </c>
      <c r="EH68" s="13">
        <f>VLOOKUP(A68,'Données projet'!$A$191:$I$211,9,0)</f>
        <v>5.0000000000000053</v>
      </c>
      <c r="EI68" s="13">
        <f t="array" ref="EI68">INDEX(EH:EH,MIN(IF(ISNUMBER(EH68:EH264),ROW(EH68:EH264),"")))</f>
        <v>5.0000000000000053</v>
      </c>
      <c r="EJ68" s="13">
        <f>IF('Données projet'!$A$192&gt;35,EJ67+EI68-ER67,IF(A68&lt;'Données projet'!$A$192,$EG$205^A68,IF(A68='Données projet'!$A$192,'Données projet'!$B$192,EJ67+EI68-ER67)))</f>
        <v>233.97435897435884</v>
      </c>
      <c r="EK68" s="18">
        <f>EJ68*VLOOKUP('Données projet'!$B$15,Paramètres!$A$1:$I$89,3,0)*VLOOKUP('Données projet'!$B$15,Paramètres!$A$1:$I$89,5,0)</f>
        <v>244.5499999999999</v>
      </c>
      <c r="EL68" s="14">
        <f t="shared" si="45"/>
        <v>59.417412537913442</v>
      </c>
      <c r="EM68" s="22">
        <f t="shared" ref="EM68:EM131" si="73">(EK68+EL68)*0.475*44/12</f>
        <v>529.40991017019905</v>
      </c>
      <c r="EN68" s="60">
        <f t="shared" ref="EN68:EN131" si="74">EM68+(EE68+EF68)*44/12</f>
        <v>822.74324350353231</v>
      </c>
      <c r="EO68" s="60">
        <f ca="1">AVERAGE(OFFSET($EN$3,0,0,'Données projet'!$E$15+1,1))-AVERAGE(OFFSET($H$3,0,0,'Données projet'!$E$15+1,1))</f>
        <v>493.70175665335978</v>
      </c>
      <c r="EP68" s="60">
        <f t="shared" si="46"/>
        <v>325.12357781685949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0" t="e">
        <f t="shared" ref="FI68:FI131" si="77">FH68+(EZ68+FA68)*44/12</f>
        <v>#N/A</v>
      </c>
      <c r="FJ68" s="60" t="e">
        <f ca="1">AVERAGE(OFFSET($FI$3,0,0,'Données projet'!$E$16+1,1))-AVERAGE(OFFSET($H$3,0,0,'Données projet'!$E$16+1,1))</f>
        <v>#N/A</v>
      </c>
      <c r="FK68" s="60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0" t="e">
        <f t="shared" ref="GD68:GD131" si="80">GC68+(FU68+FV68)*44/12</f>
        <v>#N/A</v>
      </c>
      <c r="GE68" s="60" t="e">
        <f ca="1">AVERAGE(OFFSET($GD$3,0,0,'Données projet'!$E$17+1,1))-AVERAGE(OFFSET($H$3,0,0,'Données projet'!$E$17+1,1))</f>
        <v>#N/A</v>
      </c>
      <c r="GF68" s="60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5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8">
        <f t="shared" si="56"/>
        <v>256.66666666666669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0">
        <f t="shared" si="55"/>
        <v>293.3333333333353</v>
      </c>
      <c r="S69" s="60">
        <f ca="1">AVERAGE(OFFSET($R$3,0,0,'Données projet'!$E$9+1,1))-AVERAGE(OFFSET($H$3,0,0,'Données projet'!$E$9+1,1))</f>
        <v>260.02504691866199</v>
      </c>
      <c r="T69" s="60">
        <f t="shared" ref="T69:T132" si="88">$T$3</f>
        <v>270.11268336406368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4.9060238107088567</v>
      </c>
      <c r="AA69" s="23">
        <f>EXP(-LN(2)/25)*AA68+(1-EXP(-LN(2)/25))/(LN(2)/25)*Calculateur!V69*Calculateur!X69*VLOOKUP('Données projet'!$B$9,Paramètres!$A$1:$I$89,3,0)*0.475*44/12</f>
        <v>6.0577860145627529</v>
      </c>
      <c r="AB69" s="23">
        <f>EXP(-LN(2)/2)*AB68+(1-EXP(-LN(2)/2))/(LN(2)/2)*V69*Y69*VLOOKUP('Données projet'!$B$9,Paramètres!$A$1:$I$89,3,0)*0.475*44/12</f>
        <v>2.4185031684584975E-5</v>
      </c>
      <c r="AC69" s="24">
        <f t="shared" si="57"/>
        <v>10.963834010303295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235.79999999999993</v>
      </c>
      <c r="AJ69" s="14">
        <f>AI69*VLOOKUP('Données projet'!$B$10,Paramètres!$A$1:$I$89,3,0)*VLOOKUP('Données projet'!$B$10,Paramètres!$A$1:$I$89,5,0)</f>
        <v>239.10119999999995</v>
      </c>
      <c r="AK69" s="14">
        <f t="shared" ref="AK69:AK132" si="89">EXP(-1.0587+0.8836*LN(AJ69)+0.284)</f>
        <v>58.246107075777331</v>
      </c>
      <c r="AL69" s="22">
        <f t="shared" si="58"/>
        <v>517.87989315697871</v>
      </c>
      <c r="AM69" s="60">
        <f t="shared" si="59"/>
        <v>811.21322649031208</v>
      </c>
      <c r="AN69" s="60">
        <f ca="1">AVERAGE(OFFSET($AM$3,0,0,'Données projet'!$E$10+1,1))-AVERAGE(OFFSET($H$3,0,0,'Données projet'!$E$10+1,1))</f>
        <v>475.47920969424894</v>
      </c>
      <c r="AO69" s="60">
        <f t="shared" ref="AO69:AO132" si="90">$AO$3</f>
        <v>271.73544012419364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5.2</v>
      </c>
      <c r="BD69" s="13">
        <f>IF('Données projet'!$A$88&gt;35,BD68+BC69-BL68,IF(A69&lt;'Données projet'!$A$88,$BA$205^A69,IF(A69='Données projet'!$A$88,'Données projet'!$B$88,BD68+BC69-BL68)))</f>
        <v>165.1999999999999</v>
      </c>
      <c r="BE69" s="14">
        <f>BD69*VLOOKUP('Données projet'!$B$11,Paramètres!$A$1:$I$89,3,0)*VLOOKUP('Données projet'!$B$11,Paramètres!$A$1:$I$89,5,0)</f>
        <v>149.47295999999989</v>
      </c>
      <c r="BF69" s="14">
        <f t="shared" ref="BF69:BF132" si="91">EXP(-1.0587+0.8836*LN(BE69)+0.284)</f>
        <v>38.458789365254951</v>
      </c>
      <c r="BG69" s="22">
        <f t="shared" si="61"/>
        <v>327.31446347781883</v>
      </c>
      <c r="BH69" s="60">
        <f t="shared" si="62"/>
        <v>620.64779681115215</v>
      </c>
      <c r="BI69" s="60">
        <f ca="1">AVERAGE(OFFSET($BH$3,0,0,'Données projet'!$E$11+1,1))-AVERAGE(OFFSET($H$3,0,0,'Données projet'!$E$11+1,1))</f>
        <v>325.2649384779973</v>
      </c>
      <c r="BJ69" s="60">
        <f t="shared" ref="BJ69:BJ132" si="92">$BJ$3</f>
        <v>146.70159365068315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12.6</v>
      </c>
      <c r="BY69" s="13">
        <f>IF('Données projet'!$A$114&gt;35,BY68+BX69-CG68,IF(A69&lt;'Données projet'!$A$114,$BV$205^A69,IF(A69='Données projet'!$A$114,'Données projet'!$B$114,BY68+BX69-CG68)))</f>
        <v>674.80000000000052</v>
      </c>
      <c r="BZ69" s="14">
        <f>BY69*VLOOKUP('Données projet'!$B$12,Paramètres!$A$1:$I$89,3,0)*VLOOKUP('Données projet'!$B$12,Paramètres!$A$1:$I$89,5,0)</f>
        <v>298.26160000000027</v>
      </c>
      <c r="CA69" s="14">
        <f t="shared" ref="CA69:CA132" si="93">EXP(-1.0587+0.8836*LN(BZ69)+0.284)</f>
        <v>70.811904891462618</v>
      </c>
      <c r="CB69" s="22">
        <f t="shared" si="64"/>
        <v>642.80302101929783</v>
      </c>
      <c r="CC69" s="60">
        <f t="shared" si="65"/>
        <v>936.13635435263109</v>
      </c>
      <c r="CD69" s="60">
        <f ca="1">AVERAGE(OFFSET($CC$3,0,0,'Données projet'!$E$12+1,1))-AVERAGE(OFFSET($H$3,0,0,'Données projet'!$E$12+1,1))</f>
        <v>401.84375324751227</v>
      </c>
      <c r="CE69" s="60">
        <f t="shared" ref="CE69:CE132" si="94">$CE$3</f>
        <v>350.39368043404164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3.0714179523817355</v>
      </c>
      <c r="CM69" s="23">
        <f>EXP(-LN(2)/2)*CM68+(1-EXP(-LN(2)/2))/(LN(2)/2)*CG69*CJ69*VLOOKUP('Données projet'!$B$12,Paramètres!$A$1:$I$89,3,0)*0.475*44/12</f>
        <v>5.3152470555310758E-6</v>
      </c>
      <c r="CN69" s="24">
        <f t="shared" si="66"/>
        <v>3.0714232676287909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7.7092307692307687</v>
      </c>
      <c r="CT69" s="13">
        <f>IF('Données projet'!$A$140&gt;35,CT68+CS69-DB68,IF(A69&lt;'Données projet'!$A$140,$CQ$205^A69,IF(A69='Données projet'!$A$140,'Données projet'!$B$140,CT68+CS69-DB68)))</f>
        <v>271.48615384615391</v>
      </c>
      <c r="CU69" s="18">
        <f>CT69*VLOOKUP('Données projet'!$B$13,Paramètres!$A$1:$I$89,3,0)*VLOOKUP('Données projet'!$B$13,Paramètres!$A$1:$I$89,5,0)</f>
        <v>162.34872000000004</v>
      </c>
      <c r="CV69" s="14">
        <f t="shared" ref="CV69:CV132" si="95">EXP(-1.0587+0.8836*LN(CU69)+0.284)</f>
        <v>41.371825613040222</v>
      </c>
      <c r="CW69" s="22">
        <f t="shared" si="67"/>
        <v>354.81328360937846</v>
      </c>
      <c r="CX69" s="60">
        <f t="shared" si="68"/>
        <v>648.14661694271172</v>
      </c>
      <c r="CY69" s="60">
        <f ca="1">AVERAGE(OFFSET($CX$3,0,0,'Données projet'!$E$13+1,1))-AVERAGE(OFFSET($H$3,0,0,'Données projet'!$E$13+1,1))</f>
        <v>232.73140429491525</v>
      </c>
      <c r="CZ69" s="60">
        <f t="shared" ref="CZ69:CZ132" si="96">$CZ$3</f>
        <v>201.02719152328638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2.9346912665694842</v>
      </c>
      <c r="DH69" s="23">
        <f>EXP(-LN(2)/2)*DH68+(1-EXP(-LN(2)/2))/(LN(2)/2)*DB69*DE69*VLOOKUP('Données projet'!$B$13,Paramètres!$A$1:$I$89,3,0)*0.475*44/12</f>
        <v>1.1744775738993171E-5</v>
      </c>
      <c r="DI69" s="24">
        <f t="shared" si="69"/>
        <v>2.9347030113452233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3.7179487179487127</v>
      </c>
      <c r="DO69" s="13">
        <f>IF('Données projet'!$A$166&gt;35,DO68+DN69-DW68,IF(A69&lt;'Données projet'!$A$166,$DL$205^A69,IF(A69='Données projet'!$A$166,'Données projet'!$B$166,DO68+DN69-DW68)))</f>
        <v>148.58974358974351</v>
      </c>
      <c r="DP69" s="18">
        <f>DO69*VLOOKUP('Données projet'!$B$14,Paramètres!$A$1:$I$89,3,0)*VLOOKUP('Données projet'!$B$14,Paramètres!$A$1:$I$89,5,0)</f>
        <v>141.39799999999991</v>
      </c>
      <c r="DQ69" s="14">
        <f t="shared" ref="DQ69:DQ132" si="97">EXP(-1.0587+0.8836*LN(DP69)+0.284)</f>
        <v>36.617082225356612</v>
      </c>
      <c r="DR69" s="22">
        <f t="shared" si="70"/>
        <v>310.0429348758293</v>
      </c>
      <c r="DS69" s="60">
        <f t="shared" si="71"/>
        <v>603.37626820916262</v>
      </c>
      <c r="DT69" s="60">
        <f ca="1">AVERAGE(OFFSET($DS$3,0,0,'Données projet'!$E$14+1,1))-AVERAGE(OFFSET($H$3,0,0,'Données projet'!$E$14+1,1))</f>
        <v>302.15577364214136</v>
      </c>
      <c r="DU69" s="60">
        <f t="shared" ref="DU69:DU132" si="98">$DU$3</f>
        <v>197.15142751137051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4.8717948717948669</v>
      </c>
      <c r="EJ69" s="13">
        <f>IF('Données projet'!$A$192&gt;35,EJ68+EI69-ER68,IF(A69&lt;'Données projet'!$A$192,$EG$205^A69,IF(A69='Données projet'!$A$192,'Données projet'!$B$192,EJ68+EI69-ER68)))</f>
        <v>238.8461538461537</v>
      </c>
      <c r="EK69" s="18">
        <f>EJ69*VLOOKUP('Données projet'!$B$15,Paramètres!$A$1:$I$89,3,0)*VLOOKUP('Données projet'!$B$15,Paramètres!$A$1:$I$89,5,0)</f>
        <v>249.64199999999988</v>
      </c>
      <c r="EL69" s="14">
        <f t="shared" ref="EL69:EL132" si="99">EXP(-1.0587+0.8836*LN(EK69)+0.284)</f>
        <v>60.509274148016289</v>
      </c>
      <c r="EM69" s="22">
        <f t="shared" si="73"/>
        <v>540.18013580779473</v>
      </c>
      <c r="EN69" s="60">
        <f t="shared" si="74"/>
        <v>833.5134691411281</v>
      </c>
      <c r="EO69" s="60">
        <f ca="1">AVERAGE(OFFSET($EN$3,0,0,'Données projet'!$E$15+1,1))-AVERAGE(OFFSET($H$3,0,0,'Données projet'!$E$15+1,1))</f>
        <v>493.70175665335978</v>
      </c>
      <c r="EP69" s="60">
        <f t="shared" ref="EP69:EP132" si="100">$EP$3</f>
        <v>325.12357781685949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0" t="e">
        <f t="shared" si="77"/>
        <v>#N/A</v>
      </c>
      <c r="FJ69" s="60" t="e">
        <f ca="1">AVERAGE(OFFSET($FI$3,0,0,'Données projet'!$E$16+1,1))-AVERAGE(OFFSET($H$3,0,0,'Données projet'!$E$16+1,1))</f>
        <v>#N/A</v>
      </c>
      <c r="FK69" s="60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0" t="e">
        <f t="shared" si="80"/>
        <v>#N/A</v>
      </c>
      <c r="GE69" s="60" t="e">
        <f ca="1">AVERAGE(OFFSET($GD$3,0,0,'Données projet'!$E$17+1,1))-AVERAGE(OFFSET($H$3,0,0,'Données projet'!$E$17+1,1))</f>
        <v>#N/A</v>
      </c>
      <c r="GF69" s="60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5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8">
        <f t="shared" si="56"/>
        <v>256.66666666666669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0">
        <f t="shared" si="55"/>
        <v>293.3333333333353</v>
      </c>
      <c r="S70" s="60">
        <f ca="1">AVERAGE(OFFSET($R$3,0,0,'Données projet'!$E$9+1,1))-AVERAGE(OFFSET($H$3,0,0,'Données projet'!$E$9+1,1))</f>
        <v>260.02504691866199</v>
      </c>
      <c r="T70" s="60">
        <f t="shared" si="88"/>
        <v>270.11268336406368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4.8098196761599077</v>
      </c>
      <c r="AA70" s="23">
        <f>EXP(-LN(2)/25)*AA69+(1-EXP(-LN(2)/25))/(LN(2)/25)*Calculateur!V70*Calculateur!X70*VLOOKUP('Données projet'!$B$9,Paramètres!$A$1:$I$89,3,0)*0.475*44/12</f>
        <v>5.8921355374294135</v>
      </c>
      <c r="AB70" s="23">
        <f>EXP(-LN(2)/2)*AB69+(1-EXP(-LN(2)/2))/(LN(2)/2)*V70*Y70*VLOOKUP('Données projet'!$B$9,Paramètres!$A$1:$I$89,3,0)*0.475*44/12</f>
        <v>1.7101399907381547E-5</v>
      </c>
      <c r="AC70" s="24">
        <f t="shared" si="57"/>
        <v>10.701972314989229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242.59999999999994</v>
      </c>
      <c r="AJ70" s="14">
        <f>AI70*VLOOKUP('Données projet'!$B$10,Paramètres!$A$1:$I$89,3,0)*VLOOKUP('Données projet'!$B$10,Paramètres!$A$1:$I$89,5,0)</f>
        <v>245.99639999999997</v>
      </c>
      <c r="AK70" s="14">
        <f t="shared" si="89"/>
        <v>59.72782632026442</v>
      </c>
      <c r="AL70" s="22">
        <f t="shared" si="58"/>
        <v>532.46969417446041</v>
      </c>
      <c r="AM70" s="60">
        <f t="shared" si="59"/>
        <v>825.80302750779379</v>
      </c>
      <c r="AN70" s="60">
        <f ca="1">AVERAGE(OFFSET($AM$3,0,0,'Données projet'!$E$10+1,1))-AVERAGE(OFFSET($H$3,0,0,'Données projet'!$E$10+1,1))</f>
        <v>475.47920969424894</v>
      </c>
      <c r="AO70" s="60">
        <f t="shared" si="90"/>
        <v>271.73544012419364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5.2</v>
      </c>
      <c r="BD70" s="13">
        <f>IF('Données projet'!$A$88&gt;35,BD69+BC70-BL69,IF(A70&lt;'Données projet'!$A$88,$BA$205^A70,IF(A70='Données projet'!$A$88,'Données projet'!$B$88,BD69+BC70-BL69)))</f>
        <v>170.39999999999989</v>
      </c>
      <c r="BE70" s="14">
        <f>BD70*VLOOKUP('Données projet'!$B$11,Paramètres!$A$1:$I$89,3,0)*VLOOKUP('Données projet'!$B$11,Paramètres!$A$1:$I$89,5,0)</f>
        <v>154.17791999999992</v>
      </c>
      <c r="BF70" s="14">
        <f t="shared" si="91"/>
        <v>39.526509568829233</v>
      </c>
      <c r="BG70" s="22">
        <f t="shared" si="61"/>
        <v>337.36854816571076</v>
      </c>
      <c r="BH70" s="60">
        <f t="shared" si="62"/>
        <v>630.70188149904402</v>
      </c>
      <c r="BI70" s="60">
        <f ca="1">AVERAGE(OFFSET($BH$3,0,0,'Données projet'!$E$11+1,1))-AVERAGE(OFFSET($H$3,0,0,'Données projet'!$E$11+1,1))</f>
        <v>325.2649384779973</v>
      </c>
      <c r="BJ70" s="60">
        <f t="shared" si="92"/>
        <v>146.70159365068315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12.6</v>
      </c>
      <c r="BY70" s="13">
        <f>IF('Données projet'!$A$114&gt;35,BY69+BX70-CG69,IF(A70&lt;'Données projet'!$A$114,$BV$205^A70,IF(A70='Données projet'!$A$114,'Données projet'!$B$114,BY69+BX70-CG69)))</f>
        <v>687.40000000000055</v>
      </c>
      <c r="BZ70" s="14">
        <f>BY70*VLOOKUP('Données projet'!$B$12,Paramètres!$A$1:$I$89,3,0)*VLOOKUP('Données projet'!$B$12,Paramètres!$A$1:$I$89,5,0)</f>
        <v>303.83080000000029</v>
      </c>
      <c r="CA70" s="14">
        <f t="shared" si="93"/>
        <v>71.978952284171243</v>
      </c>
      <c r="CB70" s="22">
        <f t="shared" si="64"/>
        <v>654.53531856159873</v>
      </c>
      <c r="CC70" s="60">
        <f t="shared" si="65"/>
        <v>947.8686518949321</v>
      </c>
      <c r="CD70" s="60">
        <f ca="1">AVERAGE(OFFSET($CC$3,0,0,'Données projet'!$E$12+1,1))-AVERAGE(OFFSET($H$3,0,0,'Données projet'!$E$12+1,1))</f>
        <v>401.84375324751227</v>
      </c>
      <c r="CE70" s="60">
        <f t="shared" si="94"/>
        <v>350.39368043404164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2.9874298669550066</v>
      </c>
      <c r="CM70" s="23">
        <f>EXP(-LN(2)/2)*CM69+(1-EXP(-LN(2)/2))/(LN(2)/2)*CG70*CJ70*VLOOKUP('Données projet'!$B$12,Paramètres!$A$1:$I$89,3,0)*0.475*44/12</f>
        <v>3.7584472366478537E-6</v>
      </c>
      <c r="CN70" s="24">
        <f t="shared" si="66"/>
        <v>2.9874336254022431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7.7092307692307687</v>
      </c>
      <c r="CT70" s="13">
        <f>IF('Données projet'!$A$140&gt;35,CT69+CS70-DB69,IF(A70&lt;'Données projet'!$A$140,$CQ$205^A70,IF(A70='Données projet'!$A$140,'Données projet'!$B$140,CT69+CS70-DB69)))</f>
        <v>279.19538461538468</v>
      </c>
      <c r="CU70" s="18">
        <f>CT70*VLOOKUP('Données projet'!$B$13,Paramètres!$A$1:$I$89,3,0)*VLOOKUP('Données projet'!$B$13,Paramètres!$A$1:$I$89,5,0)</f>
        <v>166.95884000000007</v>
      </c>
      <c r="CV70" s="14">
        <f t="shared" si="95"/>
        <v>42.408190998621166</v>
      </c>
      <c r="CW70" s="22">
        <f t="shared" si="67"/>
        <v>364.64757898926524</v>
      </c>
      <c r="CX70" s="60">
        <f t="shared" si="68"/>
        <v>657.98091232259856</v>
      </c>
      <c r="CY70" s="60">
        <f ca="1">AVERAGE(OFFSET($CX$3,0,0,'Données projet'!$E$13+1,1))-AVERAGE(OFFSET($H$3,0,0,'Données projet'!$E$13+1,1))</f>
        <v>232.73140429491525</v>
      </c>
      <c r="CZ70" s="60">
        <f t="shared" si="96"/>
        <v>201.02719152328638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2.8544419795564351</v>
      </c>
      <c r="DH70" s="23">
        <f>EXP(-LN(2)/2)*DH69+(1-EXP(-LN(2)/2))/(LN(2)/2)*DB70*DE70*VLOOKUP('Données projet'!$B$13,Paramètres!$A$1:$I$89,3,0)*0.475*44/12</f>
        <v>8.3048105685573162E-6</v>
      </c>
      <c r="DI70" s="24">
        <f t="shared" si="69"/>
        <v>2.8544502843670037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3.7179487179487127</v>
      </c>
      <c r="DO70" s="13">
        <f>IF('Données projet'!$A$166&gt;35,DO69+DN70-DW69,IF(A70&lt;'Données projet'!$A$166,$DL$205^A70,IF(A70='Données projet'!$A$166,'Données projet'!$B$166,DO69+DN70-DW69)))</f>
        <v>152.30769230769221</v>
      </c>
      <c r="DP70" s="18">
        <f>DO70*VLOOKUP('Données projet'!$B$14,Paramètres!$A$1:$I$89,3,0)*VLOOKUP('Données projet'!$B$14,Paramètres!$A$1:$I$89,5,0)</f>
        <v>144.93599999999989</v>
      </c>
      <c r="DQ70" s="14">
        <f t="shared" si="97"/>
        <v>37.425483371083146</v>
      </c>
      <c r="DR70" s="22">
        <f t="shared" si="70"/>
        <v>317.61291687130296</v>
      </c>
      <c r="DS70" s="60">
        <f t="shared" si="71"/>
        <v>610.94625020463627</v>
      </c>
      <c r="DT70" s="60">
        <f ca="1">AVERAGE(OFFSET($DS$3,0,0,'Données projet'!$E$14+1,1))-AVERAGE(OFFSET($H$3,0,0,'Données projet'!$E$14+1,1))</f>
        <v>302.15577364214136</v>
      </c>
      <c r="DU70" s="60">
        <f t="shared" si="98"/>
        <v>197.15142751137051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4.8717948717948669</v>
      </c>
      <c r="EJ70" s="13">
        <f>IF('Données projet'!$A$192&gt;35,EJ69+EI70-ER69,IF(A70&lt;'Données projet'!$A$192,$EG$205^A70,IF(A70='Données projet'!$A$192,'Données projet'!$B$192,EJ69+EI70-ER69)))</f>
        <v>243.71794871794856</v>
      </c>
      <c r="EK70" s="18">
        <f>EJ70*VLOOKUP('Données projet'!$B$15,Paramètres!$A$1:$I$89,3,0)*VLOOKUP('Données projet'!$B$15,Paramètres!$A$1:$I$89,5,0)</f>
        <v>254.73399999999987</v>
      </c>
      <c r="EL70" s="14">
        <f t="shared" si="99"/>
        <v>61.598546307129801</v>
      </c>
      <c r="EM70" s="22">
        <f t="shared" si="73"/>
        <v>550.94585148491763</v>
      </c>
      <c r="EN70" s="60">
        <f t="shared" si="74"/>
        <v>844.279184818251</v>
      </c>
      <c r="EO70" s="60">
        <f ca="1">AVERAGE(OFFSET($EN$3,0,0,'Données projet'!$E$15+1,1))-AVERAGE(OFFSET($H$3,0,0,'Données projet'!$E$15+1,1))</f>
        <v>493.70175665335978</v>
      </c>
      <c r="EP70" s="60">
        <f t="shared" si="100"/>
        <v>325.12357781685949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0" t="e">
        <f t="shared" si="77"/>
        <v>#N/A</v>
      </c>
      <c r="FJ70" s="60" t="e">
        <f ca="1">AVERAGE(OFFSET($FI$3,0,0,'Données projet'!$E$16+1,1))-AVERAGE(OFFSET($H$3,0,0,'Données projet'!$E$16+1,1))</f>
        <v>#N/A</v>
      </c>
      <c r="FK70" s="60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0" t="e">
        <f t="shared" si="80"/>
        <v>#N/A</v>
      </c>
      <c r="GE70" s="60" t="e">
        <f ca="1">AVERAGE(OFFSET($GD$3,0,0,'Données projet'!$E$17+1,1))-AVERAGE(OFFSET($H$3,0,0,'Données projet'!$E$17+1,1))</f>
        <v>#N/A</v>
      </c>
      <c r="GF70" s="60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5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8">
        <f t="shared" si="56"/>
        <v>256.66666666666669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0">
        <f t="shared" si="55"/>
        <v>293.3333333333353</v>
      </c>
      <c r="S71" s="60">
        <f ca="1">AVERAGE(OFFSET($R$3,0,0,'Données projet'!$E$9+1,1))-AVERAGE(OFFSET($H$3,0,0,'Données projet'!$E$9+1,1))</f>
        <v>260.02504691866199</v>
      </c>
      <c r="T71" s="60">
        <f t="shared" si="88"/>
        <v>270.11268336406368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4.7155020460107355</v>
      </c>
      <c r="AA71" s="23">
        <f>EXP(-LN(2)/25)*AA70+(1-EXP(-LN(2)/25))/(LN(2)/25)*Calculateur!V71*Calculateur!X71*VLOOKUP('Données projet'!$B$9,Paramètres!$A$1:$I$89,3,0)*0.475*44/12</f>
        <v>5.7310147813044647</v>
      </c>
      <c r="AB71" s="23">
        <f>EXP(-LN(2)/2)*AB70+(1-EXP(-LN(2)/2))/(LN(2)/2)*V71*Y71*VLOOKUP('Données projet'!$B$9,Paramètres!$A$1:$I$89,3,0)*0.475*44/12</f>
        <v>1.2092515842292488E-5</v>
      </c>
      <c r="AC71" s="24">
        <f t="shared" si="57"/>
        <v>10.446528919831042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249.39999999999995</v>
      </c>
      <c r="AJ71" s="14">
        <f>AI71*VLOOKUP('Données projet'!$B$10,Paramètres!$A$1:$I$89,3,0)*VLOOKUP('Données projet'!$B$10,Paramètres!$A$1:$I$89,5,0)</f>
        <v>252.89159999999998</v>
      </c>
      <c r="AK71" s="14">
        <f t="shared" si="89"/>
        <v>61.204718436590312</v>
      </c>
      <c r="AL71" s="22">
        <f t="shared" si="58"/>
        <v>547.05108794372802</v>
      </c>
      <c r="AM71" s="60">
        <f t="shared" si="59"/>
        <v>840.38442127706139</v>
      </c>
      <c r="AN71" s="60">
        <f ca="1">AVERAGE(OFFSET($AM$3,0,0,'Données projet'!$E$10+1,1))-AVERAGE(OFFSET($H$3,0,0,'Données projet'!$E$10+1,1))</f>
        <v>475.47920969424894</v>
      </c>
      <c r="AO71" s="60">
        <f t="shared" si="90"/>
        <v>271.73544012419364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5.2</v>
      </c>
      <c r="BD71" s="13">
        <f>IF('Données projet'!$A$88&gt;35,BD70+BC71-BL70,IF(A71&lt;'Données projet'!$A$88,$BA$205^A71,IF(A71='Données projet'!$A$88,'Données projet'!$B$88,BD70+BC71-BL70)))</f>
        <v>175.59999999999988</v>
      </c>
      <c r="BE71" s="14">
        <f>BD71*VLOOKUP('Données projet'!$B$11,Paramètres!$A$1:$I$89,3,0)*VLOOKUP('Données projet'!$B$11,Paramètres!$A$1:$I$89,5,0)</f>
        <v>158.88287999999989</v>
      </c>
      <c r="BF71" s="14">
        <f t="shared" si="91"/>
        <v>40.590443217000136</v>
      </c>
      <c r="BG71" s="22">
        <f t="shared" si="61"/>
        <v>347.41603793627502</v>
      </c>
      <c r="BH71" s="60">
        <f t="shared" si="62"/>
        <v>640.74937126960833</v>
      </c>
      <c r="BI71" s="60">
        <f ca="1">AVERAGE(OFFSET($BH$3,0,0,'Données projet'!$E$11+1,1))-AVERAGE(OFFSET($H$3,0,0,'Données projet'!$E$11+1,1))</f>
        <v>325.2649384779973</v>
      </c>
      <c r="BJ71" s="60">
        <f t="shared" si="92"/>
        <v>146.70159365068315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>
        <f>VLOOKUP(A71,'Données projet'!$A$113:$I$133,2,0)</f>
        <v>700</v>
      </c>
      <c r="BW71" s="13">
        <f>VLOOKUP(A71,'Données projet'!$A$113:$I$133,9,0)</f>
        <v>12.6</v>
      </c>
      <c r="BX71" s="13">
        <f t="array" ref="BX71">INDEX(BW:BW,MIN(IF(ISNUMBER(BW71:BW267),ROW(BW71:BW267),"")))</f>
        <v>12.6</v>
      </c>
      <c r="BY71" s="13">
        <f>IF('Données projet'!$A$114&gt;35,BY70+BX71-CG70,IF(A71&lt;'Données projet'!$A$114,$BV$205^A71,IF(A71='Données projet'!$A$114,'Données projet'!$B$114,BY70+BX71-CG70)))</f>
        <v>700.00000000000057</v>
      </c>
      <c r="BZ71" s="14">
        <f>BY71*VLOOKUP('Données projet'!$B$12,Paramètres!$A$1:$I$89,3,0)*VLOOKUP('Données projet'!$B$12,Paramètres!$A$1:$I$89,5,0)</f>
        <v>309.40000000000026</v>
      </c>
      <c r="CA71" s="14">
        <f t="shared" si="93"/>
        <v>73.143512166070551</v>
      </c>
      <c r="CB71" s="22">
        <f t="shared" si="64"/>
        <v>666.26328368923998</v>
      </c>
      <c r="CC71" s="60">
        <f t="shared" si="65"/>
        <v>959.59661702257335</v>
      </c>
      <c r="CD71" s="60">
        <f ca="1">AVERAGE(OFFSET($CC$3,0,0,'Données projet'!$E$12+1,1))-AVERAGE(OFFSET($H$3,0,0,'Données projet'!$E$12+1,1))</f>
        <v>401.84375324751227</v>
      </c>
      <c r="CE71" s="60">
        <f t="shared" si="94"/>
        <v>350.39368043404164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2.9057384401410129</v>
      </c>
      <c r="CM71" s="23">
        <f>EXP(-LN(2)/2)*CM70+(1-EXP(-LN(2)/2))/(LN(2)/2)*CG71*CJ71*VLOOKUP('Données projet'!$B$12,Paramètres!$A$1:$I$89,3,0)*0.475*44/12</f>
        <v>2.6576235277655383E-6</v>
      </c>
      <c r="CN71" s="24">
        <f t="shared" si="66"/>
        <v>2.9057410977645408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7.7092307692307687</v>
      </c>
      <c r="CT71" s="13">
        <f>IF('Données projet'!$A$140&gt;35,CT70+CS71-DB70,IF(A71&lt;'Données projet'!$A$140,$CQ$205^A71,IF(A71='Données projet'!$A$140,'Données projet'!$B$140,CT70+CS71-DB70)))</f>
        <v>286.90461538461545</v>
      </c>
      <c r="CU71" s="18">
        <f>CT71*VLOOKUP('Données projet'!$B$13,Paramètres!$A$1:$I$89,3,0)*VLOOKUP('Données projet'!$B$13,Paramètres!$A$1:$I$89,5,0)</f>
        <v>171.56896000000003</v>
      </c>
      <c r="CV71" s="14">
        <f t="shared" si="95"/>
        <v>43.441230330395015</v>
      </c>
      <c r="CW71" s="22">
        <f t="shared" si="67"/>
        <v>374.4760814921047</v>
      </c>
      <c r="CX71" s="60">
        <f t="shared" si="68"/>
        <v>667.80941482543801</v>
      </c>
      <c r="CY71" s="60">
        <f ca="1">AVERAGE(OFFSET($CX$3,0,0,'Données projet'!$E$13+1,1))-AVERAGE(OFFSET($H$3,0,0,'Données projet'!$E$13+1,1))</f>
        <v>232.73140429491525</v>
      </c>
      <c r="CZ71" s="60">
        <f t="shared" si="96"/>
        <v>201.02719152328638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2.7763871135168845</v>
      </c>
      <c r="DH71" s="23">
        <f>EXP(-LN(2)/2)*DH70+(1-EXP(-LN(2)/2))/(LN(2)/2)*DB71*DE71*VLOOKUP('Données projet'!$B$13,Paramètres!$A$1:$I$89,3,0)*0.475*44/12</f>
        <v>5.8723878694965856E-6</v>
      </c>
      <c r="DI71" s="24">
        <f t="shared" si="69"/>
        <v>2.7763929859047538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3.7179487179487127</v>
      </c>
      <c r="DO71" s="13">
        <f>IF('Données projet'!$A$166&gt;35,DO70+DN71-DW70,IF(A71&lt;'Données projet'!$A$166,$DL$205^A71,IF(A71='Données projet'!$A$166,'Données projet'!$B$166,DO70+DN71-DW70)))</f>
        <v>156.02564102564091</v>
      </c>
      <c r="DP71" s="18">
        <f>DO71*VLOOKUP('Données projet'!$B$14,Paramètres!$A$1:$I$89,3,0)*VLOOKUP('Données projet'!$B$14,Paramètres!$A$1:$I$89,5,0)</f>
        <v>148.4739999999999</v>
      </c>
      <c r="DQ71" s="14">
        <f t="shared" si="97"/>
        <v>38.231590533864001</v>
      </c>
      <c r="DR71" s="22">
        <f t="shared" si="70"/>
        <v>325.17890351314628</v>
      </c>
      <c r="DS71" s="60">
        <f t="shared" si="71"/>
        <v>618.5122368464796</v>
      </c>
      <c r="DT71" s="60">
        <f ca="1">AVERAGE(OFFSET($DS$3,0,0,'Données projet'!$E$14+1,1))-AVERAGE(OFFSET($H$3,0,0,'Données projet'!$E$14+1,1))</f>
        <v>302.15577364214136</v>
      </c>
      <c r="DU71" s="60">
        <f t="shared" si="98"/>
        <v>197.15142751137051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4.8717948717948669</v>
      </c>
      <c r="EJ71" s="13">
        <f>IF('Données projet'!$A$192&gt;35,EJ70+EI71-ER70,IF(A71&lt;'Données projet'!$A$192,$EG$205^A71,IF(A71='Données projet'!$A$192,'Données projet'!$B$192,EJ70+EI71-ER70)))</f>
        <v>248.58974358974342</v>
      </c>
      <c r="EK71" s="18">
        <f>EJ71*VLOOKUP('Données projet'!$B$15,Paramètres!$A$1:$I$89,3,0)*VLOOKUP('Données projet'!$B$15,Paramètres!$A$1:$I$89,5,0)</f>
        <v>259.82599999999985</v>
      </c>
      <c r="EL71" s="14">
        <f t="shared" si="99"/>
        <v>62.685286742684056</v>
      </c>
      <c r="EM71" s="22">
        <f t="shared" si="73"/>
        <v>561.70715774350776</v>
      </c>
      <c r="EN71" s="60">
        <f t="shared" si="74"/>
        <v>855.04049107684114</v>
      </c>
      <c r="EO71" s="60">
        <f ca="1">AVERAGE(OFFSET($EN$3,0,0,'Données projet'!$E$15+1,1))-AVERAGE(OFFSET($H$3,0,0,'Données projet'!$E$15+1,1))</f>
        <v>493.70175665335978</v>
      </c>
      <c r="EP71" s="60">
        <f t="shared" si="100"/>
        <v>325.12357781685949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0" t="e">
        <f t="shared" si="77"/>
        <v>#N/A</v>
      </c>
      <c r="FJ71" s="60" t="e">
        <f ca="1">AVERAGE(OFFSET($FI$3,0,0,'Données projet'!$E$16+1,1))-AVERAGE(OFFSET($H$3,0,0,'Données projet'!$E$16+1,1))</f>
        <v>#N/A</v>
      </c>
      <c r="FK71" s="60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0" t="e">
        <f t="shared" si="80"/>
        <v>#N/A</v>
      </c>
      <c r="GE71" s="60" t="e">
        <f ca="1">AVERAGE(OFFSET($GD$3,0,0,'Données projet'!$E$17+1,1))-AVERAGE(OFFSET($H$3,0,0,'Données projet'!$E$17+1,1))</f>
        <v>#N/A</v>
      </c>
      <c r="GF71" s="60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5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8">
        <f t="shared" si="56"/>
        <v>256.66666666666669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0">
        <f t="shared" si="55"/>
        <v>293.3333333333353</v>
      </c>
      <c r="S72" s="60">
        <f ca="1">AVERAGE(OFFSET($R$3,0,0,'Données projet'!$E$9+1,1))-AVERAGE(OFFSET($H$3,0,0,'Données projet'!$E$9+1,1))</f>
        <v>260.02504691866199</v>
      </c>
      <c r="T72" s="60">
        <f t="shared" si="88"/>
        <v>270.11268336406368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4.6230339270607148</v>
      </c>
      <c r="AA72" s="23">
        <f>EXP(-LN(2)/25)*AA71+(1-EXP(-LN(2)/25))/(LN(2)/25)*Calculateur!V72*Calculateur!X72*VLOOKUP('Données projet'!$B$9,Paramètres!$A$1:$I$89,3,0)*0.475*44/12</f>
        <v>5.5742998807287254</v>
      </c>
      <c r="AB72" s="23">
        <f>EXP(-LN(2)/2)*AB71+(1-EXP(-LN(2)/2))/(LN(2)/2)*V72*Y72*VLOOKUP('Données projet'!$B$9,Paramètres!$A$1:$I$89,3,0)*0.475*44/12</f>
        <v>8.5506999536907734E-6</v>
      </c>
      <c r="AC72" s="24">
        <f t="shared" si="57"/>
        <v>10.197342358489395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256.19999999999993</v>
      </c>
      <c r="AJ72" s="14">
        <f>AI72*VLOOKUP('Données projet'!$B$10,Paramètres!$A$1:$I$89,3,0)*VLOOKUP('Données projet'!$B$10,Paramètres!$A$1:$I$89,5,0)</f>
        <v>259.78679999999997</v>
      </c>
      <c r="AK72" s="14">
        <f t="shared" si="89"/>
        <v>62.676930162260739</v>
      </c>
      <c r="AL72" s="22">
        <f t="shared" si="58"/>
        <v>561.62433003260401</v>
      </c>
      <c r="AM72" s="60">
        <f t="shared" si="59"/>
        <v>854.95766336593738</v>
      </c>
      <c r="AN72" s="60">
        <f ca="1">AVERAGE(OFFSET($AM$3,0,0,'Données projet'!$E$10+1,1))-AVERAGE(OFFSET($H$3,0,0,'Données projet'!$E$10+1,1))</f>
        <v>475.47920969424894</v>
      </c>
      <c r="AO72" s="60">
        <f t="shared" si="90"/>
        <v>271.73544012419364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5.2</v>
      </c>
      <c r="BD72" s="13">
        <f>IF('Données projet'!$A$88&gt;35,BD71+BC72-BL71,IF(A72&lt;'Données projet'!$A$88,$BA$205^A72,IF(A72='Données projet'!$A$88,'Données projet'!$B$88,BD71+BC72-BL71)))</f>
        <v>180.79999999999987</v>
      </c>
      <c r="BE72" s="14">
        <f>BD72*VLOOKUP('Données projet'!$B$11,Paramètres!$A$1:$I$89,3,0)*VLOOKUP('Données projet'!$B$11,Paramètres!$A$1:$I$89,5,0)</f>
        <v>163.58783999999989</v>
      </c>
      <c r="BF72" s="14">
        <f t="shared" si="91"/>
        <v>41.650715313623969</v>
      </c>
      <c r="BG72" s="22">
        <f t="shared" si="61"/>
        <v>357.45715050456153</v>
      </c>
      <c r="BH72" s="60">
        <f t="shared" si="62"/>
        <v>650.79048383789484</v>
      </c>
      <c r="BI72" s="60">
        <f ca="1">AVERAGE(OFFSET($BH$3,0,0,'Données projet'!$E$11+1,1))-AVERAGE(OFFSET($H$3,0,0,'Données projet'!$E$11+1,1))</f>
        <v>325.2649384779973</v>
      </c>
      <c r="BJ72" s="60">
        <f t="shared" si="92"/>
        <v>146.70159365068315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10.199999999999999</v>
      </c>
      <c r="BY72" s="13">
        <f>IF('Données projet'!$A$114&gt;35,BY71+BX72-CG71,IF(A72&lt;'Données projet'!$A$114,$BV$205^A72,IF(A72='Données projet'!$A$114,'Données projet'!$B$114,BY71+BX72-CG71)))</f>
        <v>710.20000000000061</v>
      </c>
      <c r="BZ72" s="14">
        <f>BY72*VLOOKUP('Données projet'!$B$12,Paramètres!$A$1:$I$89,3,0)*VLOOKUP('Données projet'!$B$12,Paramètres!$A$1:$I$89,5,0)</f>
        <v>313.90840000000031</v>
      </c>
      <c r="CA72" s="14">
        <f t="shared" si="93"/>
        <v>74.08446351662127</v>
      </c>
      <c r="CB72" s="22">
        <f t="shared" si="64"/>
        <v>675.75423729144916</v>
      </c>
      <c r="CC72" s="60">
        <f t="shared" si="65"/>
        <v>969.08757062478253</v>
      </c>
      <c r="CD72" s="60">
        <f ca="1">AVERAGE(OFFSET($CC$3,0,0,'Données projet'!$E$12+1,1))-AVERAGE(OFFSET($H$3,0,0,'Données projet'!$E$12+1,1))</f>
        <v>401.84375324751227</v>
      </c>
      <c r="CE72" s="60">
        <f t="shared" si="94"/>
        <v>350.39368043404164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2.8262808696892137</v>
      </c>
      <c r="CM72" s="23">
        <f>EXP(-LN(2)/2)*CM71+(1-EXP(-LN(2)/2))/(LN(2)/2)*CG72*CJ72*VLOOKUP('Données projet'!$B$12,Paramètres!$A$1:$I$89,3,0)*0.475*44/12</f>
        <v>1.8792236183239271E-6</v>
      </c>
      <c r="CN72" s="24">
        <f t="shared" si="66"/>
        <v>2.8262827489128322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7.7092307692307687</v>
      </c>
      <c r="CT72" s="13">
        <f>IF('Données projet'!$A$140&gt;35,CT71+CS72-DB71,IF(A72&lt;'Données projet'!$A$140,$CQ$205^A72,IF(A72='Données projet'!$A$140,'Données projet'!$B$140,CT71+CS72-DB71)))</f>
        <v>294.61384615384623</v>
      </c>
      <c r="CU72" s="18">
        <f>CT72*VLOOKUP('Données projet'!$B$13,Paramètres!$A$1:$I$89,3,0)*VLOOKUP('Données projet'!$B$13,Paramètres!$A$1:$I$89,5,0)</f>
        <v>176.17908000000006</v>
      </c>
      <c r="CV72" s="14">
        <f t="shared" si="95"/>
        <v>44.471043251970087</v>
      </c>
      <c r="CW72" s="22">
        <f t="shared" si="67"/>
        <v>384.29896466384798</v>
      </c>
      <c r="CX72" s="60">
        <f t="shared" si="68"/>
        <v>677.63229799718124</v>
      </c>
      <c r="CY72" s="60">
        <f ca="1">AVERAGE(OFFSET($CX$3,0,0,'Données projet'!$E$13+1,1))-AVERAGE(OFFSET($H$3,0,0,'Données projet'!$E$13+1,1))</f>
        <v>232.73140429491525</v>
      </c>
      <c r="CZ72" s="60">
        <f t="shared" si="96"/>
        <v>201.02719152328638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2.7004666618939126</v>
      </c>
      <c r="DH72" s="23">
        <f>EXP(-LN(2)/2)*DH71+(1-EXP(-LN(2)/2))/(LN(2)/2)*DB72*DE72*VLOOKUP('Données projet'!$B$13,Paramètres!$A$1:$I$89,3,0)*0.475*44/12</f>
        <v>4.1524052842786581E-6</v>
      </c>
      <c r="DI72" s="24">
        <f t="shared" si="69"/>
        <v>2.7004708142991967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3.7179487179487127</v>
      </c>
      <c r="DO72" s="13">
        <f>IF('Données projet'!$A$166&gt;35,DO71+DN72-DW71,IF(A72&lt;'Données projet'!$A$166,$DL$205^A72,IF(A72='Données projet'!$A$166,'Données projet'!$B$166,DO71+DN72-DW71)))</f>
        <v>159.74358974358961</v>
      </c>
      <c r="DP72" s="18">
        <f>DO72*VLOOKUP('Données projet'!$B$14,Paramètres!$A$1:$I$89,3,0)*VLOOKUP('Données projet'!$B$14,Paramètres!$A$1:$I$89,5,0)</f>
        <v>152.01199999999986</v>
      </c>
      <c r="DQ72" s="14">
        <f t="shared" si="97"/>
        <v>39.035464667161278</v>
      </c>
      <c r="DR72" s="22">
        <f t="shared" si="70"/>
        <v>332.7410009619723</v>
      </c>
      <c r="DS72" s="60">
        <f t="shared" si="71"/>
        <v>626.07433429530556</v>
      </c>
      <c r="DT72" s="60">
        <f ca="1">AVERAGE(OFFSET($DS$3,0,0,'Données projet'!$E$14+1,1))-AVERAGE(OFFSET($H$3,0,0,'Données projet'!$E$14+1,1))</f>
        <v>302.15577364214136</v>
      </c>
      <c r="DU72" s="60">
        <f t="shared" si="98"/>
        <v>197.15142751137051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4.8717948717948669</v>
      </c>
      <c r="EJ72" s="13">
        <f>IF('Données projet'!$A$192&gt;35,EJ71+EI72-ER71,IF(A72&lt;'Données projet'!$A$192,$EG$205^A72,IF(A72='Données projet'!$A$192,'Données projet'!$B$192,EJ71+EI72-ER71)))</f>
        <v>253.46153846153828</v>
      </c>
      <c r="EK72" s="18">
        <f>EJ72*VLOOKUP('Données projet'!$B$15,Paramètres!$A$1:$I$89,3,0)*VLOOKUP('Données projet'!$B$15,Paramètres!$A$1:$I$89,5,0)</f>
        <v>264.91799999999984</v>
      </c>
      <c r="EL72" s="14">
        <f t="shared" si="99"/>
        <v>63.769550790039318</v>
      </c>
      <c r="EM72" s="22">
        <f t="shared" si="73"/>
        <v>572.4641509593182</v>
      </c>
      <c r="EN72" s="60">
        <f t="shared" si="74"/>
        <v>865.79748429265146</v>
      </c>
      <c r="EO72" s="60">
        <f ca="1">AVERAGE(OFFSET($EN$3,0,0,'Données projet'!$E$15+1,1))-AVERAGE(OFFSET($H$3,0,0,'Données projet'!$E$15+1,1))</f>
        <v>493.70175665335978</v>
      </c>
      <c r="EP72" s="60">
        <f t="shared" si="100"/>
        <v>325.12357781685949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0" t="e">
        <f t="shared" si="77"/>
        <v>#N/A</v>
      </c>
      <c r="FJ72" s="60" t="e">
        <f ca="1">AVERAGE(OFFSET($FI$3,0,0,'Données projet'!$E$16+1,1))-AVERAGE(OFFSET($H$3,0,0,'Données projet'!$E$16+1,1))</f>
        <v>#N/A</v>
      </c>
      <c r="FK72" s="60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0" t="e">
        <f t="shared" si="80"/>
        <v>#N/A</v>
      </c>
      <c r="GE72" s="60" t="e">
        <f ca="1">AVERAGE(OFFSET($GD$3,0,0,'Données projet'!$E$17+1,1))-AVERAGE(OFFSET($H$3,0,0,'Données projet'!$E$17+1,1))</f>
        <v>#N/A</v>
      </c>
      <c r="GF72" s="60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5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8">
        <f t="shared" si="56"/>
        <v>256.66666666666669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0">
        <f t="shared" si="55"/>
        <v>293.3333333333353</v>
      </c>
      <c r="S73" s="60">
        <f ca="1">AVERAGE(OFFSET($R$3,0,0,'Données projet'!$E$9+1,1))-AVERAGE(OFFSET($H$3,0,0,'Données projet'!$E$9+1,1))</f>
        <v>260.02504691866199</v>
      </c>
      <c r="T73" s="60">
        <f t="shared" si="88"/>
        <v>270.11268336406368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4.5323790515233204</v>
      </c>
      <c r="AA73" s="23">
        <f>EXP(-LN(2)/25)*AA72+(1-EXP(-LN(2)/25))/(LN(2)/25)*Calculateur!V73*Calculateur!X73*VLOOKUP('Données projet'!$B$9,Paramètres!$A$1:$I$89,3,0)*0.475*44/12</f>
        <v>5.4218703573505076</v>
      </c>
      <c r="AB73" s="23">
        <f>EXP(-LN(2)/2)*AB72+(1-EXP(-LN(2)/2))/(LN(2)/2)*V73*Y73*VLOOKUP('Données projet'!$B$9,Paramètres!$A$1:$I$89,3,0)*0.475*44/12</f>
        <v>6.0462579211462438E-6</v>
      </c>
      <c r="AC73" s="24">
        <f t="shared" si="57"/>
        <v>9.954255455131749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263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262.99999999999994</v>
      </c>
      <c r="AJ73" s="14">
        <f>AI73*VLOOKUP('Données projet'!$B$10,Paramètres!$A$1:$I$89,3,0)*VLOOKUP('Données projet'!$B$10,Paramètres!$A$1:$I$89,5,0)</f>
        <v>266.68199999999996</v>
      </c>
      <c r="AK73" s="14">
        <f t="shared" si="89"/>
        <v>64.144600001897771</v>
      </c>
      <c r="AL73" s="22">
        <f t="shared" si="58"/>
        <v>576.189661669972</v>
      </c>
      <c r="AM73" s="60">
        <f t="shared" si="59"/>
        <v>869.52299500330537</v>
      </c>
      <c r="AN73" s="60">
        <f ca="1">AVERAGE(OFFSET($AM$3,0,0,'Données projet'!$E$10+1,1))-AVERAGE(OFFSET($H$3,0,0,'Données projet'!$E$10+1,1))</f>
        <v>475.47920969424894</v>
      </c>
      <c r="AO73" s="60">
        <f t="shared" si="90"/>
        <v>271.73544012419364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42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186</v>
      </c>
      <c r="BB73" s="13">
        <f>VLOOKUP(A73,'Données projet'!$A$87:$I$107,9,0)</f>
        <v>5.2</v>
      </c>
      <c r="BC73" s="13">
        <f t="array" ref="BC73">INDEX(BB:BB,MIN(IF(ISNUMBER(BB73:BB269),ROW(BB73:BB269),"")))</f>
        <v>5.2</v>
      </c>
      <c r="BD73" s="13">
        <f>IF('Données projet'!$A$88&gt;35,BD72+BC73-BL72,IF(A73&lt;'Données projet'!$A$88,$BA$205^A73,IF(A73='Données projet'!$A$88,'Données projet'!$B$88,BD72+BC73-BL72)))</f>
        <v>185.99999999999986</v>
      </c>
      <c r="BE73" s="14">
        <f>BD73*VLOOKUP('Données projet'!$B$11,Paramètres!$A$1:$I$89,3,0)*VLOOKUP('Données projet'!$B$11,Paramètres!$A$1:$I$89,5,0)</f>
        <v>168.29279999999986</v>
      </c>
      <c r="BF73" s="14">
        <f t="shared" si="91"/>
        <v>42.707443263135069</v>
      </c>
      <c r="BG73" s="22">
        <f t="shared" si="61"/>
        <v>367.49209034995994</v>
      </c>
      <c r="BH73" s="60">
        <f t="shared" si="62"/>
        <v>660.82542368329325</v>
      </c>
      <c r="BI73" s="60">
        <f ca="1">AVERAGE(OFFSET($BH$3,0,0,'Données projet'!$E$11+1,1))-AVERAGE(OFFSET($H$3,0,0,'Données projet'!$E$11+1,1))</f>
        <v>325.2649384779973</v>
      </c>
      <c r="BJ73" s="60">
        <f t="shared" si="92"/>
        <v>146.70159365068315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28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10.199999999999999</v>
      </c>
      <c r="BY73" s="13">
        <f>IF('Données projet'!$A$114&gt;35,BY72+BX73-CG72,IF(A73&lt;'Données projet'!$A$114,$BV$205^A73,IF(A73='Données projet'!$A$114,'Données projet'!$B$114,BY72+BX73-CG72)))</f>
        <v>720.40000000000066</v>
      </c>
      <c r="BZ73" s="14">
        <f>BY73*VLOOKUP('Données projet'!$B$12,Paramètres!$A$1:$I$89,3,0)*VLOOKUP('Données projet'!$B$12,Paramètres!$A$1:$I$89,5,0)</f>
        <v>318.41680000000031</v>
      </c>
      <c r="CA73" s="14">
        <f t="shared" si="93"/>
        <v>75.023843084578118</v>
      </c>
      <c r="CB73" s="22">
        <f t="shared" si="64"/>
        <v>685.24245337230741</v>
      </c>
      <c r="CC73" s="60">
        <f t="shared" si="65"/>
        <v>978.57578670564067</v>
      </c>
      <c r="CD73" s="60">
        <f ca="1">AVERAGE(OFFSET($CC$3,0,0,'Données projet'!$E$12+1,1))-AVERAGE(OFFSET($H$3,0,0,'Données projet'!$E$12+1,1))</f>
        <v>401.84375324751227</v>
      </c>
      <c r="CE73" s="60">
        <f t="shared" si="94"/>
        <v>350.39368043404164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2.7489960706799108</v>
      </c>
      <c r="CM73" s="23">
        <f>EXP(-LN(2)/2)*CM72+(1-EXP(-LN(2)/2))/(LN(2)/2)*CG73*CJ73*VLOOKUP('Données projet'!$B$12,Paramètres!$A$1:$I$89,3,0)*0.475*44/12</f>
        <v>1.3288117638827694E-6</v>
      </c>
      <c r="CN73" s="24">
        <f t="shared" si="66"/>
        <v>2.7489973994916745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302.32307692307688</v>
      </c>
      <c r="CR73" s="13">
        <f>VLOOKUP(A73,'Données projet'!$A$139:$I$159,9,0)</f>
        <v>7.7092307692307687</v>
      </c>
      <c r="CS73" s="13">
        <f t="array" ref="CS73">INDEX(CR:CR,MIN(IF(ISNUMBER(CR73:CR269),ROW(CR73:CR269),"")))</f>
        <v>7.7092307692307687</v>
      </c>
      <c r="CT73" s="13">
        <f>IF('Données projet'!$A$140&gt;35,CT72+CS73-DB72,IF(A73&lt;'Données projet'!$A$140,$CQ$205^A73,IF(A73='Données projet'!$A$140,'Données projet'!$B$140,CT72+CS73-DB72)))</f>
        <v>302.323076923077</v>
      </c>
      <c r="CU73" s="18">
        <f>CT73*VLOOKUP('Données projet'!$B$13,Paramètres!$A$1:$I$89,3,0)*VLOOKUP('Données projet'!$B$13,Paramètres!$A$1:$I$89,5,0)</f>
        <v>180.78920000000005</v>
      </c>
      <c r="CV73" s="14">
        <f t="shared" si="95"/>
        <v>45.497723895154429</v>
      </c>
      <c r="CW73" s="22">
        <f t="shared" si="67"/>
        <v>394.11639245072735</v>
      </c>
      <c r="CX73" s="60">
        <f t="shared" si="68"/>
        <v>687.44972578406066</v>
      </c>
      <c r="CY73" s="60">
        <f ca="1">AVERAGE(OFFSET($CX$3,0,0,'Données projet'!$E$13+1,1))-AVERAGE(OFFSET($H$3,0,0,'Données projet'!$E$13+1,1))</f>
        <v>232.73140429491525</v>
      </c>
      <c r="CZ73" s="60">
        <f t="shared" si="96"/>
        <v>201.02719152328638</v>
      </c>
      <c r="DA73" s="16">
        <f>IF(ISNA(VLOOKUP(A73,'Données projet'!$A$139:$I$159,3,0)),0,VLOOKUP(A73,'Données projet'!$A$139:$I$159,3,0))</f>
        <v>6</v>
      </c>
      <c r="DB73" s="16">
        <f>IF(ISNA(VLOOKUP(A73,'Données projet'!$A$139:$I$159,4,0)),0,VLOOKUP(A73,'Données projet'!$A$139:$I$159,4,0))</f>
        <v>54.215384615384615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2.6266222590130539</v>
      </c>
      <c r="DH73" s="23">
        <f>EXP(-LN(2)/2)*DH72+(1-EXP(-LN(2)/2))/(LN(2)/2)*DB73*DE73*VLOOKUP('Données projet'!$B$13,Paramètres!$A$1:$I$89,3,0)*0.475*44/12</f>
        <v>2.9361939347482928E-6</v>
      </c>
      <c r="DI73" s="24">
        <f t="shared" si="69"/>
        <v>2.6266251952069886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163.46153846153845</v>
      </c>
      <c r="DM73" s="13">
        <f>VLOOKUP(A73,'Données projet'!$A$165:$I$185,9,0)</f>
        <v>3.7179487179487127</v>
      </c>
      <c r="DN73" s="13">
        <f t="array" ref="DN73">INDEX(DM:DM,MIN(IF(ISNUMBER(DM73:DM269),ROW(DM73:DM269),"")))</f>
        <v>3.7179487179487127</v>
      </c>
      <c r="DO73" s="13">
        <f>IF('Données projet'!$A$166&gt;35,DO72+DN73-DW72,IF(A73&lt;'Données projet'!$A$166,$DL$205^A73,IF(A73='Données projet'!$A$166,'Données projet'!$B$166,DO72+DN73-DW72)))</f>
        <v>163.46153846153831</v>
      </c>
      <c r="DP73" s="18">
        <f>DO73*VLOOKUP('Données projet'!$B$14,Paramètres!$A$1:$I$89,3,0)*VLOOKUP('Données projet'!$B$14,Paramètres!$A$1:$I$89,5,0)</f>
        <v>155.54999999999987</v>
      </c>
      <c r="DQ73" s="14">
        <f t="shared" si="97"/>
        <v>39.837163725233403</v>
      </c>
      <c r="DR73" s="22">
        <f t="shared" si="70"/>
        <v>340.29931015478127</v>
      </c>
      <c r="DS73" s="60">
        <f t="shared" si="71"/>
        <v>633.63264348811458</v>
      </c>
      <c r="DT73" s="60">
        <f ca="1">AVERAGE(OFFSET($DS$3,0,0,'Données projet'!$E$14+1,1))-AVERAGE(OFFSET($H$3,0,0,'Données projet'!$E$14+1,1))</f>
        <v>302.15577364214136</v>
      </c>
      <c r="DU73" s="60">
        <f t="shared" si="98"/>
        <v>197.15142751137051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258.33333333333331</v>
      </c>
      <c r="EH73" s="13">
        <f>VLOOKUP(A73,'Données projet'!$A$191:$I$211,9,0)</f>
        <v>4.8717948717948669</v>
      </c>
      <c r="EI73" s="13">
        <f t="array" ref="EI73">INDEX(EH:EH,MIN(IF(ISNUMBER(EH73:EH269),ROW(EH73:EH269),"")))</f>
        <v>4.8717948717948669</v>
      </c>
      <c r="EJ73" s="13">
        <f>IF('Données projet'!$A$192&gt;35,EJ72+EI73-ER72,IF(A73&lt;'Données projet'!$A$192,$EG$205^A73,IF(A73='Données projet'!$A$192,'Données projet'!$B$192,EJ72+EI73-ER72)))</f>
        <v>258.33333333333314</v>
      </c>
      <c r="EK73" s="18">
        <f>EJ73*VLOOKUP('Données projet'!$B$15,Paramètres!$A$1:$I$89,3,0)*VLOOKUP('Données projet'!$B$15,Paramètres!$A$1:$I$89,5,0)</f>
        <v>270.00999999999982</v>
      </c>
      <c r="EL73" s="14">
        <f t="shared" si="99"/>
        <v>64.851391535647195</v>
      </c>
      <c r="EM73" s="22">
        <f t="shared" si="73"/>
        <v>583.21692359125188</v>
      </c>
      <c r="EN73" s="60">
        <f t="shared" si="74"/>
        <v>876.55025692458526</v>
      </c>
      <c r="EO73" s="60">
        <f ca="1">AVERAGE(OFFSET($EN$3,0,0,'Données projet'!$E$15+1,1))-AVERAGE(OFFSET($H$3,0,0,'Données projet'!$E$15+1,1))</f>
        <v>493.70175665335978</v>
      </c>
      <c r="EP73" s="60">
        <f t="shared" si="100"/>
        <v>325.12357781685949</v>
      </c>
      <c r="EQ73" s="16">
        <f>IF(ISNA(VLOOKUP(A73,'Données projet'!$A$191:$I$211,3,0)),0,VLOOKUP(A73,'Données projet'!$A$191:$I$211,3,0))</f>
        <v>5</v>
      </c>
      <c r="ER73" s="16">
        <f>IF(ISNA(VLOOKUP(A73,'Données projet'!$A$191:$I$211,4,0)),0,VLOOKUP(A73,'Données projet'!$A$191:$I$211,4,0))</f>
        <v>23.076923076923077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0" t="e">
        <f t="shared" si="77"/>
        <v>#N/A</v>
      </c>
      <c r="FJ73" s="60" t="e">
        <f ca="1">AVERAGE(OFFSET($FI$3,0,0,'Données projet'!$E$16+1,1))-AVERAGE(OFFSET($H$3,0,0,'Données projet'!$E$16+1,1))</f>
        <v>#N/A</v>
      </c>
      <c r="FK73" s="60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0" t="e">
        <f t="shared" si="80"/>
        <v>#N/A</v>
      </c>
      <c r="GE73" s="60" t="e">
        <f ca="1">AVERAGE(OFFSET($GD$3,0,0,'Données projet'!$E$17+1,1))-AVERAGE(OFFSET($H$3,0,0,'Données projet'!$E$17+1,1))</f>
        <v>#N/A</v>
      </c>
      <c r="GF73" s="60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5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8">
        <f t="shared" si="56"/>
        <v>256.66666666666669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0">
        <f t="shared" si="55"/>
        <v>293.3333333333353</v>
      </c>
      <c r="S74" s="60">
        <f ca="1">AVERAGE(OFFSET($R$3,0,0,'Données projet'!$E$9+1,1))-AVERAGE(OFFSET($H$3,0,0,'Données projet'!$E$9+1,1))</f>
        <v>260.02504691866199</v>
      </c>
      <c r="T74" s="60">
        <f t="shared" si="88"/>
        <v>270.11268336406368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4.4435018628011997</v>
      </c>
      <c r="AA74" s="23">
        <f>EXP(-LN(2)/25)*AA73+(1-EXP(-LN(2)/25))/(LN(2)/25)*Calculateur!V74*Calculateur!X74*VLOOKUP('Données projet'!$B$9,Paramètres!$A$1:$I$89,3,0)*0.475*44/12</f>
        <v>5.273609027304988</v>
      </c>
      <c r="AB74" s="23">
        <f>EXP(-LN(2)/2)*AB73+(1-EXP(-LN(2)/2))/(LN(2)/2)*V74*Y74*VLOOKUP('Données projet'!$B$9,Paramètres!$A$1:$I$89,3,0)*0.475*44/12</f>
        <v>4.2753499768453867E-6</v>
      </c>
      <c r="AC74" s="24">
        <f t="shared" si="57"/>
        <v>9.717115165456164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6.2</v>
      </c>
      <c r="AI74" s="14">
        <f>IF('Données projet'!$A$62&gt;35,AI73+AH74-AQ73,IF(A74&lt;'Données projet'!$A$62,$AF$205^A74,IF(A74='Données projet'!$A$62,'Données projet'!$B$62,AI73+AH74-AQ73)))</f>
        <v>227.19999999999993</v>
      </c>
      <c r="AJ74" s="14">
        <f>AI74*VLOOKUP('Données projet'!$B$10,Paramètres!$A$1:$I$89,3,0)*VLOOKUP('Données projet'!$B$10,Paramètres!$A$1:$I$89,5,0)</f>
        <v>230.38079999999994</v>
      </c>
      <c r="AK74" s="14">
        <f t="shared" si="89"/>
        <v>56.365011465139979</v>
      </c>
      <c r="AL74" s="22">
        <f t="shared" si="58"/>
        <v>499.41562163511867</v>
      </c>
      <c r="AM74" s="60">
        <f t="shared" si="59"/>
        <v>792.74895496845193</v>
      </c>
      <c r="AN74" s="60">
        <f ca="1">AVERAGE(OFFSET($AM$3,0,0,'Données projet'!$E$10+1,1))-AVERAGE(OFFSET($H$3,0,0,'Données projet'!$E$10+1,1))</f>
        <v>475.47920969424894</v>
      </c>
      <c r="AO74" s="60">
        <f t="shared" si="90"/>
        <v>271.73544012419364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4.8</v>
      </c>
      <c r="BD74" s="13">
        <f>IF('Données projet'!$A$88&gt;35,BD73+BC74-BL73,IF(A74&lt;'Données projet'!$A$88,$BA$205^A74,IF(A74='Données projet'!$A$88,'Données projet'!$B$88,BD73+BC74-BL73)))</f>
        <v>162.79999999999987</v>
      </c>
      <c r="BE74" s="14">
        <f>BD74*VLOOKUP('Données projet'!$B$11,Paramètres!$A$1:$I$89,3,0)*VLOOKUP('Données projet'!$B$11,Paramètres!$A$1:$I$89,5,0)</f>
        <v>147.30143999999987</v>
      </c>
      <c r="BF74" s="14">
        <f t="shared" si="91"/>
        <v>37.964681731408312</v>
      </c>
      <c r="BG74" s="22">
        <f t="shared" si="61"/>
        <v>322.6718286822026</v>
      </c>
      <c r="BH74" s="60">
        <f t="shared" si="62"/>
        <v>616.00516201553592</v>
      </c>
      <c r="BI74" s="60">
        <f ca="1">AVERAGE(OFFSET($BH$3,0,0,'Données projet'!$E$11+1,1))-AVERAGE(OFFSET($H$3,0,0,'Données projet'!$E$11+1,1))</f>
        <v>325.2649384779973</v>
      </c>
      <c r="BJ74" s="60">
        <f t="shared" si="92"/>
        <v>146.70159365068315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10.199999999999999</v>
      </c>
      <c r="BY74" s="13">
        <f>IF('Données projet'!$A$114&gt;35,BY73+BX74-CG73,IF(A74&lt;'Données projet'!$A$114,$BV$205^A74,IF(A74='Données projet'!$A$114,'Données projet'!$B$114,BY73+BX74-CG73)))</f>
        <v>730.6000000000007</v>
      </c>
      <c r="BZ74" s="14">
        <f>BY74*VLOOKUP('Données projet'!$B$12,Paramètres!$A$1:$I$89,3,0)*VLOOKUP('Données projet'!$B$12,Paramètres!$A$1:$I$89,5,0)</f>
        <v>322.92520000000036</v>
      </c>
      <c r="CA74" s="14">
        <f t="shared" si="93"/>
        <v>75.9616756961356</v>
      </c>
      <c r="CB74" s="22">
        <f t="shared" si="64"/>
        <v>694.72797517077015</v>
      </c>
      <c r="CC74" s="60">
        <f t="shared" si="65"/>
        <v>988.06130850410341</v>
      </c>
      <c r="CD74" s="60">
        <f ca="1">AVERAGE(OFFSET($CC$3,0,0,'Données projet'!$E$12+1,1))-AVERAGE(OFFSET($H$3,0,0,'Données projet'!$E$12+1,1))</f>
        <v>401.84375324751227</v>
      </c>
      <c r="CE74" s="60">
        <f t="shared" si="94"/>
        <v>350.39368043404164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2.6738246285637484</v>
      </c>
      <c r="CM74" s="23">
        <f>EXP(-LN(2)/2)*CM73+(1-EXP(-LN(2)/2))/(LN(2)/2)*CG74*CJ74*VLOOKUP('Données projet'!$B$12,Paramètres!$A$1:$I$89,3,0)*0.475*44/12</f>
        <v>9.3961180916196374E-7</v>
      </c>
      <c r="CN74" s="24">
        <f t="shared" si="66"/>
        <v>2.6738255681755576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6.2061538461538532</v>
      </c>
      <c r="CT74" s="13">
        <f>IF('Données projet'!$A$140&gt;35,CT73+CS74-DB73,IF(A74&lt;'Données projet'!$A$140,$CQ$205^A74,IF(A74='Données projet'!$A$140,'Données projet'!$B$140,CT73+CS74-DB73)))</f>
        <v>254.31384615384621</v>
      </c>
      <c r="CU74" s="18">
        <f>CT74*VLOOKUP('Données projet'!$B$13,Paramètres!$A$1:$I$89,3,0)*VLOOKUP('Données projet'!$B$13,Paramètres!$A$1:$I$89,5,0)</f>
        <v>152.07968000000005</v>
      </c>
      <c r="CV74" s="14">
        <f t="shared" si="95"/>
        <v>39.050820956481395</v>
      </c>
      <c r="CW74" s="22">
        <f t="shared" si="67"/>
        <v>332.88562249920523</v>
      </c>
      <c r="CX74" s="60">
        <f t="shared" si="68"/>
        <v>626.21895583253854</v>
      </c>
      <c r="CY74" s="60">
        <f ca="1">AVERAGE(OFFSET($CX$3,0,0,'Données projet'!$E$13+1,1))-AVERAGE(OFFSET($H$3,0,0,'Données projet'!$E$13+1,1))</f>
        <v>232.73140429491525</v>
      </c>
      <c r="CZ74" s="60">
        <f t="shared" si="96"/>
        <v>201.02719152328638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2.5547971352122807</v>
      </c>
      <c r="DH74" s="23">
        <f>EXP(-LN(2)/2)*DH73+(1-EXP(-LN(2)/2))/(LN(2)/2)*DB74*DE74*VLOOKUP('Données projet'!$B$13,Paramètres!$A$1:$I$89,3,0)*0.475*44/12</f>
        <v>2.0762026421393291E-6</v>
      </c>
      <c r="DI74" s="24">
        <f t="shared" si="69"/>
        <v>2.5547992114149229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3.5897435897435912</v>
      </c>
      <c r="DO74" s="13">
        <f>IF('Données projet'!$A$166&gt;35,DO73+DN74-DW73,IF(A74&lt;'Données projet'!$A$166,$DL$205^A74,IF(A74='Données projet'!$A$166,'Données projet'!$B$166,DO73+DN74-DW73)))</f>
        <v>167.0512820512819</v>
      </c>
      <c r="DP74" s="18">
        <f>DO74*VLOOKUP('Données projet'!$B$14,Paramètres!$A$1:$I$89,3,0)*VLOOKUP('Données projet'!$B$14,Paramètres!$A$1:$I$89,5,0)</f>
        <v>158.96599999999987</v>
      </c>
      <c r="DQ74" s="14">
        <f t="shared" si="97"/>
        <v>40.609205890057027</v>
      </c>
      <c r="DR74" s="22">
        <f t="shared" si="70"/>
        <v>347.59348359184906</v>
      </c>
      <c r="DS74" s="60">
        <f t="shared" si="71"/>
        <v>640.92681692518238</v>
      </c>
      <c r="DT74" s="60">
        <f ca="1">AVERAGE(OFFSET($DS$3,0,0,'Données projet'!$E$14+1,1))-AVERAGE(OFFSET($H$3,0,0,'Données projet'!$E$14+1,1))</f>
        <v>302.15577364214136</v>
      </c>
      <c r="DU74" s="60">
        <f t="shared" si="98"/>
        <v>197.15142751137051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4.4871794871794863</v>
      </c>
      <c r="EJ74" s="13">
        <f>IF('Données projet'!$A$192&gt;35,EJ73+EI74-ER73,IF(A74&lt;'Données projet'!$A$192,$EG$205^A74,IF(A74='Données projet'!$A$192,'Données projet'!$B$192,EJ73+EI74-ER73)))</f>
        <v>239.74358974358958</v>
      </c>
      <c r="EK74" s="18">
        <f>EJ74*VLOOKUP('Données projet'!$B$15,Paramètres!$A$1:$I$89,3,0)*VLOOKUP('Données projet'!$B$15,Paramètres!$A$1:$I$89,5,0)</f>
        <v>250.57999999999984</v>
      </c>
      <c r="EL74" s="14">
        <f t="shared" si="99"/>
        <v>60.710122367679979</v>
      </c>
      <c r="EM74" s="22">
        <f t="shared" si="73"/>
        <v>542.16362979037569</v>
      </c>
      <c r="EN74" s="60">
        <f t="shared" si="74"/>
        <v>835.49696312370907</v>
      </c>
      <c r="EO74" s="60">
        <f ca="1">AVERAGE(OFFSET($EN$3,0,0,'Données projet'!$E$15+1,1))-AVERAGE(OFFSET($H$3,0,0,'Données projet'!$E$15+1,1))</f>
        <v>493.70175665335978</v>
      </c>
      <c r="EP74" s="60">
        <f t="shared" si="100"/>
        <v>325.12357781685949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0" t="e">
        <f t="shared" si="77"/>
        <v>#N/A</v>
      </c>
      <c r="FJ74" s="60" t="e">
        <f ca="1">AVERAGE(OFFSET($FI$3,0,0,'Données projet'!$E$16+1,1))-AVERAGE(OFFSET($H$3,0,0,'Données projet'!$E$16+1,1))</f>
        <v>#N/A</v>
      </c>
      <c r="FK74" s="60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0" t="e">
        <f t="shared" si="80"/>
        <v>#N/A</v>
      </c>
      <c r="GE74" s="60" t="e">
        <f ca="1">AVERAGE(OFFSET($GD$3,0,0,'Données projet'!$E$17+1,1))-AVERAGE(OFFSET($H$3,0,0,'Données projet'!$E$17+1,1))</f>
        <v>#N/A</v>
      </c>
      <c r="GF74" s="60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5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8">
        <f t="shared" si="56"/>
        <v>256.66666666666669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0">
        <f t="shared" si="55"/>
        <v>293.3333333333353</v>
      </c>
      <c r="S75" s="60">
        <f ca="1">AVERAGE(OFFSET($R$3,0,0,'Données projet'!$E$9+1,1))-AVERAGE(OFFSET($H$3,0,0,'Données projet'!$E$9+1,1))</f>
        <v>260.02504691866199</v>
      </c>
      <c r="T75" s="60">
        <f t="shared" si="88"/>
        <v>270.11268336406368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4.3563675015401877</v>
      </c>
      <c r="AA75" s="23">
        <f>EXP(-LN(2)/25)*AA74+(1-EXP(-LN(2)/25))/(LN(2)/25)*Calculateur!V75*Calculateur!X75*VLOOKUP('Données projet'!$B$9,Paramètres!$A$1:$I$89,3,0)*0.475*44/12</f>
        <v>5.129401911126287</v>
      </c>
      <c r="AB75" s="23">
        <f>EXP(-LN(2)/2)*AB74+(1-EXP(-LN(2)/2))/(LN(2)/2)*V75*Y75*VLOOKUP('Données projet'!$B$9,Paramètres!$A$1:$I$89,3,0)*0.475*44/12</f>
        <v>3.0231289605731219E-6</v>
      </c>
      <c r="AC75" s="24">
        <f t="shared" si="57"/>
        <v>9.4857724357954361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6.2</v>
      </c>
      <c r="AI75" s="14">
        <f>IF('Données projet'!$A$62&gt;35,AI74+AH75-AQ74,IF(A75&lt;'Données projet'!$A$62,$AF$205^A75,IF(A75='Données projet'!$A$62,'Données projet'!$B$62,AI74+AH75-AQ74)))</f>
        <v>233.39999999999992</v>
      </c>
      <c r="AJ75" s="14">
        <f>AI75*VLOOKUP('Données projet'!$B$10,Paramètres!$A$1:$I$89,3,0)*VLOOKUP('Données projet'!$B$10,Paramètres!$A$1:$I$89,5,0)</f>
        <v>236.66759999999994</v>
      </c>
      <c r="AK75" s="14">
        <f t="shared" si="89"/>
        <v>57.721965974560838</v>
      </c>
      <c r="AL75" s="22">
        <f t="shared" si="58"/>
        <v>512.72849407235992</v>
      </c>
      <c r="AM75" s="60">
        <f t="shared" si="59"/>
        <v>806.06182740569329</v>
      </c>
      <c r="AN75" s="60">
        <f ca="1">AVERAGE(OFFSET($AM$3,0,0,'Données projet'!$E$10+1,1))-AVERAGE(OFFSET($H$3,0,0,'Données projet'!$E$10+1,1))</f>
        <v>475.47920969424894</v>
      </c>
      <c r="AO75" s="60">
        <f t="shared" si="90"/>
        <v>271.73544012419364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4.8</v>
      </c>
      <c r="BD75" s="13">
        <f>IF('Données projet'!$A$88&gt;35,BD74+BC75-BL74,IF(A75&lt;'Données projet'!$A$88,$BA$205^A75,IF(A75='Données projet'!$A$88,'Données projet'!$B$88,BD74+BC75-BL74)))</f>
        <v>167.59999999999988</v>
      </c>
      <c r="BE75" s="14">
        <f>BD75*VLOOKUP('Données projet'!$B$11,Paramètres!$A$1:$I$89,3,0)*VLOOKUP('Données projet'!$B$11,Paramètres!$A$1:$I$89,5,0)</f>
        <v>151.6444799999999</v>
      </c>
      <c r="BF75" s="14">
        <f t="shared" si="91"/>
        <v>38.952062117783541</v>
      </c>
      <c r="BG75" s="22">
        <f t="shared" si="61"/>
        <v>331.95564418847277</v>
      </c>
      <c r="BH75" s="60">
        <f t="shared" si="62"/>
        <v>625.28897752180615</v>
      </c>
      <c r="BI75" s="60">
        <f ca="1">AVERAGE(OFFSET($BH$3,0,0,'Données projet'!$E$11+1,1))-AVERAGE(OFFSET($H$3,0,0,'Données projet'!$E$11+1,1))</f>
        <v>325.2649384779973</v>
      </c>
      <c r="BJ75" s="60">
        <f t="shared" si="92"/>
        <v>146.70159365068315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10.199999999999999</v>
      </c>
      <c r="BY75" s="13">
        <f>IF('Données projet'!$A$114&gt;35,BY74+BX75-CG74,IF(A75&lt;'Données projet'!$A$114,$BV$205^A75,IF(A75='Données projet'!$A$114,'Données projet'!$B$114,BY74+BX75-CG74)))</f>
        <v>740.80000000000075</v>
      </c>
      <c r="BZ75" s="14">
        <f>BY75*VLOOKUP('Données projet'!$B$12,Paramètres!$A$1:$I$89,3,0)*VLOOKUP('Données projet'!$B$12,Paramètres!$A$1:$I$89,5,0)</f>
        <v>327.43360000000035</v>
      </c>
      <c r="CA75" s="14">
        <f t="shared" si="93"/>
        <v>76.897985444464794</v>
      </c>
      <c r="CB75" s="22">
        <f t="shared" si="64"/>
        <v>704.21084464911007</v>
      </c>
      <c r="CC75" s="60">
        <f t="shared" si="65"/>
        <v>997.54417798244344</v>
      </c>
      <c r="CD75" s="60">
        <f ca="1">AVERAGE(OFFSET($CC$3,0,0,'Données projet'!$E$12+1,1))-AVERAGE(OFFSET($H$3,0,0,'Données projet'!$E$12+1,1))</f>
        <v>401.84375324751227</v>
      </c>
      <c r="CE75" s="60">
        <f t="shared" si="94"/>
        <v>350.39368043404164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2.6007087534853466</v>
      </c>
      <c r="CM75" s="23">
        <f>EXP(-LN(2)/2)*CM74+(1-EXP(-LN(2)/2))/(LN(2)/2)*CG75*CJ75*VLOOKUP('Données projet'!$B$12,Paramètres!$A$1:$I$89,3,0)*0.475*44/12</f>
        <v>6.6440588194138479E-7</v>
      </c>
      <c r="CN75" s="24">
        <f t="shared" si="66"/>
        <v>2.6007094178912284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6.2061538461538532</v>
      </c>
      <c r="CT75" s="13">
        <f>IF('Données projet'!$A$140&gt;35,CT74+CS75-DB74,IF(A75&lt;'Données projet'!$A$140,$CQ$205^A75,IF(A75='Données projet'!$A$140,'Données projet'!$B$140,CT74+CS75-DB74)))</f>
        <v>260.5200000000001</v>
      </c>
      <c r="CU75" s="18">
        <f>CT75*VLOOKUP('Données projet'!$B$13,Paramètres!$A$1:$I$89,3,0)*VLOOKUP('Données projet'!$B$13,Paramètres!$A$1:$I$89,5,0)</f>
        <v>155.79096000000007</v>
      </c>
      <c r="CV75" s="14">
        <f t="shared" si="95"/>
        <v>39.891686747728144</v>
      </c>
      <c r="CW75" s="22">
        <f t="shared" si="67"/>
        <v>340.81394308562659</v>
      </c>
      <c r="CX75" s="60">
        <f t="shared" si="68"/>
        <v>634.1472764189599</v>
      </c>
      <c r="CY75" s="60">
        <f ca="1">AVERAGE(OFFSET($CX$3,0,0,'Données projet'!$E$13+1,1))-AVERAGE(OFFSET($H$3,0,0,'Données projet'!$E$13+1,1))</f>
        <v>232.73140429491525</v>
      </c>
      <c r="CZ75" s="60">
        <f t="shared" si="96"/>
        <v>201.02719152328638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2.4849360731989587</v>
      </c>
      <c r="DH75" s="23">
        <f>EXP(-LN(2)/2)*DH74+(1-EXP(-LN(2)/2))/(LN(2)/2)*DB75*DE75*VLOOKUP('Données projet'!$B$13,Paramètres!$A$1:$I$89,3,0)*0.475*44/12</f>
        <v>1.4680969673741464E-6</v>
      </c>
      <c r="DI75" s="24">
        <f t="shared" si="69"/>
        <v>2.4849375412959263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3.5897435897435912</v>
      </c>
      <c r="DO75" s="13">
        <f>IF('Données projet'!$A$166&gt;35,DO74+DN75-DW74,IF(A75&lt;'Données projet'!$A$166,$DL$205^A75,IF(A75='Données projet'!$A$166,'Données projet'!$B$166,DO74+DN75-DW74)))</f>
        <v>170.64102564102549</v>
      </c>
      <c r="DP75" s="18">
        <f>DO75*VLOOKUP('Données projet'!$B$14,Paramètres!$A$1:$I$89,3,0)*VLOOKUP('Données projet'!$B$14,Paramètres!$A$1:$I$89,5,0)</f>
        <v>162.38199999999986</v>
      </c>
      <c r="DQ75" s="14">
        <f t="shared" si="97"/>
        <v>41.379319198428185</v>
      </c>
      <c r="DR75" s="22">
        <f t="shared" si="70"/>
        <v>354.88429760392887</v>
      </c>
      <c r="DS75" s="60">
        <f t="shared" si="71"/>
        <v>648.21763093726213</v>
      </c>
      <c r="DT75" s="60">
        <f ca="1">AVERAGE(OFFSET($DS$3,0,0,'Données projet'!$E$14+1,1))-AVERAGE(OFFSET($H$3,0,0,'Données projet'!$E$14+1,1))</f>
        <v>302.15577364214136</v>
      </c>
      <c r="DU75" s="60">
        <f t="shared" si="98"/>
        <v>197.15142751137051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4.4871794871794863</v>
      </c>
      <c r="EJ75" s="13">
        <f>IF('Données projet'!$A$192&gt;35,EJ74+EI75-ER74,IF(A75&lt;'Données projet'!$A$192,$EG$205^A75,IF(A75='Données projet'!$A$192,'Données projet'!$B$192,EJ74+EI75-ER74)))</f>
        <v>244.23076923076906</v>
      </c>
      <c r="EK75" s="18">
        <f>EJ75*VLOOKUP('Données projet'!$B$15,Paramètres!$A$1:$I$89,3,0)*VLOOKUP('Données projet'!$B$15,Paramètres!$A$1:$I$89,5,0)</f>
        <v>255.26999999999984</v>
      </c>
      <c r="EL75" s="14">
        <f t="shared" si="99"/>
        <v>61.713058280444663</v>
      </c>
      <c r="EM75" s="22">
        <f t="shared" si="73"/>
        <v>552.07882650510749</v>
      </c>
      <c r="EN75" s="60">
        <f t="shared" si="74"/>
        <v>845.41215983844086</v>
      </c>
      <c r="EO75" s="60">
        <f ca="1">AVERAGE(OFFSET($EN$3,0,0,'Données projet'!$E$15+1,1))-AVERAGE(OFFSET($H$3,0,0,'Données projet'!$E$15+1,1))</f>
        <v>493.70175665335978</v>
      </c>
      <c r="EP75" s="60">
        <f t="shared" si="100"/>
        <v>325.12357781685949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0" t="e">
        <f t="shared" si="77"/>
        <v>#N/A</v>
      </c>
      <c r="FJ75" s="60" t="e">
        <f ca="1">AVERAGE(OFFSET($FI$3,0,0,'Données projet'!$E$16+1,1))-AVERAGE(OFFSET($H$3,0,0,'Données projet'!$E$16+1,1))</f>
        <v>#N/A</v>
      </c>
      <c r="FK75" s="60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0" t="e">
        <f t="shared" si="80"/>
        <v>#N/A</v>
      </c>
      <c r="GE75" s="60" t="e">
        <f ca="1">AVERAGE(OFFSET($GD$3,0,0,'Données projet'!$E$17+1,1))-AVERAGE(OFFSET($H$3,0,0,'Données projet'!$E$17+1,1))</f>
        <v>#N/A</v>
      </c>
      <c r="GF75" s="60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5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8">
        <f t="shared" si="56"/>
        <v>256.66666666666669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0">
        <f t="shared" si="55"/>
        <v>293.3333333333353</v>
      </c>
      <c r="S76" s="60">
        <f ca="1">AVERAGE(OFFSET($R$3,0,0,'Données projet'!$E$9+1,1))-AVERAGE(OFFSET($H$3,0,0,'Données projet'!$E$9+1,1))</f>
        <v>260.02504691866199</v>
      </c>
      <c r="T76" s="60">
        <f t="shared" si="88"/>
        <v>270.11268336406368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4.2709417919567914</v>
      </c>
      <c r="AA76" s="23">
        <f>EXP(-LN(2)/25)*AA75+(1-EXP(-LN(2)/25))/(LN(2)/25)*Calculateur!V76*Calculateur!X76*VLOOKUP('Données projet'!$B$9,Paramètres!$A$1:$I$89,3,0)*0.475*44/12</f>
        <v>4.9891381461230155</v>
      </c>
      <c r="AB76" s="23">
        <f>EXP(-LN(2)/2)*AB75+(1-EXP(-LN(2)/2))/(LN(2)/2)*V76*Y76*VLOOKUP('Données projet'!$B$9,Paramètres!$A$1:$I$89,3,0)*0.475*44/12</f>
        <v>2.1376749884226934E-6</v>
      </c>
      <c r="AC76" s="24">
        <f t="shared" si="57"/>
        <v>9.260082075754795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6.2</v>
      </c>
      <c r="AI76" s="14">
        <f>IF('Données projet'!$A$62&gt;35,AI75+AH76-AQ75,IF(A76&lt;'Données projet'!$A$62,$AF$205^A76,IF(A76='Données projet'!$A$62,'Données projet'!$B$62,AI75+AH76-AQ75)))</f>
        <v>239.59999999999991</v>
      </c>
      <c r="AJ76" s="14">
        <f>AI76*VLOOKUP('Données projet'!$B$10,Paramètres!$A$1:$I$89,3,0)*VLOOKUP('Données projet'!$B$10,Paramètres!$A$1:$I$89,5,0)</f>
        <v>242.95439999999994</v>
      </c>
      <c r="AK76" s="14">
        <f t="shared" si="89"/>
        <v>59.074730698078945</v>
      </c>
      <c r="AL76" s="22">
        <f t="shared" si="58"/>
        <v>526.034069299154</v>
      </c>
      <c r="AM76" s="60">
        <f t="shared" si="59"/>
        <v>819.36740263248726</v>
      </c>
      <c r="AN76" s="60">
        <f ca="1">AVERAGE(OFFSET($AM$3,0,0,'Données projet'!$E$10+1,1))-AVERAGE(OFFSET($H$3,0,0,'Données projet'!$E$10+1,1))</f>
        <v>475.47920969424894</v>
      </c>
      <c r="AO76" s="60">
        <f t="shared" si="90"/>
        <v>271.73544012419364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4.8</v>
      </c>
      <c r="BD76" s="13">
        <f>IF('Données projet'!$A$88&gt;35,BD75+BC76-BL75,IF(A76&lt;'Données projet'!$A$88,$BA$205^A76,IF(A76='Données projet'!$A$88,'Données projet'!$B$88,BD75+BC76-BL75)))</f>
        <v>172.39999999999989</v>
      </c>
      <c r="BE76" s="14">
        <f>BD76*VLOOKUP('Données projet'!$B$11,Paramètres!$A$1:$I$89,3,0)*VLOOKUP('Données projet'!$B$11,Paramètres!$A$1:$I$89,5,0)</f>
        <v>155.9875199999999</v>
      </c>
      <c r="BF76" s="14">
        <f t="shared" si="91"/>
        <v>39.936155927663087</v>
      </c>
      <c r="BG76" s="22">
        <f t="shared" si="61"/>
        <v>341.23373557401305</v>
      </c>
      <c r="BH76" s="60">
        <f t="shared" si="62"/>
        <v>634.56706890734631</v>
      </c>
      <c r="BI76" s="60">
        <f ca="1">AVERAGE(OFFSET($BH$3,0,0,'Données projet'!$E$11+1,1))-AVERAGE(OFFSET($H$3,0,0,'Données projet'!$E$11+1,1))</f>
        <v>325.2649384779973</v>
      </c>
      <c r="BJ76" s="60">
        <f t="shared" si="92"/>
        <v>146.70159365068315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>
        <f>VLOOKUP(A76,'Données projet'!$A$113:$I$133,2,0)</f>
        <v>751</v>
      </c>
      <c r="BW76" s="13">
        <f>VLOOKUP(A76,'Données projet'!$A$113:$I$133,9,0)</f>
        <v>10.199999999999999</v>
      </c>
      <c r="BX76" s="13">
        <f t="array" ref="BX76">INDEX(BW:BW,MIN(IF(ISNUMBER(BW76:BW272),ROW(BW76:BW272),"")))</f>
        <v>10.199999999999999</v>
      </c>
      <c r="BY76" s="13">
        <f>IF('Données projet'!$A$114&gt;35,BY75+BX76-CG75,IF(A76&lt;'Données projet'!$A$114,$BV$205^A76,IF(A76='Données projet'!$A$114,'Données projet'!$B$114,BY75+BX76-CG75)))</f>
        <v>751.0000000000008</v>
      </c>
      <c r="BZ76" s="14">
        <f>BY76*VLOOKUP('Données projet'!$B$12,Paramètres!$A$1:$I$89,3,0)*VLOOKUP('Données projet'!$B$12,Paramètres!$A$1:$I$89,5,0)</f>
        <v>331.94200000000041</v>
      </c>
      <c r="CA76" s="14">
        <f t="shared" si="93"/>
        <v>77.832795721146368</v>
      </c>
      <c r="CB76" s="22">
        <f t="shared" si="64"/>
        <v>713.69110254766395</v>
      </c>
      <c r="CC76" s="60">
        <f t="shared" si="65"/>
        <v>1007.0244358809973</v>
      </c>
      <c r="CD76" s="60">
        <f ca="1">AVERAGE(OFFSET($CC$3,0,0,'Données projet'!$E$12+1,1))-AVERAGE(OFFSET($H$3,0,0,'Données projet'!$E$12+1,1))</f>
        <v>401.84375324751227</v>
      </c>
      <c r="CE76" s="60">
        <f t="shared" si="94"/>
        <v>350.39368043404164</v>
      </c>
      <c r="CF76" s="16">
        <f>IF(ISNA(VLOOKUP(A76,'Données projet'!$A$113:$I$133,3,0)),0,VLOOKUP(A76,'Données projet'!$A$113:$I$133,3,0))</f>
        <v>6</v>
      </c>
      <c r="CG76" s="16">
        <f>IF(ISNA(VLOOKUP(A76,'Données projet'!$A$113:$I$133,4,0)),0,VLOOKUP(A76,'Données projet'!$A$113:$I$133,4,0))</f>
        <v>52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2.5295922358559606</v>
      </c>
      <c r="CM76" s="23">
        <f>EXP(-LN(2)/2)*CM75+(1-EXP(-LN(2)/2))/(LN(2)/2)*CG76*CJ76*VLOOKUP('Données projet'!$B$12,Paramètres!$A$1:$I$89,3,0)*0.475*44/12</f>
        <v>4.6980590458098192E-7</v>
      </c>
      <c r="CN76" s="24">
        <f t="shared" si="66"/>
        <v>2.529592705661865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6.2061538461538532</v>
      </c>
      <c r="CT76" s="13">
        <f>IF('Données projet'!$A$140&gt;35,CT75+CS76-DB75,IF(A76&lt;'Données projet'!$A$140,$CQ$205^A76,IF(A76='Données projet'!$A$140,'Données projet'!$B$140,CT75+CS76-DB75)))</f>
        <v>266.72615384615392</v>
      </c>
      <c r="CU76" s="18">
        <f>CT76*VLOOKUP('Données projet'!$B$13,Paramètres!$A$1:$I$89,3,0)*VLOOKUP('Données projet'!$B$13,Paramètres!$A$1:$I$89,5,0)</f>
        <v>159.50224000000006</v>
      </c>
      <c r="CV76" s="14">
        <f t="shared" si="95"/>
        <v>40.730223897870985</v>
      </c>
      <c r="CW76" s="22">
        <f t="shared" si="67"/>
        <v>348.73820795545868</v>
      </c>
      <c r="CX76" s="60">
        <f t="shared" si="68"/>
        <v>642.07154128879199</v>
      </c>
      <c r="CY76" s="60">
        <f ca="1">AVERAGE(OFFSET($CX$3,0,0,'Données projet'!$E$13+1,1))-AVERAGE(OFFSET($H$3,0,0,'Données projet'!$E$13+1,1))</f>
        <v>232.73140429491525</v>
      </c>
      <c r="CZ76" s="60">
        <f t="shared" si="96"/>
        <v>201.02719152328638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2.4169853656002247</v>
      </c>
      <c r="DH76" s="23">
        <f>EXP(-LN(2)/2)*DH75+(1-EXP(-LN(2)/2))/(LN(2)/2)*DB76*DE76*VLOOKUP('Données projet'!$B$13,Paramètres!$A$1:$I$89,3,0)*0.475*44/12</f>
        <v>1.0381013210696645E-6</v>
      </c>
      <c r="DI76" s="24">
        <f t="shared" si="69"/>
        <v>2.4169864037015456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3.5897435897435912</v>
      </c>
      <c r="DO76" s="13">
        <f>IF('Données projet'!$A$166&gt;35,DO75+DN76-DW75,IF(A76&lt;'Données projet'!$A$166,$DL$205^A76,IF(A76='Données projet'!$A$166,'Données projet'!$B$166,DO75+DN76-DW75)))</f>
        <v>174.23076923076908</v>
      </c>
      <c r="DP76" s="18">
        <f>DO76*VLOOKUP('Données projet'!$B$14,Paramètres!$A$1:$I$89,3,0)*VLOOKUP('Données projet'!$B$14,Paramètres!$A$1:$I$89,5,0)</f>
        <v>165.79799999999986</v>
      </c>
      <c r="DQ76" s="14">
        <f t="shared" si="97"/>
        <v>42.147548901826255</v>
      </c>
      <c r="DR76" s="22">
        <f t="shared" si="70"/>
        <v>362.17183100401377</v>
      </c>
      <c r="DS76" s="60">
        <f t="shared" si="71"/>
        <v>655.50516433734708</v>
      </c>
      <c r="DT76" s="60">
        <f ca="1">AVERAGE(OFFSET($DS$3,0,0,'Données projet'!$E$14+1,1))-AVERAGE(OFFSET($H$3,0,0,'Données projet'!$E$14+1,1))</f>
        <v>302.15577364214136</v>
      </c>
      <c r="DU76" s="60">
        <f t="shared" si="98"/>
        <v>197.15142751137051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4.4871794871794863</v>
      </c>
      <c r="EJ76" s="13">
        <f>IF('Données projet'!$A$192&gt;35,EJ75+EI76-ER75,IF(A76&lt;'Données projet'!$A$192,$EG$205^A76,IF(A76='Données projet'!$A$192,'Données projet'!$B$192,EJ75+EI76-ER75)))</f>
        <v>248.71794871794853</v>
      </c>
      <c r="EK76" s="18">
        <f>EJ76*VLOOKUP('Données projet'!$B$15,Paramètres!$A$1:$I$89,3,0)*VLOOKUP('Données projet'!$B$15,Paramètres!$A$1:$I$89,5,0)</f>
        <v>259.95999999999981</v>
      </c>
      <c r="EL76" s="14">
        <f t="shared" si="99"/>
        <v>62.713851496250946</v>
      </c>
      <c r="EM76" s="22">
        <f t="shared" si="73"/>
        <v>561.99029135597004</v>
      </c>
      <c r="EN76" s="60">
        <f t="shared" si="74"/>
        <v>855.32362468930341</v>
      </c>
      <c r="EO76" s="60">
        <f ca="1">AVERAGE(OFFSET($EN$3,0,0,'Données projet'!$E$15+1,1))-AVERAGE(OFFSET($H$3,0,0,'Données projet'!$E$15+1,1))</f>
        <v>493.70175665335978</v>
      </c>
      <c r="EP76" s="60">
        <f t="shared" si="100"/>
        <v>325.12357781685949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0" t="e">
        <f t="shared" si="77"/>
        <v>#N/A</v>
      </c>
      <c r="FJ76" s="60" t="e">
        <f ca="1">AVERAGE(OFFSET($FI$3,0,0,'Données projet'!$E$16+1,1))-AVERAGE(OFFSET($H$3,0,0,'Données projet'!$E$16+1,1))</f>
        <v>#N/A</v>
      </c>
      <c r="FK76" s="60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0" t="e">
        <f t="shared" si="80"/>
        <v>#N/A</v>
      </c>
      <c r="GE76" s="60" t="e">
        <f ca="1">AVERAGE(OFFSET($GD$3,0,0,'Données projet'!$E$17+1,1))-AVERAGE(OFFSET($H$3,0,0,'Données projet'!$E$17+1,1))</f>
        <v>#N/A</v>
      </c>
      <c r="GF76" s="60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5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8">
        <f t="shared" si="56"/>
        <v>256.66666666666669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0">
        <f t="shared" si="55"/>
        <v>293.3333333333353</v>
      </c>
      <c r="S77" s="60">
        <f ca="1">AVERAGE(OFFSET($R$3,0,0,'Données projet'!$E$9+1,1))-AVERAGE(OFFSET($H$3,0,0,'Données projet'!$E$9+1,1))</f>
        <v>260.02504691866199</v>
      </c>
      <c r="T77" s="60">
        <f t="shared" si="88"/>
        <v>270.11268336406368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4.1871912284337878</v>
      </c>
      <c r="AA77" s="23">
        <f>EXP(-LN(2)/25)*AA76+(1-EXP(-LN(2)/25))/(LN(2)/25)*Calculateur!V77*Calculateur!X77*VLOOKUP('Données projet'!$B$9,Paramètres!$A$1:$I$89,3,0)*0.475*44/12</f>
        <v>4.8527099011499093</v>
      </c>
      <c r="AB77" s="23">
        <f>EXP(-LN(2)/2)*AB76+(1-EXP(-LN(2)/2))/(LN(2)/2)*V77*Y77*VLOOKUP('Données projet'!$B$9,Paramètres!$A$1:$I$89,3,0)*0.475*44/12</f>
        <v>1.5115644802865609E-6</v>
      </c>
      <c r="AC77" s="24">
        <f t="shared" si="57"/>
        <v>9.0399026411481778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6.2</v>
      </c>
      <c r="AI77" s="14">
        <f>IF('Données projet'!$A$62&gt;35,AI76+AH77-AQ76,IF(A77&lt;'Données projet'!$A$62,$AF$205^A77,IF(A77='Données projet'!$A$62,'Données projet'!$B$62,AI76+AH77-AQ76)))</f>
        <v>245.7999999999999</v>
      </c>
      <c r="AJ77" s="14">
        <f>AI77*VLOOKUP('Données projet'!$B$10,Paramètres!$A$1:$I$89,3,0)*VLOOKUP('Données projet'!$B$10,Paramètres!$A$1:$I$89,5,0)</f>
        <v>249.24119999999988</v>
      </c>
      <c r="AK77" s="14">
        <f t="shared" si="89"/>
        <v>60.42342651744687</v>
      </c>
      <c r="AL77" s="22">
        <f t="shared" si="58"/>
        <v>539.3325578512198</v>
      </c>
      <c r="AM77" s="60">
        <f t="shared" si="59"/>
        <v>832.66589118455317</v>
      </c>
      <c r="AN77" s="60">
        <f ca="1">AVERAGE(OFFSET($AM$3,0,0,'Données projet'!$E$10+1,1))-AVERAGE(OFFSET($H$3,0,0,'Données projet'!$E$10+1,1))</f>
        <v>475.47920969424894</v>
      </c>
      <c r="AO77" s="60">
        <f t="shared" si="90"/>
        <v>271.73544012419364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4.8</v>
      </c>
      <c r="BD77" s="13">
        <f>IF('Données projet'!$A$88&gt;35,BD76+BC77-BL76,IF(A77&lt;'Données projet'!$A$88,$BA$205^A77,IF(A77='Données projet'!$A$88,'Données projet'!$B$88,BD76+BC77-BL76)))</f>
        <v>177.1999999999999</v>
      </c>
      <c r="BE77" s="14">
        <f>BD77*VLOOKUP('Données projet'!$B$11,Paramètres!$A$1:$I$89,3,0)*VLOOKUP('Données projet'!$B$11,Paramètres!$A$1:$I$89,5,0)</f>
        <v>160.33055999999991</v>
      </c>
      <c r="BF77" s="14">
        <f t="shared" si="91"/>
        <v>40.917065179252795</v>
      </c>
      <c r="BG77" s="22">
        <f t="shared" si="61"/>
        <v>350.50628052053179</v>
      </c>
      <c r="BH77" s="60">
        <f t="shared" si="62"/>
        <v>643.8396138538651</v>
      </c>
      <c r="BI77" s="60">
        <f ca="1">AVERAGE(OFFSET($BH$3,0,0,'Données projet'!$E$11+1,1))-AVERAGE(OFFSET($H$3,0,0,'Données projet'!$E$11+1,1))</f>
        <v>325.2649384779973</v>
      </c>
      <c r="BJ77" s="60">
        <f t="shared" si="92"/>
        <v>146.70159365068315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8.1999999999999993</v>
      </c>
      <c r="BY77" s="13">
        <f>IF('Données projet'!$A$114&gt;35,BY76+BX77-CG76,IF(A77&lt;'Données projet'!$A$114,$BV$205^A77,IF(A77='Données projet'!$A$114,'Données projet'!$B$114,BY76+BX77-CG76)))</f>
        <v>707.20000000000084</v>
      </c>
      <c r="BZ77" s="14">
        <f>BY77*VLOOKUP('Données projet'!$B$12,Paramètres!$A$1:$I$89,3,0)*VLOOKUP('Données projet'!$B$12,Paramètres!$A$1:$I$89,5,0)</f>
        <v>312.5824000000004</v>
      </c>
      <c r="CA77" s="14">
        <f t="shared" si="93"/>
        <v>73.807877411299316</v>
      </c>
      <c r="CB77" s="22">
        <f t="shared" si="64"/>
        <v>672.96306649134704</v>
      </c>
      <c r="CC77" s="60">
        <f t="shared" si="65"/>
        <v>966.29639982468029</v>
      </c>
      <c r="CD77" s="60">
        <f ca="1">AVERAGE(OFFSET($CC$3,0,0,'Données projet'!$E$12+1,1))-AVERAGE(OFFSET($H$3,0,0,'Données projet'!$E$12+1,1))</f>
        <v>401.84375324751227</v>
      </c>
      <c r="CE77" s="60">
        <f t="shared" si="94"/>
        <v>350.39368043404164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2.4604204031410051</v>
      </c>
      <c r="CM77" s="23">
        <f>EXP(-LN(2)/2)*CM76+(1-EXP(-LN(2)/2))/(LN(2)/2)*CG77*CJ77*VLOOKUP('Données projet'!$B$12,Paramètres!$A$1:$I$89,3,0)*0.475*44/12</f>
        <v>3.3220294097069245E-7</v>
      </c>
      <c r="CN77" s="24">
        <f t="shared" si="66"/>
        <v>2.4604207353439462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6.2061538461538532</v>
      </c>
      <c r="CT77" s="13">
        <f>IF('Données projet'!$A$140&gt;35,CT76+CS77-DB76,IF(A77&lt;'Données projet'!$A$140,$CQ$205^A77,IF(A77='Données projet'!$A$140,'Données projet'!$B$140,CT76+CS77-DB76)))</f>
        <v>272.93230769230775</v>
      </c>
      <c r="CU77" s="18">
        <f>CT77*VLOOKUP('Données projet'!$B$13,Paramètres!$A$1:$I$89,3,0)*VLOOKUP('Données projet'!$B$13,Paramètres!$A$1:$I$89,5,0)</f>
        <v>163.21352000000005</v>
      </c>
      <c r="CV77" s="14">
        <f t="shared" si="95"/>
        <v>41.566492825495779</v>
      </c>
      <c r="CW77" s="22">
        <f t="shared" si="67"/>
        <v>356.65852233773853</v>
      </c>
      <c r="CX77" s="60">
        <f t="shared" si="68"/>
        <v>649.99185567107179</v>
      </c>
      <c r="CY77" s="60">
        <f ca="1">AVERAGE(OFFSET($CX$3,0,0,'Données projet'!$E$13+1,1))-AVERAGE(OFFSET($H$3,0,0,'Données projet'!$E$13+1,1))</f>
        <v>232.73140429491525</v>
      </c>
      <c r="CZ77" s="60">
        <f t="shared" si="96"/>
        <v>201.02719152328638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2.3508927736741501</v>
      </c>
      <c r="DH77" s="23">
        <f>EXP(-LN(2)/2)*DH76+(1-EXP(-LN(2)/2))/(LN(2)/2)*DB77*DE77*VLOOKUP('Données projet'!$B$13,Paramètres!$A$1:$I$89,3,0)*0.475*44/12</f>
        <v>7.340484836870732E-7</v>
      </c>
      <c r="DI77" s="24">
        <f t="shared" si="69"/>
        <v>2.3508935077226338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3.5897435897435912</v>
      </c>
      <c r="DO77" s="13">
        <f>IF('Données projet'!$A$166&gt;35,DO76+DN77-DW76,IF(A77&lt;'Données projet'!$A$166,$DL$205^A77,IF(A77='Données projet'!$A$166,'Données projet'!$B$166,DO76+DN77-DW76)))</f>
        <v>177.82051282051268</v>
      </c>
      <c r="DP77" s="18">
        <f>DO77*VLOOKUP('Données projet'!$B$14,Paramètres!$A$1:$I$89,3,0)*VLOOKUP('Données projet'!$B$14,Paramètres!$A$1:$I$89,5,0)</f>
        <v>169.21399999999986</v>
      </c>
      <c r="DQ77" s="14">
        <f t="shared" si="97"/>
        <v>42.913938280485205</v>
      </c>
      <c r="DR77" s="22">
        <f t="shared" si="70"/>
        <v>369.45615917184483</v>
      </c>
      <c r="DS77" s="60">
        <f t="shared" si="71"/>
        <v>662.78949250517815</v>
      </c>
      <c r="DT77" s="60">
        <f ca="1">AVERAGE(OFFSET($DS$3,0,0,'Données projet'!$E$14+1,1))-AVERAGE(OFFSET($H$3,0,0,'Données projet'!$E$14+1,1))</f>
        <v>302.15577364214136</v>
      </c>
      <c r="DU77" s="60">
        <f t="shared" si="98"/>
        <v>197.15142751137051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4.4871794871794863</v>
      </c>
      <c r="EJ77" s="13">
        <f>IF('Données projet'!$A$192&gt;35,EJ76+EI77-ER76,IF(A77&lt;'Données projet'!$A$192,$EG$205^A77,IF(A77='Données projet'!$A$192,'Données projet'!$B$192,EJ76+EI77-ER76)))</f>
        <v>253.20512820512801</v>
      </c>
      <c r="EK77" s="18">
        <f>EJ77*VLOOKUP('Données projet'!$B$15,Paramètres!$A$1:$I$89,3,0)*VLOOKUP('Données projet'!$B$15,Paramètres!$A$1:$I$89,5,0)</f>
        <v>264.64999999999981</v>
      </c>
      <c r="EL77" s="14">
        <f t="shared" si="99"/>
        <v>63.712545131099922</v>
      </c>
      <c r="EM77" s="22">
        <f t="shared" si="73"/>
        <v>571.89809943666535</v>
      </c>
      <c r="EN77" s="60">
        <f t="shared" si="74"/>
        <v>865.23143276999872</v>
      </c>
      <c r="EO77" s="60">
        <f ca="1">AVERAGE(OFFSET($EN$3,0,0,'Données projet'!$E$15+1,1))-AVERAGE(OFFSET($H$3,0,0,'Données projet'!$E$15+1,1))</f>
        <v>493.70175665335978</v>
      </c>
      <c r="EP77" s="60">
        <f t="shared" si="100"/>
        <v>325.12357781685949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0" t="e">
        <f t="shared" si="77"/>
        <v>#N/A</v>
      </c>
      <c r="FJ77" s="60" t="e">
        <f ca="1">AVERAGE(OFFSET($FI$3,0,0,'Données projet'!$E$16+1,1))-AVERAGE(OFFSET($H$3,0,0,'Données projet'!$E$16+1,1))</f>
        <v>#N/A</v>
      </c>
      <c r="FK77" s="60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0" t="e">
        <f t="shared" si="80"/>
        <v>#N/A</v>
      </c>
      <c r="GE77" s="60" t="e">
        <f ca="1">AVERAGE(OFFSET($GD$3,0,0,'Données projet'!$E$17+1,1))-AVERAGE(OFFSET($H$3,0,0,'Données projet'!$E$17+1,1))</f>
        <v>#N/A</v>
      </c>
      <c r="GF77" s="60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5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8">
        <f t="shared" si="56"/>
        <v>256.66666666666669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0">
        <f t="shared" si="55"/>
        <v>293.3333333333353</v>
      </c>
      <c r="S78" s="60">
        <f ca="1">AVERAGE(OFFSET($R$3,0,0,'Données projet'!$E$9+1,1))-AVERAGE(OFFSET($H$3,0,0,'Données projet'!$E$9+1,1))</f>
        <v>260.02504691866199</v>
      </c>
      <c r="T78" s="60">
        <f t="shared" si="88"/>
        <v>270.11268336406368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4.1050829623786704</v>
      </c>
      <c r="AA78" s="23">
        <f>EXP(-LN(2)/25)*AA77+(1-EXP(-LN(2)/25))/(LN(2)/25)*Calculateur!V78*Calculateur!X78*VLOOKUP('Données projet'!$B$9,Paramètres!$A$1:$I$89,3,0)*0.475*44/12</f>
        <v>4.7200122937100426</v>
      </c>
      <c r="AB78" s="23">
        <f>EXP(-LN(2)/2)*AB77+(1-EXP(-LN(2)/2))/(LN(2)/2)*V78*Y78*VLOOKUP('Données projet'!$B$9,Paramètres!$A$1:$I$89,3,0)*0.475*44/12</f>
        <v>1.0688374942113467E-6</v>
      </c>
      <c r="AC78" s="24">
        <f t="shared" si="57"/>
        <v>8.8250963249262071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252</v>
      </c>
      <c r="AG78" s="13">
        <f>VLOOKUP(A78,'Données projet'!$A$61:$I$81,9,0)</f>
        <v>6.2</v>
      </c>
      <c r="AH78" s="13">
        <f t="array" ref="AH78">INDEX(AG:AG,MIN(IF(ISNUMBER(AG78:AG274),ROW(AG78:AG274),"")))</f>
        <v>6.2</v>
      </c>
      <c r="AI78" s="14">
        <f>IF('Données projet'!$A$62&gt;35,AI77+AH78-AQ77,IF(A78&lt;'Données projet'!$A$62,$AF$205^A78,IF(A78='Données projet'!$A$62,'Données projet'!$B$62,AI77+AH78-AQ77)))</f>
        <v>251.99999999999989</v>
      </c>
      <c r="AJ78" s="14">
        <f>AI78*VLOOKUP('Données projet'!$B$10,Paramètres!$A$1:$I$89,3,0)*VLOOKUP('Données projet'!$B$10,Paramètres!$A$1:$I$89,5,0)</f>
        <v>255.52799999999991</v>
      </c>
      <c r="AK78" s="14">
        <f t="shared" si="89"/>
        <v>61.768167868721477</v>
      </c>
      <c r="AL78" s="22">
        <f t="shared" si="58"/>
        <v>552.62415903802309</v>
      </c>
      <c r="AM78" s="60">
        <f t="shared" si="59"/>
        <v>845.95749237135647</v>
      </c>
      <c r="AN78" s="60">
        <f ca="1">AVERAGE(OFFSET($AM$3,0,0,'Données projet'!$E$10+1,1))-AVERAGE(OFFSET($H$3,0,0,'Données projet'!$E$10+1,1))</f>
        <v>475.47920969424894</v>
      </c>
      <c r="AO78" s="60">
        <f t="shared" si="90"/>
        <v>271.73544012419364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4.8</v>
      </c>
      <c r="BD78" s="13">
        <f>IF('Données projet'!$A$88&gt;35,BD77+BC78-BL77,IF(A78&lt;'Données projet'!$A$88,$BA$205^A78,IF(A78='Données projet'!$A$88,'Données projet'!$B$88,BD77+BC78-BL77)))</f>
        <v>181.99999999999991</v>
      </c>
      <c r="BE78" s="14">
        <f>BD78*VLOOKUP('Données projet'!$B$11,Paramètres!$A$1:$I$89,3,0)*VLOOKUP('Données projet'!$B$11,Paramètres!$A$1:$I$89,5,0)</f>
        <v>164.67359999999991</v>
      </c>
      <c r="BF78" s="14">
        <f t="shared" si="91"/>
        <v>41.894886049196984</v>
      </c>
      <c r="BG78" s="22">
        <f t="shared" si="61"/>
        <v>359.77344653568457</v>
      </c>
      <c r="BH78" s="60">
        <f t="shared" si="62"/>
        <v>653.10677986901783</v>
      </c>
      <c r="BI78" s="60">
        <f ca="1">AVERAGE(OFFSET($BH$3,0,0,'Données projet'!$E$11+1,1))-AVERAGE(OFFSET($H$3,0,0,'Données projet'!$E$11+1,1))</f>
        <v>325.2649384779973</v>
      </c>
      <c r="BJ78" s="60">
        <f t="shared" si="92"/>
        <v>146.70159365068315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8.1999999999999993</v>
      </c>
      <c r="BY78" s="13">
        <f>IF('Données projet'!$A$114&gt;35,BY77+BX78-CG77,IF(A78&lt;'Données projet'!$A$114,$BV$205^A78,IF(A78='Données projet'!$A$114,'Données projet'!$B$114,BY77+BX78-CG77)))</f>
        <v>715.40000000000089</v>
      </c>
      <c r="BZ78" s="14">
        <f>BY78*VLOOKUP('Données projet'!$B$12,Paramètres!$A$1:$I$89,3,0)*VLOOKUP('Données projet'!$B$12,Paramètres!$A$1:$I$89,5,0)</f>
        <v>316.20680000000044</v>
      </c>
      <c r="CA78" s="14">
        <f t="shared" si="93"/>
        <v>74.563557722763775</v>
      </c>
      <c r="CB78" s="22">
        <f t="shared" si="64"/>
        <v>680.59170636714771</v>
      </c>
      <c r="CC78" s="60">
        <f t="shared" si="65"/>
        <v>973.92503970048097</v>
      </c>
      <c r="CD78" s="60">
        <f ca="1">AVERAGE(OFFSET($CC$3,0,0,'Données projet'!$E$12+1,1))-AVERAGE(OFFSET($H$3,0,0,'Données projet'!$E$12+1,1))</f>
        <v>401.84375324751227</v>
      </c>
      <c r="CE78" s="60">
        <f t="shared" si="94"/>
        <v>350.39368043404164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2.3931400778292287</v>
      </c>
      <c r="CM78" s="23">
        <f>EXP(-LN(2)/2)*CM77+(1-EXP(-LN(2)/2))/(LN(2)/2)*CG78*CJ78*VLOOKUP('Données projet'!$B$12,Paramètres!$A$1:$I$89,3,0)*0.475*44/12</f>
        <v>2.3490295229049102E-7</v>
      </c>
      <c r="CN78" s="24">
        <f t="shared" si="66"/>
        <v>2.3931403127321809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6.2061538461538532</v>
      </c>
      <c r="CT78" s="13">
        <f>IF('Données projet'!$A$140&gt;35,CT77+CS78-DB77,IF(A78&lt;'Données projet'!$A$140,$CQ$205^A78,IF(A78='Données projet'!$A$140,'Données projet'!$B$140,CT77+CS78-DB77)))</f>
        <v>279.13846153846157</v>
      </c>
      <c r="CU78" s="18">
        <f>CT78*VLOOKUP('Données projet'!$B$13,Paramètres!$A$1:$I$89,3,0)*VLOOKUP('Données projet'!$B$13,Paramètres!$A$1:$I$89,5,0)</f>
        <v>166.92480000000003</v>
      </c>
      <c r="CV78" s="14">
        <f t="shared" si="95"/>
        <v>42.400551044671708</v>
      </c>
      <c r="CW78" s="22">
        <f t="shared" si="67"/>
        <v>364.57498640280323</v>
      </c>
      <c r="CX78" s="60">
        <f t="shared" si="68"/>
        <v>657.90831973613649</v>
      </c>
      <c r="CY78" s="60">
        <f ca="1">AVERAGE(OFFSET($CX$3,0,0,'Données projet'!$E$13+1,1))-AVERAGE(OFFSET($H$3,0,0,'Données projet'!$E$13+1,1))</f>
        <v>232.73140429491525</v>
      </c>
      <c r="CZ78" s="60">
        <f t="shared" si="96"/>
        <v>201.02719152328638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2.2866074871499524</v>
      </c>
      <c r="DH78" s="23">
        <f>EXP(-LN(2)/2)*DH77+(1-EXP(-LN(2)/2))/(LN(2)/2)*DB78*DE78*VLOOKUP('Données projet'!$B$13,Paramètres!$A$1:$I$89,3,0)*0.475*44/12</f>
        <v>5.1905066053483226E-7</v>
      </c>
      <c r="DI78" s="24">
        <f t="shared" si="69"/>
        <v>2.2866080062006131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181.41025641025641</v>
      </c>
      <c r="DM78" s="13">
        <f>VLOOKUP(A78,'Données projet'!$A$165:$I$185,9,0)</f>
        <v>3.5897435897435912</v>
      </c>
      <c r="DN78" s="13">
        <f t="array" ref="DN78">INDEX(DM:DM,MIN(IF(ISNUMBER(DM78:DM274),ROW(DM78:DM274),"")))</f>
        <v>3.5897435897435912</v>
      </c>
      <c r="DO78" s="13">
        <f>IF('Données projet'!$A$166&gt;35,DO77+DN78-DW77,IF(A78&lt;'Données projet'!$A$166,$DL$205^A78,IF(A78='Données projet'!$A$166,'Données projet'!$B$166,DO77+DN78-DW77)))</f>
        <v>181.41025641025627</v>
      </c>
      <c r="DP78" s="18">
        <f>DO78*VLOOKUP('Données projet'!$B$14,Paramètres!$A$1:$I$89,3,0)*VLOOKUP('Données projet'!$B$14,Paramètres!$A$1:$I$89,5,0)</f>
        <v>172.62999999999988</v>
      </c>
      <c r="DQ78" s="14">
        <f t="shared" si="97"/>
        <v>43.67852876729723</v>
      </c>
      <c r="DR78" s="22">
        <f t="shared" si="70"/>
        <v>376.73735426970916</v>
      </c>
      <c r="DS78" s="60">
        <f t="shared" si="71"/>
        <v>670.07068760304242</v>
      </c>
      <c r="DT78" s="60">
        <f ca="1">AVERAGE(OFFSET($DS$3,0,0,'Données projet'!$E$14+1,1))-AVERAGE(OFFSET($H$3,0,0,'Données projet'!$E$14+1,1))</f>
        <v>302.15577364214136</v>
      </c>
      <c r="DU78" s="60">
        <f t="shared" si="98"/>
        <v>197.15142751137051</v>
      </c>
      <c r="DV78" s="16">
        <f>IF(ISNA(VLOOKUP(A78,'Données projet'!$A$165:$I$185,3,0)),0,VLOOKUP(A78,'Données projet'!$A$165:$I$185,3,0))</f>
        <v>6</v>
      </c>
      <c r="DW78" s="16">
        <f>IF(ISNA(VLOOKUP(A78,'Données projet'!$A$165:$I$185,4,0)),0,VLOOKUP(A78,'Données projet'!$A$165:$I$185,4,0))</f>
        <v>22.435897435897434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257.69230769230768</v>
      </c>
      <c r="EH78" s="13">
        <f>VLOOKUP(A78,'Données projet'!$A$191:$I$211,9,0)</f>
        <v>4.4871794871794863</v>
      </c>
      <c r="EI78" s="13">
        <f t="array" ref="EI78">INDEX(EH:EH,MIN(IF(ISNUMBER(EH78:EH274),ROW(EH78:EH274),"")))</f>
        <v>4.4871794871794863</v>
      </c>
      <c r="EJ78" s="13">
        <f>IF('Données projet'!$A$192&gt;35,EJ77+EI78-ER77,IF(A78&lt;'Données projet'!$A$192,$EG$205^A78,IF(A78='Données projet'!$A$192,'Données projet'!$B$192,EJ77+EI78-ER77)))</f>
        <v>257.69230769230751</v>
      </c>
      <c r="EK78" s="18">
        <f>EJ78*VLOOKUP('Données projet'!$B$15,Paramètres!$A$1:$I$89,3,0)*VLOOKUP('Données projet'!$B$15,Paramètres!$A$1:$I$89,5,0)</f>
        <v>269.33999999999986</v>
      </c>
      <c r="EL78" s="14">
        <f t="shared" si="99"/>
        <v>64.709180685305114</v>
      </c>
      <c r="EM78" s="22">
        <f t="shared" si="73"/>
        <v>581.80232302690615</v>
      </c>
      <c r="EN78" s="60">
        <f t="shared" si="74"/>
        <v>875.13565636023941</v>
      </c>
      <c r="EO78" s="60">
        <f ca="1">AVERAGE(OFFSET($EN$3,0,0,'Données projet'!$E$15+1,1))-AVERAGE(OFFSET($H$3,0,0,'Données projet'!$E$15+1,1))</f>
        <v>493.70175665335978</v>
      </c>
      <c r="EP78" s="60">
        <f t="shared" si="100"/>
        <v>325.12357781685949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0" t="e">
        <f t="shared" si="77"/>
        <v>#N/A</v>
      </c>
      <c r="FJ78" s="60" t="e">
        <f ca="1">AVERAGE(OFFSET($FI$3,0,0,'Données projet'!$E$16+1,1))-AVERAGE(OFFSET($H$3,0,0,'Données projet'!$E$16+1,1))</f>
        <v>#N/A</v>
      </c>
      <c r="FK78" s="60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0" t="e">
        <f t="shared" si="80"/>
        <v>#N/A</v>
      </c>
      <c r="GE78" s="60" t="e">
        <f ca="1">AVERAGE(OFFSET($GD$3,0,0,'Données projet'!$E$17+1,1))-AVERAGE(OFFSET($H$3,0,0,'Données projet'!$E$17+1,1))</f>
        <v>#N/A</v>
      </c>
      <c r="GF78" s="60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5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8">
        <f t="shared" si="56"/>
        <v>256.66666666666669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0">
        <f t="shared" si="55"/>
        <v>293.3333333333353</v>
      </c>
      <c r="S79" s="60">
        <f ca="1">AVERAGE(OFFSET($R$3,0,0,'Données projet'!$E$9+1,1))-AVERAGE(OFFSET($H$3,0,0,'Données projet'!$E$9+1,1))</f>
        <v>260.02504691866199</v>
      </c>
      <c r="T79" s="60">
        <f t="shared" si="88"/>
        <v>270.11268336406368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4.024584789339797</v>
      </c>
      <c r="AA79" s="23">
        <f>EXP(-LN(2)/25)*AA78+(1-EXP(-LN(2)/25))/(LN(2)/25)*Calculateur!V79*Calculateur!X79*VLOOKUP('Données projet'!$B$9,Paramètres!$A$1:$I$89,3,0)*0.475*44/12</f>
        <v>4.5909433093238823</v>
      </c>
      <c r="AB79" s="23">
        <f>EXP(-LN(2)/2)*AB78+(1-EXP(-LN(2)/2))/(LN(2)/2)*V79*Y79*VLOOKUP('Données projet'!$B$9,Paramètres!$A$1:$I$89,3,0)*0.475*44/12</f>
        <v>7.5578224014328047E-7</v>
      </c>
      <c r="AC79" s="24">
        <f t="shared" si="57"/>
        <v>8.6155288544459196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6</v>
      </c>
      <c r="AI79" s="14">
        <f>IF('Données projet'!$A$62&gt;35,AI78+AH79-AQ78,IF(A79&lt;'Données projet'!$A$62,$AF$205^A79,IF(A79='Données projet'!$A$62,'Données projet'!$B$62,AI78+AH79-AQ78)))</f>
        <v>257.99999999999989</v>
      </c>
      <c r="AJ79" s="14">
        <f>AI79*VLOOKUP('Données projet'!$B$10,Paramètres!$A$1:$I$89,3,0)*VLOOKUP('Données projet'!$B$10,Paramètres!$A$1:$I$89,5,0)</f>
        <v>261.61199999999991</v>
      </c>
      <c r="AK79" s="14">
        <f t="shared" si="89"/>
        <v>63.065867509496442</v>
      </c>
      <c r="AL79" s="22">
        <f t="shared" si="58"/>
        <v>565.48061924570618</v>
      </c>
      <c r="AM79" s="60">
        <f t="shared" si="59"/>
        <v>858.81395257903955</v>
      </c>
      <c r="AN79" s="60">
        <f ca="1">AVERAGE(OFFSET($AM$3,0,0,'Données projet'!$E$10+1,1))-AVERAGE(OFFSET($H$3,0,0,'Données projet'!$E$10+1,1))</f>
        <v>475.47920969424894</v>
      </c>
      <c r="AO79" s="60">
        <f t="shared" si="90"/>
        <v>271.73544012419364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4.8</v>
      </c>
      <c r="BD79" s="13">
        <f>IF('Données projet'!$A$88&gt;35,BD78+BC79-BL78,IF(A79&lt;'Données projet'!$A$88,$BA$205^A79,IF(A79='Données projet'!$A$88,'Données projet'!$B$88,BD78+BC79-BL78)))</f>
        <v>186.79999999999993</v>
      </c>
      <c r="BE79" s="14">
        <f>BD79*VLOOKUP('Données projet'!$B$11,Paramètres!$A$1:$I$89,3,0)*VLOOKUP('Données projet'!$B$11,Paramètres!$A$1:$I$89,5,0)</f>
        <v>169.01663999999994</v>
      </c>
      <c r="BF79" s="14">
        <f t="shared" si="91"/>
        <v>42.869709352189666</v>
      </c>
      <c r="BG79" s="22">
        <f t="shared" si="61"/>
        <v>369.03539178839679</v>
      </c>
      <c r="BH79" s="60">
        <f t="shared" si="62"/>
        <v>662.36872512173011</v>
      </c>
      <c r="BI79" s="60">
        <f ca="1">AVERAGE(OFFSET($BH$3,0,0,'Données projet'!$E$11+1,1))-AVERAGE(OFFSET($H$3,0,0,'Données projet'!$E$11+1,1))</f>
        <v>325.2649384779973</v>
      </c>
      <c r="BJ79" s="60">
        <f t="shared" si="92"/>
        <v>146.70159365068315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8.1999999999999993</v>
      </c>
      <c r="BY79" s="13">
        <f>IF('Données projet'!$A$114&gt;35,BY78+BX79-CG78,IF(A79&lt;'Données projet'!$A$114,$BV$205^A79,IF(A79='Données projet'!$A$114,'Données projet'!$B$114,BY78+BX79-CG78)))</f>
        <v>723.60000000000093</v>
      </c>
      <c r="BZ79" s="14">
        <f>BY79*VLOOKUP('Données projet'!$B$12,Paramètres!$A$1:$I$89,3,0)*VLOOKUP('Données projet'!$B$12,Paramètres!$A$1:$I$89,5,0)</f>
        <v>319.83120000000048</v>
      </c>
      <c r="CA79" s="14">
        <f t="shared" si="93"/>
        <v>75.318230461561853</v>
      </c>
      <c r="CB79" s="22">
        <f t="shared" si="64"/>
        <v>688.21859138722095</v>
      </c>
      <c r="CC79" s="60">
        <f t="shared" si="65"/>
        <v>981.55192472055433</v>
      </c>
      <c r="CD79" s="60">
        <f ca="1">AVERAGE(OFFSET($CC$3,0,0,'Données projet'!$E$12+1,1))-AVERAGE(OFFSET($H$3,0,0,'Données projet'!$E$12+1,1))</f>
        <v>401.84375324751227</v>
      </c>
      <c r="CE79" s="60">
        <f t="shared" si="94"/>
        <v>350.39368043404164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2.3276995365512212</v>
      </c>
      <c r="CM79" s="23">
        <f>EXP(-LN(2)/2)*CM78+(1-EXP(-LN(2)/2))/(LN(2)/2)*CG79*CJ79*VLOOKUP('Données projet'!$B$12,Paramètres!$A$1:$I$89,3,0)*0.475*44/12</f>
        <v>1.6610147048534625E-7</v>
      </c>
      <c r="CN79" s="24">
        <f t="shared" si="66"/>
        <v>2.3276997026526915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6.2061538461538532</v>
      </c>
      <c r="CT79" s="13">
        <f>IF('Données projet'!$A$140&gt;35,CT78+CS79-DB78,IF(A79&lt;'Données projet'!$A$140,$CQ$205^A79,IF(A79='Données projet'!$A$140,'Données projet'!$B$140,CT78+CS79-DB78)))</f>
        <v>285.34461538461539</v>
      </c>
      <c r="CU79" s="18">
        <f>CT79*VLOOKUP('Données projet'!$B$13,Paramètres!$A$1:$I$89,3,0)*VLOOKUP('Données projet'!$B$13,Paramètres!$A$1:$I$89,5,0)</f>
        <v>170.63608000000002</v>
      </c>
      <c r="CV79" s="14">
        <f t="shared" si="95"/>
        <v>43.232453366004947</v>
      </c>
      <c r="CW79" s="22">
        <f t="shared" si="67"/>
        <v>372.48769561245859</v>
      </c>
      <c r="CX79" s="60">
        <f t="shared" si="68"/>
        <v>665.82102894579191</v>
      </c>
      <c r="CY79" s="60">
        <f ca="1">AVERAGE(OFFSET($CX$3,0,0,'Données projet'!$E$13+1,1))-AVERAGE(OFFSET($H$3,0,0,'Données projet'!$E$13+1,1))</f>
        <v>232.73140429491525</v>
      </c>
      <c r="CZ79" s="60">
        <f t="shared" si="96"/>
        <v>201.02719152328638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2.2240800851663756</v>
      </c>
      <c r="DH79" s="23">
        <f>EXP(-LN(2)/2)*DH78+(1-EXP(-LN(2)/2))/(LN(2)/2)*DB79*DE79*VLOOKUP('Données projet'!$B$13,Paramètres!$A$1:$I$89,3,0)*0.475*44/12</f>
        <v>3.670242418435366E-7</v>
      </c>
      <c r="DI79" s="24">
        <f t="shared" si="69"/>
        <v>2.2240804521906172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3.4615384615384586</v>
      </c>
      <c r="DO79" s="13">
        <f>IF('Données projet'!$A$166&gt;35,DO78+DN79-DW78,IF(A79&lt;'Données projet'!$A$166,$DL$205^A79,IF(A79='Données projet'!$A$166,'Données projet'!$B$166,DO78+DN79-DW78)))</f>
        <v>162.43589743589729</v>
      </c>
      <c r="DP79" s="18">
        <f>DO79*VLOOKUP('Données projet'!$B$14,Paramètres!$A$1:$I$89,3,0)*VLOOKUP('Données projet'!$B$14,Paramètres!$A$1:$I$89,5,0)</f>
        <v>154.57399999999984</v>
      </c>
      <c r="DQ79" s="14">
        <f t="shared" si="97"/>
        <v>39.616219397474623</v>
      </c>
      <c r="DR79" s="22">
        <f t="shared" si="70"/>
        <v>338.21463211726802</v>
      </c>
      <c r="DS79" s="60">
        <f t="shared" si="71"/>
        <v>631.5479654506014</v>
      </c>
      <c r="DT79" s="60">
        <f ca="1">AVERAGE(OFFSET($DS$3,0,0,'Données projet'!$E$14+1,1))-AVERAGE(OFFSET($H$3,0,0,'Données projet'!$E$14+1,1))</f>
        <v>302.15577364214136</v>
      </c>
      <c r="DU79" s="60">
        <f t="shared" si="98"/>
        <v>197.15142751137051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4.3589743589743648</v>
      </c>
      <c r="EJ79" s="13">
        <f>IF('Données projet'!$A$192&gt;35,EJ78+EI79-ER78,IF(A79&lt;'Données projet'!$A$192,$EG$205^A79,IF(A79='Données projet'!$A$192,'Données projet'!$B$192,EJ78+EI79-ER78)))</f>
        <v>262.05128205128187</v>
      </c>
      <c r="EK79" s="18">
        <f>EJ79*VLOOKUP('Données projet'!$B$15,Paramètres!$A$1:$I$89,3,0)*VLOOKUP('Données projet'!$B$15,Paramètres!$A$1:$I$89,5,0)</f>
        <v>273.89599999999984</v>
      </c>
      <c r="EL79" s="14">
        <f t="shared" si="99"/>
        <v>65.675408141572404</v>
      </c>
      <c r="EM79" s="22">
        <f t="shared" si="73"/>
        <v>591.42020251323834</v>
      </c>
      <c r="EN79" s="60">
        <f t="shared" si="74"/>
        <v>884.75353584657159</v>
      </c>
      <c r="EO79" s="60">
        <f ca="1">AVERAGE(OFFSET($EN$3,0,0,'Données projet'!$E$15+1,1))-AVERAGE(OFFSET($H$3,0,0,'Données projet'!$E$15+1,1))</f>
        <v>493.70175665335978</v>
      </c>
      <c r="EP79" s="60">
        <f t="shared" si="100"/>
        <v>325.12357781685949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0" t="e">
        <f t="shared" si="77"/>
        <v>#N/A</v>
      </c>
      <c r="FJ79" s="60" t="e">
        <f ca="1">AVERAGE(OFFSET($FI$3,0,0,'Données projet'!$E$16+1,1))-AVERAGE(OFFSET($H$3,0,0,'Données projet'!$E$16+1,1))</f>
        <v>#N/A</v>
      </c>
      <c r="FK79" s="60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0" t="e">
        <f t="shared" si="80"/>
        <v>#N/A</v>
      </c>
      <c r="GE79" s="60" t="e">
        <f ca="1">AVERAGE(OFFSET($GD$3,0,0,'Données projet'!$E$17+1,1))-AVERAGE(OFFSET($H$3,0,0,'Données projet'!$E$17+1,1))</f>
        <v>#N/A</v>
      </c>
      <c r="GF79" s="60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5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8">
        <f t="shared" si="56"/>
        <v>256.66666666666669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0">
        <f t="shared" si="55"/>
        <v>293.3333333333353</v>
      </c>
      <c r="S80" s="60">
        <f ca="1">AVERAGE(OFFSET($R$3,0,0,'Données projet'!$E$9+1,1))-AVERAGE(OFFSET($H$3,0,0,'Données projet'!$E$9+1,1))</f>
        <v>260.02504691866199</v>
      </c>
      <c r="T80" s="60">
        <f t="shared" si="88"/>
        <v>270.11268336406368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3.9456651363751782</v>
      </c>
      <c r="AA80" s="23">
        <f>EXP(-LN(2)/25)*AA79+(1-EXP(-LN(2)/25))/(LN(2)/25)*Calculateur!V80*Calculateur!X80*VLOOKUP('Données projet'!$B$9,Paramètres!$A$1:$I$89,3,0)*0.475*44/12</f>
        <v>4.4654037231032051</v>
      </c>
      <c r="AB80" s="23">
        <f>EXP(-LN(2)/2)*AB79+(1-EXP(-LN(2)/2))/(LN(2)/2)*V80*Y80*VLOOKUP('Données projet'!$B$9,Paramètres!$A$1:$I$89,3,0)*0.475*44/12</f>
        <v>5.3441874710567334E-7</v>
      </c>
      <c r="AC80" s="24">
        <f t="shared" si="57"/>
        <v>8.4110693938971313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6</v>
      </c>
      <c r="AI80" s="14">
        <f>IF('Données projet'!$A$62&gt;35,AI79+AH80-AQ79,IF(A80&lt;'Données projet'!$A$62,$AF$205^A80,IF(A80='Données projet'!$A$62,'Données projet'!$B$62,AI79+AH80-AQ79)))</f>
        <v>263.99999999999989</v>
      </c>
      <c r="AJ80" s="14">
        <f>AI80*VLOOKUP('Données projet'!$B$10,Paramètres!$A$1:$I$89,3,0)*VLOOKUP('Données projet'!$B$10,Paramètres!$A$1:$I$89,5,0)</f>
        <v>267.69599999999991</v>
      </c>
      <c r="AK80" s="14">
        <f t="shared" si="89"/>
        <v>64.360058723585439</v>
      </c>
      <c r="AL80" s="22">
        <f t="shared" si="58"/>
        <v>578.33096894357777</v>
      </c>
      <c r="AM80" s="60">
        <f t="shared" si="59"/>
        <v>871.66430227691103</v>
      </c>
      <c r="AN80" s="60">
        <f ca="1">AVERAGE(OFFSET($AM$3,0,0,'Données projet'!$E$10+1,1))-AVERAGE(OFFSET($H$3,0,0,'Données projet'!$E$10+1,1))</f>
        <v>475.47920969424894</v>
      </c>
      <c r="AO80" s="60">
        <f t="shared" si="90"/>
        <v>271.73544012419364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4.8</v>
      </c>
      <c r="BD80" s="13">
        <f>IF('Données projet'!$A$88&gt;35,BD79+BC80-BL79,IF(A80&lt;'Données projet'!$A$88,$BA$205^A80,IF(A80='Données projet'!$A$88,'Données projet'!$B$88,BD79+BC80-BL79)))</f>
        <v>191.59999999999994</v>
      </c>
      <c r="BE80" s="14">
        <f>BD80*VLOOKUP('Données projet'!$B$11,Paramètres!$A$1:$I$89,3,0)*VLOOKUP('Données projet'!$B$11,Paramètres!$A$1:$I$89,5,0)</f>
        <v>173.35967999999994</v>
      </c>
      <c r="BF80" s="14">
        <f t="shared" si="91"/>
        <v>43.841620969901918</v>
      </c>
      <c r="BG80" s="22">
        <f t="shared" si="61"/>
        <v>378.29226585591238</v>
      </c>
      <c r="BH80" s="60">
        <f t="shared" si="62"/>
        <v>671.62559918924569</v>
      </c>
      <c r="BI80" s="60">
        <f ca="1">AVERAGE(OFFSET($BH$3,0,0,'Données projet'!$E$11+1,1))-AVERAGE(OFFSET($H$3,0,0,'Données projet'!$E$11+1,1))</f>
        <v>325.2649384779973</v>
      </c>
      <c r="BJ80" s="60">
        <f t="shared" si="92"/>
        <v>146.70159365068315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8.1999999999999993</v>
      </c>
      <c r="BY80" s="13">
        <f>IF('Données projet'!$A$114&gt;35,BY79+BX80-CG79,IF(A80&lt;'Données projet'!$A$114,$BV$205^A80,IF(A80='Données projet'!$A$114,'Données projet'!$B$114,BY79+BX80-CG79)))</f>
        <v>731.80000000000098</v>
      </c>
      <c r="BZ80" s="14">
        <f>BY80*VLOOKUP('Données projet'!$B$12,Paramètres!$A$1:$I$89,3,0)*VLOOKUP('Données projet'!$B$12,Paramètres!$A$1:$I$89,5,0)</f>
        <v>323.45560000000046</v>
      </c>
      <c r="CA80" s="14">
        <f t="shared" si="93"/>
        <v>76.071908366941528</v>
      </c>
      <c r="CB80" s="22">
        <f t="shared" si="64"/>
        <v>695.84374373909066</v>
      </c>
      <c r="CC80" s="60">
        <f t="shared" si="65"/>
        <v>989.17707707242403</v>
      </c>
      <c r="CD80" s="60">
        <f ca="1">AVERAGE(OFFSET($CC$3,0,0,'Données projet'!$E$12+1,1))-AVERAGE(OFFSET($H$3,0,0,'Données projet'!$E$12+1,1))</f>
        <v>401.84375324751227</v>
      </c>
      <c r="CE80" s="60">
        <f t="shared" si="94"/>
        <v>350.39368043404164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2.2640484703158292</v>
      </c>
      <c r="CM80" s="23">
        <f>EXP(-LN(2)/2)*CM79+(1-EXP(-LN(2)/2))/(LN(2)/2)*CG80*CJ80*VLOOKUP('Données projet'!$B$12,Paramètres!$A$1:$I$89,3,0)*0.475*44/12</f>
        <v>1.1745147614524552E-7</v>
      </c>
      <c r="CN80" s="24">
        <f t="shared" si="66"/>
        <v>2.2640485877673053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6.2061538461538532</v>
      </c>
      <c r="CT80" s="13">
        <f>IF('Données projet'!$A$140&gt;35,CT79+CS80-DB79,IF(A80&lt;'Données projet'!$A$140,$CQ$205^A80,IF(A80='Données projet'!$A$140,'Données projet'!$B$140,CT79+CS80-DB79)))</f>
        <v>291.55076923076922</v>
      </c>
      <c r="CU80" s="18">
        <f>CT80*VLOOKUP('Données projet'!$B$13,Paramètres!$A$1:$I$89,3,0)*VLOOKUP('Données projet'!$B$13,Paramètres!$A$1:$I$89,5,0)</f>
        <v>174.34736000000001</v>
      </c>
      <c r="CV80" s="14">
        <f t="shared" si="95"/>
        <v>44.062252079707392</v>
      </c>
      <c r="CW80" s="22">
        <f t="shared" si="67"/>
        <v>380.39674103882379</v>
      </c>
      <c r="CX80" s="60">
        <f t="shared" si="68"/>
        <v>673.73007437215711</v>
      </c>
      <c r="CY80" s="60">
        <f ca="1">AVERAGE(OFFSET($CX$3,0,0,'Données projet'!$E$13+1,1))-AVERAGE(OFFSET($H$3,0,0,'Données projet'!$E$13+1,1))</f>
        <v>232.73140429491525</v>
      </c>
      <c r="CZ80" s="60">
        <f t="shared" si="96"/>
        <v>201.02719152328638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2.1632624982782125</v>
      </c>
      <c r="DH80" s="23">
        <f>EXP(-LN(2)/2)*DH79+(1-EXP(-LN(2)/2))/(LN(2)/2)*DB80*DE80*VLOOKUP('Données projet'!$B$13,Paramètres!$A$1:$I$89,3,0)*0.475*44/12</f>
        <v>2.5952533026741613E-7</v>
      </c>
      <c r="DI80" s="24">
        <f t="shared" si="69"/>
        <v>2.1632627578035426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3.4615384615384586</v>
      </c>
      <c r="DO80" s="13">
        <f>IF('Données projet'!$A$166&gt;35,DO79+DN80-DW79,IF(A80&lt;'Données projet'!$A$166,$DL$205^A80,IF(A80='Données projet'!$A$166,'Données projet'!$B$166,DO79+DN80-DW79)))</f>
        <v>165.89743589743574</v>
      </c>
      <c r="DP80" s="18">
        <f>DO80*VLOOKUP('Données projet'!$B$14,Paramètres!$A$1:$I$89,3,0)*VLOOKUP('Données projet'!$B$14,Paramètres!$A$1:$I$89,5,0)</f>
        <v>157.86799999999985</v>
      </c>
      <c r="DQ80" s="14">
        <f t="shared" si="97"/>
        <v>40.361262064664395</v>
      </c>
      <c r="DR80" s="22">
        <f t="shared" si="70"/>
        <v>345.24929809595687</v>
      </c>
      <c r="DS80" s="60">
        <f t="shared" si="71"/>
        <v>638.58263142929013</v>
      </c>
      <c r="DT80" s="60">
        <f ca="1">AVERAGE(OFFSET($DS$3,0,0,'Données projet'!$E$14+1,1))-AVERAGE(OFFSET($H$3,0,0,'Données projet'!$E$14+1,1))</f>
        <v>302.15577364214136</v>
      </c>
      <c r="DU80" s="60">
        <f t="shared" si="98"/>
        <v>197.15142751137051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4.3589743589743648</v>
      </c>
      <c r="EJ80" s="13">
        <f>IF('Données projet'!$A$192&gt;35,EJ79+EI80-ER79,IF(A80&lt;'Données projet'!$A$192,$EG$205^A80,IF(A80='Données projet'!$A$192,'Données projet'!$B$192,EJ79+EI80-ER79)))</f>
        <v>266.41025641025624</v>
      </c>
      <c r="EK80" s="18">
        <f>EJ80*VLOOKUP('Données projet'!$B$15,Paramètres!$A$1:$I$89,3,0)*VLOOKUP('Données projet'!$B$15,Paramètres!$A$1:$I$89,5,0)</f>
        <v>278.45199999999988</v>
      </c>
      <c r="EL80" s="14">
        <f t="shared" si="99"/>
        <v>66.639766503676199</v>
      </c>
      <c r="EM80" s="22">
        <f t="shared" si="73"/>
        <v>601.03482666056914</v>
      </c>
      <c r="EN80" s="60">
        <f t="shared" si="74"/>
        <v>894.36815999390251</v>
      </c>
      <c r="EO80" s="60">
        <f ca="1">AVERAGE(OFFSET($EN$3,0,0,'Données projet'!$E$15+1,1))-AVERAGE(OFFSET($H$3,0,0,'Données projet'!$E$15+1,1))</f>
        <v>493.70175665335978</v>
      </c>
      <c r="EP80" s="60">
        <f t="shared" si="100"/>
        <v>325.12357781685949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0" t="e">
        <f t="shared" si="77"/>
        <v>#N/A</v>
      </c>
      <c r="FJ80" s="60" t="e">
        <f ca="1">AVERAGE(OFFSET($FI$3,0,0,'Données projet'!$E$16+1,1))-AVERAGE(OFFSET($H$3,0,0,'Données projet'!$E$16+1,1))</f>
        <v>#N/A</v>
      </c>
      <c r="FK80" s="60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0" t="e">
        <f t="shared" si="80"/>
        <v>#N/A</v>
      </c>
      <c r="GE80" s="60" t="e">
        <f ca="1">AVERAGE(OFFSET($GD$3,0,0,'Données projet'!$E$17+1,1))-AVERAGE(OFFSET($H$3,0,0,'Données projet'!$E$17+1,1))</f>
        <v>#N/A</v>
      </c>
      <c r="GF80" s="60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5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8">
        <f t="shared" si="56"/>
        <v>256.66666666666669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0">
        <f t="shared" si="55"/>
        <v>293.3333333333353</v>
      </c>
      <c r="S81" s="60">
        <f ca="1">AVERAGE(OFFSET($R$3,0,0,'Données projet'!$E$9+1,1))-AVERAGE(OFFSET($H$3,0,0,'Données projet'!$E$9+1,1))</f>
        <v>260.02504691866199</v>
      </c>
      <c r="T81" s="60">
        <f t="shared" si="88"/>
        <v>270.11268336406368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3.8682930496689605</v>
      </c>
      <c r="AA81" s="23">
        <f>EXP(-LN(2)/25)*AA80+(1-EXP(-LN(2)/25))/(LN(2)/25)*Calculateur!V81*Calculateur!X81*VLOOKUP('Données projet'!$B$9,Paramètres!$A$1:$I$89,3,0)*0.475*44/12</f>
        <v>4.3432970234695718</v>
      </c>
      <c r="AB81" s="23">
        <f>EXP(-LN(2)/2)*AB80+(1-EXP(-LN(2)/2))/(LN(2)/2)*V81*Y81*VLOOKUP('Données projet'!$B$9,Paramètres!$A$1:$I$89,3,0)*0.475*44/12</f>
        <v>3.7789112007164024E-7</v>
      </c>
      <c r="AC81" s="24">
        <f t="shared" si="57"/>
        <v>8.211590451029652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6</v>
      </c>
      <c r="AI81" s="14">
        <f>IF('Données projet'!$A$62&gt;35,AI80+AH81-AQ80,IF(A81&lt;'Données projet'!$A$62,$AF$205^A81,IF(A81='Données projet'!$A$62,'Données projet'!$B$62,AI80+AH81-AQ80)))</f>
        <v>269.99999999999989</v>
      </c>
      <c r="AJ81" s="14">
        <f>AI81*VLOOKUP('Données projet'!$B$10,Paramètres!$A$1:$I$89,3,0)*VLOOKUP('Données projet'!$B$10,Paramètres!$A$1:$I$89,5,0)</f>
        <v>273.77999999999992</v>
      </c>
      <c r="AK81" s="14">
        <f t="shared" si="89"/>
        <v>65.650830427167435</v>
      </c>
      <c r="AL81" s="22">
        <f t="shared" si="58"/>
        <v>591.17536299398307</v>
      </c>
      <c r="AM81" s="60">
        <f t="shared" si="59"/>
        <v>884.50869632731633</v>
      </c>
      <c r="AN81" s="60">
        <f ca="1">AVERAGE(OFFSET($AM$3,0,0,'Données projet'!$E$10+1,1))-AVERAGE(OFFSET($H$3,0,0,'Données projet'!$E$10+1,1))</f>
        <v>475.47920969424894</v>
      </c>
      <c r="AO81" s="60">
        <f t="shared" si="90"/>
        <v>271.73544012419364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4.8</v>
      </c>
      <c r="BD81" s="13">
        <f>IF('Données projet'!$A$88&gt;35,BD80+BC81-BL80,IF(A81&lt;'Données projet'!$A$88,$BA$205^A81,IF(A81='Données projet'!$A$88,'Données projet'!$B$88,BD80+BC81-BL80)))</f>
        <v>196.39999999999995</v>
      </c>
      <c r="BE81" s="14">
        <f>BD81*VLOOKUP('Données projet'!$B$11,Paramètres!$A$1:$I$89,3,0)*VLOOKUP('Données projet'!$B$11,Paramètres!$A$1:$I$89,5,0)</f>
        <v>177.70271999999994</v>
      </c>
      <c r="BF81" s="14">
        <f t="shared" si="91"/>
        <v>44.810702235717677</v>
      </c>
      <c r="BG81" s="22">
        <f t="shared" si="61"/>
        <v>387.54421039387483</v>
      </c>
      <c r="BH81" s="60">
        <f t="shared" si="62"/>
        <v>680.87754372720815</v>
      </c>
      <c r="BI81" s="60">
        <f ca="1">AVERAGE(OFFSET($BH$3,0,0,'Données projet'!$E$11+1,1))-AVERAGE(OFFSET($H$3,0,0,'Données projet'!$E$11+1,1))</f>
        <v>325.2649384779973</v>
      </c>
      <c r="BJ81" s="60">
        <f t="shared" si="92"/>
        <v>146.70159365068315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>
        <f>VLOOKUP(A81,'Données projet'!$A$113:$I$133,2,0)</f>
        <v>740</v>
      </c>
      <c r="BW81" s="13">
        <f>VLOOKUP(A81,'Données projet'!$A$113:$I$133,9,0)</f>
        <v>8.1999999999999993</v>
      </c>
      <c r="BX81" s="13">
        <f t="array" ref="BX81">INDEX(BW:BW,MIN(IF(ISNUMBER(BW81:BW277),ROW(BW81:BW277),"")))</f>
        <v>8.1999999999999993</v>
      </c>
      <c r="BY81" s="13">
        <f>IF('Données projet'!$A$114&gt;35,BY80+BX81-CG80,IF(A81&lt;'Données projet'!$A$114,$BV$205^A81,IF(A81='Données projet'!$A$114,'Données projet'!$B$114,BY80+BX81-CG80)))</f>
        <v>740.00000000000102</v>
      </c>
      <c r="BZ81" s="14">
        <f>BY81*VLOOKUP('Données projet'!$B$12,Paramètres!$A$1:$I$89,3,0)*VLOOKUP('Données projet'!$B$12,Paramètres!$A$1:$I$89,5,0)</f>
        <v>327.0800000000005</v>
      </c>
      <c r="CA81" s="14">
        <f t="shared" si="93"/>
        <v>76.824603876220081</v>
      </c>
      <c r="CB81" s="22">
        <f t="shared" si="64"/>
        <v>703.46718508441745</v>
      </c>
      <c r="CC81" s="60">
        <f t="shared" si="65"/>
        <v>996.80051841775071</v>
      </c>
      <c r="CD81" s="60">
        <f ca="1">AVERAGE(OFFSET($CC$3,0,0,'Données projet'!$E$12+1,1))-AVERAGE(OFFSET($H$3,0,0,'Données projet'!$E$12+1,1))</f>
        <v>401.84375324751227</v>
      </c>
      <c r="CE81" s="60">
        <f t="shared" si="94"/>
        <v>350.39368043404164</v>
      </c>
      <c r="CF81" s="16">
        <f>IF(ISNA(VLOOKUP(A81,'Données projet'!$A$113:$I$133,3,0)),0,VLOOKUP(A81,'Données projet'!$A$113:$I$133,3,0))</f>
        <v>7</v>
      </c>
      <c r="CG81" s="16">
        <f>IF(ISNA(VLOOKUP(A81,'Données projet'!$A$113:$I$133,4,0)),0,VLOOKUP(A81,'Données projet'!$A$113:$I$133,4,0))</f>
        <v>740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2.2021379458339085</v>
      </c>
      <c r="CM81" s="23">
        <f>EXP(-LN(2)/2)*CM80+(1-EXP(-LN(2)/2))/(LN(2)/2)*CG81*CJ81*VLOOKUP('Données projet'!$B$12,Paramètres!$A$1:$I$89,3,0)*0.475*44/12</f>
        <v>8.3050735242673138E-8</v>
      </c>
      <c r="CN81" s="24">
        <f t="shared" si="66"/>
        <v>2.2021380288846437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6.2061538461538532</v>
      </c>
      <c r="CT81" s="13">
        <f>IF('Données projet'!$A$140&gt;35,CT80+CS81-DB80,IF(A81&lt;'Données projet'!$A$140,$CQ$205^A81,IF(A81='Données projet'!$A$140,'Données projet'!$B$140,CT80+CS81-DB80)))</f>
        <v>297.75692307692304</v>
      </c>
      <c r="CU81" s="18">
        <f>CT81*VLOOKUP('Données projet'!$B$13,Paramètres!$A$1:$I$89,3,0)*VLOOKUP('Données projet'!$B$13,Paramètres!$A$1:$I$89,5,0)</f>
        <v>178.05864</v>
      </c>
      <c r="CV81" s="14">
        <f t="shared" si="95"/>
        <v>44.88999712263788</v>
      </c>
      <c r="CW81" s="22">
        <f t="shared" si="67"/>
        <v>388.30220965526092</v>
      </c>
      <c r="CX81" s="60">
        <f t="shared" si="68"/>
        <v>681.63554298859424</v>
      </c>
      <c r="CY81" s="60">
        <f ca="1">AVERAGE(OFFSET($CX$3,0,0,'Données projet'!$E$13+1,1))-AVERAGE(OFFSET($H$3,0,0,'Données projet'!$E$13+1,1))</f>
        <v>232.73140429491525</v>
      </c>
      <c r="CZ81" s="60">
        <f t="shared" si="96"/>
        <v>201.02719152328638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2.1041079715017643</v>
      </c>
      <c r="DH81" s="23">
        <f>EXP(-LN(2)/2)*DH80+(1-EXP(-LN(2)/2))/(LN(2)/2)*DB81*DE81*VLOOKUP('Données projet'!$B$13,Paramètres!$A$1:$I$89,3,0)*0.475*44/12</f>
        <v>1.835121209217683E-7</v>
      </c>
      <c r="DI81" s="24">
        <f t="shared" si="69"/>
        <v>2.1041081550138854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3.4615384615384586</v>
      </c>
      <c r="DO81" s="13">
        <f>IF('Données projet'!$A$166&gt;35,DO80+DN81-DW80,IF(A81&lt;'Données projet'!$A$166,$DL$205^A81,IF(A81='Données projet'!$A$166,'Données projet'!$B$166,DO80+DN81-DW80)))</f>
        <v>169.35897435897419</v>
      </c>
      <c r="DP81" s="18">
        <f>DO81*VLOOKUP('Données projet'!$B$14,Paramètres!$A$1:$I$89,3,0)*VLOOKUP('Données projet'!$B$14,Paramètres!$A$1:$I$89,5,0)</f>
        <v>161.16199999999984</v>
      </c>
      <c r="DQ81" s="14">
        <f t="shared" si="97"/>
        <v>41.104497267940978</v>
      </c>
      <c r="DR81" s="22">
        <f t="shared" si="70"/>
        <v>352.28081607499689</v>
      </c>
      <c r="DS81" s="60">
        <f t="shared" si="71"/>
        <v>645.61414940833015</v>
      </c>
      <c r="DT81" s="60">
        <f ca="1">AVERAGE(OFFSET($DS$3,0,0,'Données projet'!$E$14+1,1))-AVERAGE(OFFSET($H$3,0,0,'Données projet'!$E$14+1,1))</f>
        <v>302.15577364214136</v>
      </c>
      <c r="DU81" s="60">
        <f t="shared" si="98"/>
        <v>197.15142751137051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4.3589743589743648</v>
      </c>
      <c r="EJ81" s="13">
        <f>IF('Données projet'!$A$192&gt;35,EJ80+EI81-ER80,IF(A81&lt;'Données projet'!$A$192,$EG$205^A81,IF(A81='Données projet'!$A$192,'Données projet'!$B$192,EJ80+EI81-ER80)))</f>
        <v>270.7692307692306</v>
      </c>
      <c r="EK81" s="18">
        <f>EJ81*VLOOKUP('Données projet'!$B$15,Paramètres!$A$1:$I$89,3,0)*VLOOKUP('Données projet'!$B$15,Paramètres!$A$1:$I$89,5,0)</f>
        <v>283.00799999999987</v>
      </c>
      <c r="EL81" s="14">
        <f t="shared" si="99"/>
        <v>67.602289883832427</v>
      </c>
      <c r="EM81" s="22">
        <f t="shared" si="73"/>
        <v>610.64625488100796</v>
      </c>
      <c r="EN81" s="60">
        <f t="shared" si="74"/>
        <v>903.97958821434122</v>
      </c>
      <c r="EO81" s="60">
        <f ca="1">AVERAGE(OFFSET($EN$3,0,0,'Données projet'!$E$15+1,1))-AVERAGE(OFFSET($H$3,0,0,'Données projet'!$E$15+1,1))</f>
        <v>493.70175665335978</v>
      </c>
      <c r="EP81" s="60">
        <f t="shared" si="100"/>
        <v>325.12357781685949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0" t="e">
        <f t="shared" si="77"/>
        <v>#N/A</v>
      </c>
      <c r="FJ81" s="60" t="e">
        <f ca="1">AVERAGE(OFFSET($FI$3,0,0,'Données projet'!$E$16+1,1))-AVERAGE(OFFSET($H$3,0,0,'Données projet'!$E$16+1,1))</f>
        <v>#N/A</v>
      </c>
      <c r="FK81" s="60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0" t="e">
        <f t="shared" si="80"/>
        <v>#N/A</v>
      </c>
      <c r="GE81" s="60" t="e">
        <f ca="1">AVERAGE(OFFSET($GD$3,0,0,'Données projet'!$E$17+1,1))-AVERAGE(OFFSET($H$3,0,0,'Données projet'!$E$17+1,1))</f>
        <v>#N/A</v>
      </c>
      <c r="GF81" s="60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5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8">
        <f t="shared" si="56"/>
        <v>256.66666666666669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0">
        <f t="shared" si="55"/>
        <v>293.3333333333353</v>
      </c>
      <c r="S82" s="60">
        <f ca="1">AVERAGE(OFFSET($R$3,0,0,'Données projet'!$E$9+1,1))-AVERAGE(OFFSET($H$3,0,0,'Données projet'!$E$9+1,1))</f>
        <v>260.02504691866199</v>
      </c>
      <c r="T82" s="60">
        <f t="shared" si="88"/>
        <v>270.11268336406368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3.7924381823907387</v>
      </c>
      <c r="AA82" s="23">
        <f>EXP(-LN(2)/25)*AA81+(1-EXP(-LN(2)/25))/(LN(2)/25)*Calculateur!V82*Calculateur!X82*VLOOKUP('Données projet'!$B$9,Paramètres!$A$1:$I$89,3,0)*0.475*44/12</f>
        <v>4.2245293379587325</v>
      </c>
      <c r="AB82" s="23">
        <f>EXP(-LN(2)/2)*AB81+(1-EXP(-LN(2)/2))/(LN(2)/2)*V82*Y82*VLOOKUP('Données projet'!$B$9,Paramètres!$A$1:$I$89,3,0)*0.475*44/12</f>
        <v>2.6720937355283667E-7</v>
      </c>
      <c r="AC82" s="24">
        <f t="shared" si="57"/>
        <v>8.0169677875588441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v>
      </c>
      <c r="AI82" s="14">
        <f>IF('Données projet'!$A$62&gt;35,AI81+AH82-AQ81,IF(A82&lt;'Données projet'!$A$62,$AF$205^A82,IF(A82='Données projet'!$A$62,'Données projet'!$B$62,AI81+AH82-AQ81)))</f>
        <v>275.99999999999989</v>
      </c>
      <c r="AJ82" s="14">
        <f>AI82*VLOOKUP('Données projet'!$B$10,Paramètres!$A$1:$I$89,3,0)*VLOOKUP('Données projet'!$B$10,Paramètres!$A$1:$I$89,5,0)</f>
        <v>279.86399999999986</v>
      </c>
      <c r="AK82" s="14">
        <f t="shared" si="89"/>
        <v>66.938267358965007</v>
      </c>
      <c r="AL82" s="22">
        <f t="shared" si="58"/>
        <v>604.01394898353044</v>
      </c>
      <c r="AM82" s="60">
        <f t="shared" si="59"/>
        <v>897.34728231686381</v>
      </c>
      <c r="AN82" s="60">
        <f ca="1">AVERAGE(OFFSET($AM$3,0,0,'Données projet'!$E$10+1,1))-AVERAGE(OFFSET($H$3,0,0,'Données projet'!$E$10+1,1))</f>
        <v>475.47920969424894</v>
      </c>
      <c r="AO82" s="60">
        <f t="shared" si="90"/>
        <v>271.73544012419364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4.8</v>
      </c>
      <c r="BD82" s="13">
        <f>IF('Données projet'!$A$88&gt;35,BD81+BC82-BL81,IF(A82&lt;'Données projet'!$A$88,$BA$205^A82,IF(A82='Données projet'!$A$88,'Données projet'!$B$88,BD81+BC82-BL81)))</f>
        <v>201.19999999999996</v>
      </c>
      <c r="BE82" s="14">
        <f>BD82*VLOOKUP('Données projet'!$B$11,Paramètres!$A$1:$I$89,3,0)*VLOOKUP('Données projet'!$B$11,Paramètres!$A$1:$I$89,5,0)</f>
        <v>182.04575999999994</v>
      </c>
      <c r="BF82" s="14">
        <f t="shared" si="91"/>
        <v>45.777030280798314</v>
      </c>
      <c r="BG82" s="22">
        <f t="shared" si="61"/>
        <v>396.79135973905687</v>
      </c>
      <c r="BH82" s="60">
        <f t="shared" si="62"/>
        <v>690.12469307239019</v>
      </c>
      <c r="BI82" s="60">
        <f ca="1">AVERAGE(OFFSET($BH$3,0,0,'Données projet'!$E$11+1,1))-AVERAGE(OFFSET($H$3,0,0,'Données projet'!$E$11+1,1))</f>
        <v>325.2649384779973</v>
      </c>
      <c r="BJ82" s="60">
        <f t="shared" si="92"/>
        <v>146.70159365068315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1.0231815394945443E-12</v>
      </c>
      <c r="BZ82" s="14">
        <f>BY82*VLOOKUP('Données projet'!$B$12,Paramètres!$A$1:$I$89,3,0)*VLOOKUP('Données projet'!$B$12,Paramètres!$A$1:$I$89,5,0)</f>
        <v>4.5224624045658859E-13</v>
      </c>
      <c r="CA82" s="14">
        <f t="shared" si="93"/>
        <v>5.6995607121061449E-12</v>
      </c>
      <c r="CB82" s="22">
        <f t="shared" si="64"/>
        <v>1.0714397109046761E-11</v>
      </c>
      <c r="CC82" s="60">
        <f t="shared" si="65"/>
        <v>293.333333333344</v>
      </c>
      <c r="CD82" s="60">
        <f ca="1">AVERAGE(OFFSET($CC$3,0,0,'Données projet'!$E$12+1,1))-AVERAGE(OFFSET($H$3,0,0,'Données projet'!$E$12+1,1))</f>
        <v>401.84375324751227</v>
      </c>
      <c r="CE82" s="60">
        <f t="shared" si="94"/>
        <v>350.39368043404164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2.141920367899679</v>
      </c>
      <c r="CM82" s="23">
        <f>EXP(-LN(2)/2)*CM81+(1-EXP(-LN(2)/2))/(LN(2)/2)*CG82*CJ82*VLOOKUP('Données projet'!$B$12,Paramètres!$A$1:$I$89,3,0)*0.475*44/12</f>
        <v>5.8725738072622767E-8</v>
      </c>
      <c r="CN82" s="24">
        <f t="shared" si="66"/>
        <v>2.141920426625417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6.2061538461538532</v>
      </c>
      <c r="CT82" s="13">
        <f>IF('Données projet'!$A$140&gt;35,CT81+CS82-DB81,IF(A82&lt;'Données projet'!$A$140,$CQ$205^A82,IF(A82='Données projet'!$A$140,'Données projet'!$B$140,CT81+CS82-DB81)))</f>
        <v>303.96307692307687</v>
      </c>
      <c r="CU82" s="18">
        <f>CT82*VLOOKUP('Données projet'!$B$13,Paramètres!$A$1:$I$89,3,0)*VLOOKUP('Données projet'!$B$13,Paramètres!$A$1:$I$89,5,0)</f>
        <v>181.76991999999998</v>
      </c>
      <c r="CV82" s="14">
        <f t="shared" si="95"/>
        <v>45.715736231023754</v>
      </c>
      <c r="CW82" s="22">
        <f t="shared" si="67"/>
        <v>396.2041846023663</v>
      </c>
      <c r="CX82" s="60">
        <f t="shared" si="68"/>
        <v>689.53751793569961</v>
      </c>
      <c r="CY82" s="60">
        <f ca="1">AVERAGE(OFFSET($CX$3,0,0,'Données projet'!$E$13+1,1))-AVERAGE(OFFSET($H$3,0,0,'Données projet'!$E$13+1,1))</f>
        <v>232.73140429491525</v>
      </c>
      <c r="CZ82" s="60">
        <f t="shared" si="96"/>
        <v>201.02719152328638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2.0465710283708192</v>
      </c>
      <c r="DH82" s="23">
        <f>EXP(-LN(2)/2)*DH81+(1-EXP(-LN(2)/2))/(LN(2)/2)*DB82*DE82*VLOOKUP('Données projet'!$B$13,Paramètres!$A$1:$I$89,3,0)*0.475*44/12</f>
        <v>1.2976266513370807E-7</v>
      </c>
      <c r="DI82" s="24">
        <f t="shared" si="69"/>
        <v>2.0465711581334842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3.4615384615384586</v>
      </c>
      <c r="DO82" s="13">
        <f>IF('Données projet'!$A$166&gt;35,DO81+DN82-DW81,IF(A82&lt;'Données projet'!$A$166,$DL$205^A82,IF(A82='Données projet'!$A$166,'Données projet'!$B$166,DO81+DN82-DW81)))</f>
        <v>172.82051282051265</v>
      </c>
      <c r="DP82" s="18">
        <f>DO82*VLOOKUP('Données projet'!$B$14,Paramètres!$A$1:$I$89,3,0)*VLOOKUP('Données projet'!$B$14,Paramètres!$A$1:$I$89,5,0)</f>
        <v>164.45599999999985</v>
      </c>
      <c r="DQ82" s="14">
        <f t="shared" si="97"/>
        <v>41.845966207088495</v>
      </c>
      <c r="DR82" s="22">
        <f t="shared" si="70"/>
        <v>359.3092578106789</v>
      </c>
      <c r="DS82" s="60">
        <f t="shared" si="71"/>
        <v>652.64259114401216</v>
      </c>
      <c r="DT82" s="60">
        <f ca="1">AVERAGE(OFFSET($DS$3,0,0,'Données projet'!$E$14+1,1))-AVERAGE(OFFSET($H$3,0,0,'Données projet'!$E$14+1,1))</f>
        <v>302.15577364214136</v>
      </c>
      <c r="DU82" s="60">
        <f t="shared" si="98"/>
        <v>197.15142751137051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4.3589743589743648</v>
      </c>
      <c r="EJ82" s="13">
        <f>IF('Données projet'!$A$192&gt;35,EJ81+EI82-ER81,IF(A82&lt;'Données projet'!$A$192,$EG$205^A82,IF(A82='Données projet'!$A$192,'Données projet'!$B$192,EJ81+EI82-ER81)))</f>
        <v>275.12820512820497</v>
      </c>
      <c r="EK82" s="18">
        <f>EJ82*VLOOKUP('Données projet'!$B$15,Paramètres!$A$1:$I$89,3,0)*VLOOKUP('Données projet'!$B$15,Paramètres!$A$1:$I$89,5,0)</f>
        <v>287.56399999999985</v>
      </c>
      <c r="EL82" s="14">
        <f t="shared" si="99"/>
        <v>68.563011232963589</v>
      </c>
      <c r="EM82" s="22">
        <f t="shared" si="73"/>
        <v>620.25454456407806</v>
      </c>
      <c r="EN82" s="60">
        <f t="shared" si="74"/>
        <v>913.58787789741132</v>
      </c>
      <c r="EO82" s="60">
        <f ca="1">AVERAGE(OFFSET($EN$3,0,0,'Données projet'!$E$15+1,1))-AVERAGE(OFFSET($H$3,0,0,'Données projet'!$E$15+1,1))</f>
        <v>493.70175665335978</v>
      </c>
      <c r="EP82" s="60">
        <f t="shared" si="100"/>
        <v>325.12357781685949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0" t="e">
        <f t="shared" si="77"/>
        <v>#N/A</v>
      </c>
      <c r="FJ82" s="60" t="e">
        <f ca="1">AVERAGE(OFFSET($FI$3,0,0,'Données projet'!$E$16+1,1))-AVERAGE(OFFSET($H$3,0,0,'Données projet'!$E$16+1,1))</f>
        <v>#N/A</v>
      </c>
      <c r="FK82" s="60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0" t="e">
        <f t="shared" si="80"/>
        <v>#N/A</v>
      </c>
      <c r="GE82" s="60" t="e">
        <f ca="1">AVERAGE(OFFSET($GD$3,0,0,'Données projet'!$E$17+1,1))-AVERAGE(OFFSET($H$3,0,0,'Données projet'!$E$17+1,1))</f>
        <v>#N/A</v>
      </c>
      <c r="GF82" s="60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5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8">
        <f t="shared" si="56"/>
        <v>256.66666666666669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0">
        <f t="shared" si="55"/>
        <v>293.3333333333353</v>
      </c>
      <c r="S83" s="60">
        <f ca="1">AVERAGE(OFFSET($R$3,0,0,'Données projet'!$E$9+1,1))-AVERAGE(OFFSET($H$3,0,0,'Données projet'!$E$9+1,1))</f>
        <v>260.02504691866199</v>
      </c>
      <c r="T83" s="60">
        <f t="shared" si="88"/>
        <v>270.11268336406368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3.718070782792942</v>
      </c>
      <c r="AA83" s="23">
        <f>EXP(-LN(2)/25)*AA82+(1-EXP(-LN(2)/25))/(LN(2)/25)*Calculateur!V83*Calculateur!X83*VLOOKUP('Données projet'!$B$9,Paramètres!$A$1:$I$89,3,0)*0.475*44/12</f>
        <v>4.109009361053908</v>
      </c>
      <c r="AB83" s="23">
        <f>EXP(-LN(2)/2)*AB82+(1-EXP(-LN(2)/2))/(LN(2)/2)*V83*Y83*VLOOKUP('Données projet'!$B$9,Paramètres!$A$1:$I$89,3,0)*0.475*44/12</f>
        <v>1.8894556003582012E-7</v>
      </c>
      <c r="AC83" s="24">
        <f t="shared" si="57"/>
        <v>7.8270803327924092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282</v>
      </c>
      <c r="AG83" s="13">
        <f>VLOOKUP(A83,'Données projet'!$A$61:$I$81,9,0)</f>
        <v>6</v>
      </c>
      <c r="AH83" s="13">
        <f t="array" ref="AH83">INDEX(AG:AG,MIN(IF(ISNUMBER(AG83:AG279),ROW(AG83:AG279),"")))</f>
        <v>6</v>
      </c>
      <c r="AI83" s="14">
        <f>IF('Données projet'!$A$62&gt;35,AI82+AH83-AQ82,IF(A83&lt;'Données projet'!$A$62,$AF$205^A83,IF(A83='Données projet'!$A$62,'Données projet'!$B$62,AI82+AH83-AQ82)))</f>
        <v>281.99999999999989</v>
      </c>
      <c r="AJ83" s="14">
        <f>AI83*VLOOKUP('Données projet'!$B$10,Paramètres!$A$1:$I$89,3,0)*VLOOKUP('Données projet'!$B$10,Paramètres!$A$1:$I$89,5,0)</f>
        <v>285.94799999999992</v>
      </c>
      <c r="AK83" s="14">
        <f t="shared" si="89"/>
        <v>68.222450362989363</v>
      </c>
      <c r="AL83" s="22">
        <f t="shared" si="58"/>
        <v>616.84686771553959</v>
      </c>
      <c r="AM83" s="60">
        <f t="shared" si="59"/>
        <v>910.18020104887296</v>
      </c>
      <c r="AN83" s="60">
        <f ca="1">AVERAGE(OFFSET($AM$3,0,0,'Données projet'!$E$10+1,1))-AVERAGE(OFFSET($H$3,0,0,'Données projet'!$E$10+1,1))</f>
        <v>475.47920969424894</v>
      </c>
      <c r="AO83" s="60">
        <f t="shared" si="90"/>
        <v>271.73544012419364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42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206</v>
      </c>
      <c r="BB83" s="13">
        <f>VLOOKUP(A83,'Données projet'!$A$87:$I$107,9,0)</f>
        <v>4.8</v>
      </c>
      <c r="BC83" s="13">
        <f t="array" ref="BC83">INDEX(BB:BB,MIN(IF(ISNUMBER(BB83:BB279),ROW(BB83:BB279),"")))</f>
        <v>4.8</v>
      </c>
      <c r="BD83" s="13">
        <f>IF('Données projet'!$A$88&gt;35,BD82+BC83-BL82,IF(A83&lt;'Données projet'!$A$88,$BA$205^A83,IF(A83='Données projet'!$A$88,'Données projet'!$B$88,BD82+BC83-BL82)))</f>
        <v>205.99999999999997</v>
      </c>
      <c r="BE83" s="14">
        <f>BD83*VLOOKUP('Données projet'!$B$11,Paramètres!$A$1:$I$89,3,0)*VLOOKUP('Données projet'!$B$11,Paramètres!$A$1:$I$89,5,0)</f>
        <v>186.38879999999997</v>
      </c>
      <c r="BF83" s="14">
        <f t="shared" si="91"/>
        <v>46.740678346193498</v>
      </c>
      <c r="BG83" s="22">
        <f t="shared" si="61"/>
        <v>406.0338414529536</v>
      </c>
      <c r="BH83" s="60">
        <f t="shared" si="62"/>
        <v>699.36717478628691</v>
      </c>
      <c r="BI83" s="60">
        <f ca="1">AVERAGE(OFFSET($BH$3,0,0,'Données projet'!$E$11+1,1))-AVERAGE(OFFSET($H$3,0,0,'Données projet'!$E$11+1,1))</f>
        <v>325.2649384779973</v>
      </c>
      <c r="BJ83" s="60">
        <f t="shared" si="92"/>
        <v>146.70159365068315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28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1.0231815394945443E-12</v>
      </c>
      <c r="BZ83" s="14">
        <f>BY83*VLOOKUP('Données projet'!$B$12,Paramètres!$A$1:$I$89,3,0)*VLOOKUP('Données projet'!$B$12,Paramètres!$A$1:$I$89,5,0)</f>
        <v>4.5224624045658859E-13</v>
      </c>
      <c r="CA83" s="14">
        <f t="shared" si="93"/>
        <v>5.6995607121061449E-12</v>
      </c>
      <c r="CB83" s="22">
        <f t="shared" si="64"/>
        <v>1.0714397109046761E-11</v>
      </c>
      <c r="CC83" s="60">
        <f t="shared" si="65"/>
        <v>293.333333333344</v>
      </c>
      <c r="CD83" s="60">
        <f ca="1">AVERAGE(OFFSET($CC$3,0,0,'Données projet'!$E$12+1,1))-AVERAGE(OFFSET($H$3,0,0,'Données projet'!$E$12+1,1))</f>
        <v>401.84375324751227</v>
      </c>
      <c r="CE83" s="60">
        <f t="shared" si="94"/>
        <v>350.39368043404164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2.0833494428007655</v>
      </c>
      <c r="CM83" s="23">
        <f>EXP(-LN(2)/2)*CM82+(1-EXP(-LN(2)/2))/(LN(2)/2)*CG83*CJ83*VLOOKUP('Données projet'!$B$12,Paramètres!$A$1:$I$89,3,0)*0.475*44/12</f>
        <v>4.1525367621336576E-8</v>
      </c>
      <c r="CN83" s="24">
        <f t="shared" si="66"/>
        <v>2.0833494843261331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310.16923076923081</v>
      </c>
      <c r="CR83" s="13">
        <f>VLOOKUP(A83,'Données projet'!$A$139:$I$159,9,0)</f>
        <v>6.2061538461538532</v>
      </c>
      <c r="CS83" s="13">
        <f t="array" ref="CS83">INDEX(CR:CR,MIN(IF(ISNUMBER(CR83:CR279),ROW(CR83:CR279),"")))</f>
        <v>6.2061538461538532</v>
      </c>
      <c r="CT83" s="13">
        <f>IF('Données projet'!$A$140&gt;35,CT82+CS83-DB82,IF(A83&lt;'Données projet'!$A$140,$CQ$205^A83,IF(A83='Données projet'!$A$140,'Données projet'!$B$140,CT82+CS83-DB82)))</f>
        <v>310.16923076923069</v>
      </c>
      <c r="CU83" s="18">
        <f>CT83*VLOOKUP('Données projet'!$B$13,Paramètres!$A$1:$I$89,3,0)*VLOOKUP('Données projet'!$B$13,Paramètres!$A$1:$I$89,5,0)</f>
        <v>185.48119999999997</v>
      </c>
      <c r="CV83" s="14">
        <f t="shared" si="95"/>
        <v>46.539515080357305</v>
      </c>
      <c r="CW83" s="22">
        <f t="shared" si="67"/>
        <v>404.10274543162222</v>
      </c>
      <c r="CX83" s="60">
        <f t="shared" si="68"/>
        <v>697.43607876495548</v>
      </c>
      <c r="CY83" s="60">
        <f ca="1">AVERAGE(OFFSET($CX$3,0,0,'Données projet'!$E$13+1,1))-AVERAGE(OFFSET($H$3,0,0,'Données projet'!$E$13+1,1))</f>
        <v>232.73140429491525</v>
      </c>
      <c r="CZ83" s="60">
        <f t="shared" si="96"/>
        <v>201.02719152328638</v>
      </c>
      <c r="DA83" s="16">
        <f>IF(ISNA(VLOOKUP(A83,'Données projet'!$A$139:$I$159,3,0)),0,VLOOKUP(A83,'Données projet'!$A$139:$I$159,3,0))</f>
        <v>7</v>
      </c>
      <c r="DB83" s="16">
        <f>IF(ISNA(VLOOKUP(A83,'Données projet'!$A$139:$I$159,4,0)),0,VLOOKUP(A83,'Données projet'!$A$139:$I$159,4,0))</f>
        <v>310.16923076923081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1.9906074359755261</v>
      </c>
      <c r="DH83" s="23">
        <f>EXP(-LN(2)/2)*DH82+(1-EXP(-LN(2)/2))/(LN(2)/2)*DB83*DE83*VLOOKUP('Données projet'!$B$13,Paramètres!$A$1:$I$89,3,0)*0.475*44/12</f>
        <v>9.175606046088415E-8</v>
      </c>
      <c r="DI83" s="24">
        <f t="shared" si="69"/>
        <v>1.9906075277315867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176.28205128205127</v>
      </c>
      <c r="DM83" s="13">
        <f>VLOOKUP(A83,'Données projet'!$A$165:$I$185,9,0)</f>
        <v>3.4615384615384586</v>
      </c>
      <c r="DN83" s="13">
        <f t="array" ref="DN83">INDEX(DM:DM,MIN(IF(ISNUMBER(DM83:DM279),ROW(DM83:DM279),"")))</f>
        <v>3.4615384615384586</v>
      </c>
      <c r="DO83" s="13">
        <f>IF('Données projet'!$A$166&gt;35,DO82+DN83-DW82,IF(A83&lt;'Données projet'!$A$166,$DL$205^A83,IF(A83='Données projet'!$A$166,'Données projet'!$B$166,DO82+DN83-DW82)))</f>
        <v>176.2820512820511</v>
      </c>
      <c r="DP83" s="18">
        <f>DO83*VLOOKUP('Données projet'!$B$14,Paramètres!$A$1:$I$89,3,0)*VLOOKUP('Données projet'!$B$14,Paramètres!$A$1:$I$89,5,0)</f>
        <v>167.74999999999983</v>
      </c>
      <c r="DQ83" s="14">
        <f t="shared" si="97"/>
        <v>42.585708337083602</v>
      </c>
      <c r="DR83" s="22">
        <f t="shared" si="70"/>
        <v>366.33469202042028</v>
      </c>
      <c r="DS83" s="60">
        <f t="shared" si="71"/>
        <v>659.66802535375359</v>
      </c>
      <c r="DT83" s="60">
        <f ca="1">AVERAGE(OFFSET($DS$3,0,0,'Données projet'!$E$14+1,1))-AVERAGE(OFFSET($H$3,0,0,'Données projet'!$E$14+1,1))</f>
        <v>302.15577364214136</v>
      </c>
      <c r="DU83" s="60">
        <f t="shared" si="98"/>
        <v>197.15142751137051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279.4871794871795</v>
      </c>
      <c r="EH83" s="13">
        <f>VLOOKUP(A83,'Données projet'!$A$191:$I$211,9,0)</f>
        <v>4.3589743589743648</v>
      </c>
      <c r="EI83" s="13">
        <f t="array" ref="EI83">INDEX(EH:EH,MIN(IF(ISNUMBER(EH83:EH279),ROW(EH83:EH279),"")))</f>
        <v>4.3589743589743648</v>
      </c>
      <c r="EJ83" s="13">
        <f>IF('Données projet'!$A$192&gt;35,EJ82+EI83-ER82,IF(A83&lt;'Données projet'!$A$192,$EG$205^A83,IF(A83='Données projet'!$A$192,'Données projet'!$B$192,EJ82+EI83-ER82)))</f>
        <v>279.48717948717933</v>
      </c>
      <c r="EK83" s="18">
        <f>EJ83*VLOOKUP('Données projet'!$B$15,Paramètres!$A$1:$I$89,3,0)*VLOOKUP('Données projet'!$B$15,Paramètres!$A$1:$I$89,5,0)</f>
        <v>292.11999999999989</v>
      </c>
      <c r="EL83" s="14">
        <f t="shared" si="99"/>
        <v>69.521962397994116</v>
      </c>
      <c r="EM83" s="22">
        <f t="shared" si="73"/>
        <v>629.85975117650617</v>
      </c>
      <c r="EN83" s="60">
        <f t="shared" si="74"/>
        <v>923.19308450983954</v>
      </c>
      <c r="EO83" s="60">
        <f ca="1">AVERAGE(OFFSET($EN$3,0,0,'Données projet'!$E$15+1,1))-AVERAGE(OFFSET($H$3,0,0,'Données projet'!$E$15+1,1))</f>
        <v>493.70175665335978</v>
      </c>
      <c r="EP83" s="60">
        <f t="shared" si="100"/>
        <v>325.12357781685949</v>
      </c>
      <c r="EQ83" s="16">
        <f>IF(ISNA(VLOOKUP(A83,'Données projet'!$A$191:$I$211,3,0)),0,VLOOKUP(A83,'Données projet'!$A$191:$I$211,3,0))</f>
        <v>6</v>
      </c>
      <c r="ER83" s="16">
        <f>IF(ISNA(VLOOKUP(A83,'Données projet'!$A$191:$I$211,4,0)),0,VLOOKUP(A83,'Données projet'!$A$191:$I$211,4,0))</f>
        <v>22.435897435897434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0" t="e">
        <f t="shared" si="77"/>
        <v>#N/A</v>
      </c>
      <c r="FJ83" s="60" t="e">
        <f ca="1">AVERAGE(OFFSET($FI$3,0,0,'Données projet'!$E$16+1,1))-AVERAGE(OFFSET($H$3,0,0,'Données projet'!$E$16+1,1))</f>
        <v>#N/A</v>
      </c>
      <c r="FK83" s="60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0" t="e">
        <f t="shared" si="80"/>
        <v>#N/A</v>
      </c>
      <c r="GE83" s="60" t="e">
        <f ca="1">AVERAGE(OFFSET($GD$3,0,0,'Données projet'!$E$17+1,1))-AVERAGE(OFFSET($H$3,0,0,'Données projet'!$E$17+1,1))</f>
        <v>#N/A</v>
      </c>
      <c r="GF83" s="60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5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8">
        <f t="shared" si="56"/>
        <v>256.66666666666669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0">
        <f t="shared" si="55"/>
        <v>293.3333333333353</v>
      </c>
      <c r="S84" s="60">
        <f ca="1">AVERAGE(OFFSET($R$3,0,0,'Données projet'!$E$9+1,1))-AVERAGE(OFFSET($H$3,0,0,'Données projet'!$E$9+1,1))</f>
        <v>260.02504691866199</v>
      </c>
      <c r="T84" s="60">
        <f t="shared" si="88"/>
        <v>270.11268336406368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3.6451616825416235</v>
      </c>
      <c r="AA84" s="23">
        <f>EXP(-LN(2)/25)*AA83+(1-EXP(-LN(2)/25))/(LN(2)/25)*Calculateur!V84*Calculateur!X84*VLOOKUP('Données projet'!$B$9,Paramètres!$A$1:$I$89,3,0)*0.475*44/12</f>
        <v>3.996648283992478</v>
      </c>
      <c r="AB84" s="23">
        <f>EXP(-LN(2)/2)*AB83+(1-EXP(-LN(2)/2))/(LN(2)/2)*V84*Y84*VLOOKUP('Données projet'!$B$9,Paramètres!$A$1:$I$89,3,0)*0.475*44/12</f>
        <v>1.3360468677641834E-7</v>
      </c>
      <c r="AC84" s="24">
        <f t="shared" si="57"/>
        <v>7.6418101001387875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245.59999999999991</v>
      </c>
      <c r="AJ84" s="14">
        <f>AI84*VLOOKUP('Données projet'!$B$10,Paramètres!$A$1:$I$89,3,0)*VLOOKUP('Données projet'!$B$10,Paramètres!$A$1:$I$89,5,0)</f>
        <v>249.03839999999994</v>
      </c>
      <c r="AK84" s="14">
        <f t="shared" si="89"/>
        <v>60.379982523339947</v>
      </c>
      <c r="AL84" s="22">
        <f t="shared" si="58"/>
        <v>538.90368289481694</v>
      </c>
      <c r="AM84" s="60">
        <f t="shared" si="59"/>
        <v>832.2370162281502</v>
      </c>
      <c r="AN84" s="60">
        <f ca="1">AVERAGE(OFFSET($AM$3,0,0,'Données projet'!$E$10+1,1))-AVERAGE(OFFSET($H$3,0,0,'Données projet'!$E$10+1,1))</f>
        <v>475.47920969424894</v>
      </c>
      <c r="AO84" s="60">
        <f t="shared" si="90"/>
        <v>271.73544012419364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4.3</v>
      </c>
      <c r="BD84" s="13">
        <f>IF('Données projet'!$A$88&gt;35,BD83+BC84-BL83,IF(A84&lt;'Données projet'!$A$88,$BA$205^A84,IF(A84='Données projet'!$A$88,'Données projet'!$B$88,BD83+BC84-BL83)))</f>
        <v>182.29999999999998</v>
      </c>
      <c r="BE84" s="14">
        <f>BD84*VLOOKUP('Données projet'!$B$11,Paramètres!$A$1:$I$89,3,0)*VLOOKUP('Données projet'!$B$11,Paramètres!$A$1:$I$89,5,0)</f>
        <v>164.94503999999998</v>
      </c>
      <c r="BF84" s="14">
        <f t="shared" si="91"/>
        <v>41.955899409919233</v>
      </c>
      <c r="BG84" s="22">
        <f t="shared" si="61"/>
        <v>360.35246947227597</v>
      </c>
      <c r="BH84" s="60">
        <f t="shared" si="62"/>
        <v>653.68580280560923</v>
      </c>
      <c r="BI84" s="60">
        <f ca="1">AVERAGE(OFFSET($BH$3,0,0,'Données projet'!$E$11+1,1))-AVERAGE(OFFSET($H$3,0,0,'Données projet'!$E$11+1,1))</f>
        <v>325.2649384779973</v>
      </c>
      <c r="BJ84" s="60">
        <f t="shared" si="92"/>
        <v>146.70159365068315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1.0231815394945443E-12</v>
      </c>
      <c r="BZ84" s="14">
        <f>BY84*VLOOKUP('Données projet'!$B$12,Paramètres!$A$1:$I$89,3,0)*VLOOKUP('Données projet'!$B$12,Paramètres!$A$1:$I$89,5,0)</f>
        <v>4.5224624045658859E-13</v>
      </c>
      <c r="CA84" s="14">
        <f t="shared" si="93"/>
        <v>5.6995607121061449E-12</v>
      </c>
      <c r="CB84" s="22">
        <f t="shared" si="64"/>
        <v>1.0714397109046761E-11</v>
      </c>
      <c r="CC84" s="60">
        <f t="shared" si="65"/>
        <v>293.333333333344</v>
      </c>
      <c r="CD84" s="60">
        <f ca="1">AVERAGE(OFFSET($CC$3,0,0,'Données projet'!$E$12+1,1))-AVERAGE(OFFSET($H$3,0,0,'Données projet'!$E$12+1,1))</f>
        <v>401.84375324751227</v>
      </c>
      <c r="CE84" s="60">
        <f t="shared" si="94"/>
        <v>350.39368043404164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2.0263801427287929</v>
      </c>
      <c r="CM84" s="23">
        <f>EXP(-LN(2)/2)*CM83+(1-EXP(-LN(2)/2))/(LN(2)/2)*CG84*CJ84*VLOOKUP('Données projet'!$B$12,Paramètres!$A$1:$I$89,3,0)*0.475*44/12</f>
        <v>2.936286903631139E-8</v>
      </c>
      <c r="CN84" s="24">
        <f t="shared" si="66"/>
        <v>2.0263801720916619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-1.1368683772161603E-13</v>
      </c>
      <c r="CU84" s="18">
        <f>CT84*VLOOKUP('Données projet'!$B$13,Paramètres!$A$1:$I$89,3,0)*VLOOKUP('Données projet'!$B$13,Paramètres!$A$1:$I$89,5,0)</f>
        <v>-6.7984728957526396E-14</v>
      </c>
      <c r="CV84" s="14" t="e">
        <f t="shared" si="95"/>
        <v>#NUM!</v>
      </c>
      <c r="CW84" s="22" t="e">
        <f t="shared" si="67"/>
        <v>#NUM!</v>
      </c>
      <c r="CX84" s="60" t="e">
        <f t="shared" si="68"/>
        <v>#NUM!</v>
      </c>
      <c r="CY84" s="60">
        <f ca="1">AVERAGE(OFFSET($CX$3,0,0,'Données projet'!$E$13+1,1))-AVERAGE(OFFSET($H$3,0,0,'Données projet'!$E$13+1,1))</f>
        <v>232.73140429491525</v>
      </c>
      <c r="CZ84" s="60">
        <f t="shared" si="96"/>
        <v>201.02719152328638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1.9361741709572799</v>
      </c>
      <c r="DH84" s="23">
        <f>EXP(-LN(2)/2)*DH83+(1-EXP(-LN(2)/2))/(LN(2)/2)*DB84*DE84*VLOOKUP('Données projet'!$B$13,Paramètres!$A$1:$I$89,3,0)*0.475*44/12</f>
        <v>6.4881332566854033E-8</v>
      </c>
      <c r="DI84" s="24">
        <f t="shared" si="69"/>
        <v>1.9361742358386125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3.2051282051282044</v>
      </c>
      <c r="DO84" s="13">
        <f>IF('Données projet'!$A$166&gt;35,DO83+DN84-DW83,IF(A84&lt;'Données projet'!$A$166,$DL$205^A84,IF(A84='Données projet'!$A$166,'Données projet'!$B$166,DO83+DN84-DW83)))</f>
        <v>179.4871794871793</v>
      </c>
      <c r="DP84" s="18">
        <f>DO84*VLOOKUP('Données projet'!$B$14,Paramètres!$A$1:$I$89,3,0)*VLOOKUP('Données projet'!$B$14,Paramètres!$A$1:$I$89,5,0)</f>
        <v>170.79999999999984</v>
      </c>
      <c r="DQ84" s="14">
        <f t="shared" si="97"/>
        <v>43.26914798608847</v>
      </c>
      <c r="DR84" s="22">
        <f t="shared" si="70"/>
        <v>372.83709940910376</v>
      </c>
      <c r="DS84" s="60">
        <f t="shared" si="71"/>
        <v>666.17043274243701</v>
      </c>
      <c r="DT84" s="60">
        <f ca="1">AVERAGE(OFFSET($DS$3,0,0,'Données projet'!$E$14+1,1))-AVERAGE(OFFSET($H$3,0,0,'Données projet'!$E$14+1,1))</f>
        <v>302.15577364214136</v>
      </c>
      <c r="DU84" s="60">
        <f t="shared" si="98"/>
        <v>197.15142751137051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3.9743589743589722</v>
      </c>
      <c r="EJ84" s="13">
        <f>IF('Données projet'!$A$192&gt;35,EJ83+EI84-ER83,IF(A84&lt;'Données projet'!$A$192,$EG$205^A84,IF(A84='Données projet'!$A$192,'Données projet'!$B$192,EJ83+EI84-ER83)))</f>
        <v>261.02564102564082</v>
      </c>
      <c r="EK84" s="18">
        <f>EJ84*VLOOKUP('Données projet'!$B$15,Paramètres!$A$1:$I$89,3,0)*VLOOKUP('Données projet'!$B$15,Paramètres!$A$1:$I$89,5,0)</f>
        <v>272.82399999999984</v>
      </c>
      <c r="EL84" s="14">
        <f t="shared" si="99"/>
        <v>65.448229947121135</v>
      </c>
      <c r="EM84" s="22">
        <f t="shared" si="73"/>
        <v>589.15746715790237</v>
      </c>
      <c r="EN84" s="60">
        <f t="shared" si="74"/>
        <v>882.49080049123563</v>
      </c>
      <c r="EO84" s="60">
        <f ca="1">AVERAGE(OFFSET($EN$3,0,0,'Données projet'!$E$15+1,1))-AVERAGE(OFFSET($H$3,0,0,'Données projet'!$E$15+1,1))</f>
        <v>493.70175665335978</v>
      </c>
      <c r="EP84" s="60">
        <f t="shared" si="100"/>
        <v>325.12357781685949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0" t="e">
        <f t="shared" si="77"/>
        <v>#N/A</v>
      </c>
      <c r="FJ84" s="60" t="e">
        <f ca="1">AVERAGE(OFFSET($FI$3,0,0,'Données projet'!$E$16+1,1))-AVERAGE(OFFSET($H$3,0,0,'Données projet'!$E$16+1,1))</f>
        <v>#N/A</v>
      </c>
      <c r="FK84" s="60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0" t="e">
        <f t="shared" si="80"/>
        <v>#N/A</v>
      </c>
      <c r="GE84" s="60" t="e">
        <f ca="1">AVERAGE(OFFSET($GD$3,0,0,'Données projet'!$E$17+1,1))-AVERAGE(OFFSET($H$3,0,0,'Données projet'!$E$17+1,1))</f>
        <v>#N/A</v>
      </c>
      <c r="GF84" s="60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5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8">
        <f t="shared" si="56"/>
        <v>256.66666666666669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0">
        <f t="shared" si="55"/>
        <v>293.3333333333353</v>
      </c>
      <c r="S85" s="60">
        <f ca="1">AVERAGE(OFFSET($R$3,0,0,'Données projet'!$E$9+1,1))-AVERAGE(OFFSET($H$3,0,0,'Données projet'!$E$9+1,1))</f>
        <v>260.02504691866199</v>
      </c>
      <c r="T85" s="60">
        <f t="shared" si="88"/>
        <v>270.11268336406368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3.5736822852760732</v>
      </c>
      <c r="AA85" s="23">
        <f>EXP(-LN(2)/25)*AA84+(1-EXP(-LN(2)/25))/(LN(2)/25)*Calculateur!V85*Calculateur!X85*VLOOKUP('Données projet'!$B$9,Paramètres!$A$1:$I$89,3,0)*0.475*44/12</f>
        <v>3.8873597264921047</v>
      </c>
      <c r="AB85" s="23">
        <f>EXP(-LN(2)/2)*AB84+(1-EXP(-LN(2)/2))/(LN(2)/2)*V85*Y85*VLOOKUP('Données projet'!$B$9,Paramètres!$A$1:$I$89,3,0)*0.475*44/12</f>
        <v>9.4472780017910059E-8</v>
      </c>
      <c r="AC85" s="24">
        <f t="shared" si="57"/>
        <v>7.4610421062409582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251.1999999999999</v>
      </c>
      <c r="AJ85" s="14">
        <f>AI85*VLOOKUP('Données projet'!$B$10,Paramètres!$A$1:$I$89,3,0)*VLOOKUP('Données projet'!$B$10,Paramètres!$A$1:$I$89,5,0)</f>
        <v>254.71679999999992</v>
      </c>
      <c r="AK85" s="14">
        <f t="shared" si="89"/>
        <v>61.594871205031538</v>
      </c>
      <c r="AL85" s="22">
        <f t="shared" si="58"/>
        <v>550.9094940154298</v>
      </c>
      <c r="AM85" s="60">
        <f t="shared" si="59"/>
        <v>844.24282734876306</v>
      </c>
      <c r="AN85" s="60">
        <f ca="1">AVERAGE(OFFSET($AM$3,0,0,'Données projet'!$E$10+1,1))-AVERAGE(OFFSET($H$3,0,0,'Données projet'!$E$10+1,1))</f>
        <v>475.47920969424894</v>
      </c>
      <c r="AO85" s="60">
        <f t="shared" si="90"/>
        <v>271.73544012419364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4.3</v>
      </c>
      <c r="BD85" s="13">
        <f>IF('Données projet'!$A$88&gt;35,BD84+BC85-BL84,IF(A85&lt;'Données projet'!$A$88,$BA$205^A85,IF(A85='Données projet'!$A$88,'Données projet'!$B$88,BD84+BC85-BL84)))</f>
        <v>186.6</v>
      </c>
      <c r="BE85" s="14">
        <f>BD85*VLOOKUP('Données projet'!$B$11,Paramètres!$A$1:$I$89,3,0)*VLOOKUP('Données projet'!$B$11,Paramètres!$A$1:$I$89,5,0)</f>
        <v>168.83568</v>
      </c>
      <c r="BF85" s="14">
        <f t="shared" si="91"/>
        <v>42.829150426593394</v>
      </c>
      <c r="BG85" s="22">
        <f t="shared" si="61"/>
        <v>368.6495796596501</v>
      </c>
      <c r="BH85" s="60">
        <f t="shared" si="62"/>
        <v>661.98291299298342</v>
      </c>
      <c r="BI85" s="60">
        <f ca="1">AVERAGE(OFFSET($BH$3,0,0,'Données projet'!$E$11+1,1))-AVERAGE(OFFSET($H$3,0,0,'Données projet'!$E$11+1,1))</f>
        <v>325.2649384779973</v>
      </c>
      <c r="BJ85" s="60">
        <f t="shared" si="92"/>
        <v>146.70159365068315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1.0231815394945443E-12</v>
      </c>
      <c r="BZ85" s="14">
        <f>BY85*VLOOKUP('Données projet'!$B$12,Paramètres!$A$1:$I$89,3,0)*VLOOKUP('Données projet'!$B$12,Paramètres!$A$1:$I$89,5,0)</f>
        <v>4.5224624045658859E-13</v>
      </c>
      <c r="CA85" s="14">
        <f t="shared" si="93"/>
        <v>5.6995607121061449E-12</v>
      </c>
      <c r="CB85" s="22">
        <f t="shared" si="64"/>
        <v>1.0714397109046761E-11</v>
      </c>
      <c r="CC85" s="60">
        <f t="shared" si="65"/>
        <v>293.333333333344</v>
      </c>
      <c r="CD85" s="60">
        <f ca="1">AVERAGE(OFFSET($CC$3,0,0,'Données projet'!$E$12+1,1))-AVERAGE(OFFSET($H$3,0,0,'Données projet'!$E$12+1,1))</f>
        <v>401.84375324751227</v>
      </c>
      <c r="CE85" s="60">
        <f t="shared" si="94"/>
        <v>350.39368043404164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1.9709686711631738</v>
      </c>
      <c r="CM85" s="23">
        <f>EXP(-LN(2)/2)*CM84+(1-EXP(-LN(2)/2))/(LN(2)/2)*CG85*CJ85*VLOOKUP('Données projet'!$B$12,Paramètres!$A$1:$I$89,3,0)*0.475*44/12</f>
        <v>2.0762683810668291E-8</v>
      </c>
      <c r="CN85" s="24">
        <f t="shared" si="66"/>
        <v>1.9709686919258576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-1.1368683772161603E-13</v>
      </c>
      <c r="CU85" s="18">
        <f>CT85*VLOOKUP('Données projet'!$B$13,Paramètres!$A$1:$I$89,3,0)*VLOOKUP('Données projet'!$B$13,Paramètres!$A$1:$I$89,5,0)</f>
        <v>-6.7984728957526396E-14</v>
      </c>
      <c r="CV85" s="14" t="e">
        <f t="shared" si="95"/>
        <v>#NUM!</v>
      </c>
      <c r="CW85" s="22" t="e">
        <f t="shared" si="67"/>
        <v>#NUM!</v>
      </c>
      <c r="CX85" s="60" t="e">
        <f t="shared" si="68"/>
        <v>#NUM!</v>
      </c>
      <c r="CY85" s="60">
        <f ca="1">AVERAGE(OFFSET($CX$3,0,0,'Données projet'!$E$13+1,1))-AVERAGE(OFFSET($H$3,0,0,'Données projet'!$E$13+1,1))</f>
        <v>232.73140429491525</v>
      </c>
      <c r="CZ85" s="60">
        <f t="shared" si="96"/>
        <v>201.02719152328638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1.8832293864334786</v>
      </c>
      <c r="DH85" s="23">
        <f>EXP(-LN(2)/2)*DH84+(1-EXP(-LN(2)/2))/(LN(2)/2)*DB85*DE85*VLOOKUP('Données projet'!$B$13,Paramètres!$A$1:$I$89,3,0)*0.475*44/12</f>
        <v>4.5878030230442075E-8</v>
      </c>
      <c r="DI85" s="24">
        <f t="shared" si="69"/>
        <v>1.8832294323115089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3.2051282051282044</v>
      </c>
      <c r="DO85" s="13">
        <f>IF('Données projet'!$A$166&gt;35,DO84+DN85-DW84,IF(A85&lt;'Données projet'!$A$166,$DL$205^A85,IF(A85='Données projet'!$A$166,'Données projet'!$B$166,DO84+DN85-DW84)))</f>
        <v>182.69230769230751</v>
      </c>
      <c r="DP85" s="18">
        <f>DO85*VLOOKUP('Données projet'!$B$14,Paramètres!$A$1:$I$89,3,0)*VLOOKUP('Données projet'!$B$14,Paramètres!$A$1:$I$89,5,0)</f>
        <v>173.84999999999982</v>
      </c>
      <c r="DQ85" s="14">
        <f t="shared" si="97"/>
        <v>43.951168452592761</v>
      </c>
      <c r="DR85" s="22">
        <f t="shared" si="70"/>
        <v>379.33703505493207</v>
      </c>
      <c r="DS85" s="60">
        <f t="shared" si="71"/>
        <v>672.67036838826539</v>
      </c>
      <c r="DT85" s="60">
        <f ca="1">AVERAGE(OFFSET($DS$3,0,0,'Données projet'!$E$14+1,1))-AVERAGE(OFFSET($H$3,0,0,'Données projet'!$E$14+1,1))</f>
        <v>302.15577364214136</v>
      </c>
      <c r="DU85" s="60">
        <f t="shared" si="98"/>
        <v>197.15142751137051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3.9743589743589722</v>
      </c>
      <c r="EJ85" s="13">
        <f>IF('Données projet'!$A$192&gt;35,EJ84+EI85-ER84,IF(A85&lt;'Données projet'!$A$192,$EG$205^A85,IF(A85='Données projet'!$A$192,'Données projet'!$B$192,EJ84+EI85-ER84)))</f>
        <v>264.99999999999977</v>
      </c>
      <c r="EK85" s="18">
        <f>EJ85*VLOOKUP('Données projet'!$B$15,Paramètres!$A$1:$I$89,3,0)*VLOOKUP('Données projet'!$B$15,Paramètres!$A$1:$I$89,5,0)</f>
        <v>276.97799999999978</v>
      </c>
      <c r="EL85" s="14">
        <f t="shared" si="99"/>
        <v>66.327970633211649</v>
      </c>
      <c r="EM85" s="22">
        <f t="shared" si="73"/>
        <v>597.92456551950988</v>
      </c>
      <c r="EN85" s="60">
        <f t="shared" si="74"/>
        <v>891.25789885284325</v>
      </c>
      <c r="EO85" s="60">
        <f ca="1">AVERAGE(OFFSET($EN$3,0,0,'Données projet'!$E$15+1,1))-AVERAGE(OFFSET($H$3,0,0,'Données projet'!$E$15+1,1))</f>
        <v>493.70175665335978</v>
      </c>
      <c r="EP85" s="60">
        <f t="shared" si="100"/>
        <v>325.12357781685949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0" t="e">
        <f t="shared" si="77"/>
        <v>#N/A</v>
      </c>
      <c r="FJ85" s="60" t="e">
        <f ca="1">AVERAGE(OFFSET($FI$3,0,0,'Données projet'!$E$16+1,1))-AVERAGE(OFFSET($H$3,0,0,'Données projet'!$E$16+1,1))</f>
        <v>#N/A</v>
      </c>
      <c r="FK85" s="60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0" t="e">
        <f t="shared" si="80"/>
        <v>#N/A</v>
      </c>
      <c r="GE85" s="60" t="e">
        <f ca="1">AVERAGE(OFFSET($GD$3,0,0,'Données projet'!$E$17+1,1))-AVERAGE(OFFSET($H$3,0,0,'Données projet'!$E$17+1,1))</f>
        <v>#N/A</v>
      </c>
      <c r="GF85" s="60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5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8">
        <f t="shared" si="56"/>
        <v>256.66666666666669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0">
        <f t="shared" si="55"/>
        <v>293.3333333333353</v>
      </c>
      <c r="S86" s="60">
        <f ca="1">AVERAGE(OFFSET($R$3,0,0,'Données projet'!$E$9+1,1))-AVERAGE(OFFSET($H$3,0,0,'Données projet'!$E$9+1,1))</f>
        <v>260.02504691866199</v>
      </c>
      <c r="T86" s="60">
        <f t="shared" si="88"/>
        <v>270.11268336406368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3.5036045553927728</v>
      </c>
      <c r="AA86" s="23">
        <f>EXP(-LN(2)/25)*AA85+(1-EXP(-LN(2)/25))/(LN(2)/25)*Calculateur!V86*Calculateur!X86*VLOOKUP('Données projet'!$B$9,Paramètres!$A$1:$I$89,3,0)*0.475*44/12</f>
        <v>3.7810596703438146</v>
      </c>
      <c r="AB86" s="23">
        <f>EXP(-LN(2)/2)*AB85+(1-EXP(-LN(2)/2))/(LN(2)/2)*V86*Y86*VLOOKUP('Données projet'!$B$9,Paramètres!$A$1:$I$89,3,0)*0.475*44/12</f>
        <v>6.6802343388209168E-8</v>
      </c>
      <c r="AC86" s="24">
        <f t="shared" si="57"/>
        <v>7.2846642925389311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256.7999999999999</v>
      </c>
      <c r="AJ86" s="14">
        <f>AI86*VLOOKUP('Données projet'!$B$10,Paramètres!$A$1:$I$89,3,0)*VLOOKUP('Données projet'!$B$10,Paramètres!$A$1:$I$89,5,0)</f>
        <v>260.39519999999987</v>
      </c>
      <c r="AK86" s="14">
        <f t="shared" si="89"/>
        <v>62.806611177714331</v>
      </c>
      <c r="AL86" s="22">
        <f t="shared" si="58"/>
        <v>562.90982113451889</v>
      </c>
      <c r="AM86" s="60">
        <f t="shared" si="59"/>
        <v>856.24315446785226</v>
      </c>
      <c r="AN86" s="60">
        <f ca="1">AVERAGE(OFFSET($AM$3,0,0,'Données projet'!$E$10+1,1))-AVERAGE(OFFSET($H$3,0,0,'Données projet'!$E$10+1,1))</f>
        <v>475.47920969424894</v>
      </c>
      <c r="AO86" s="60">
        <f t="shared" si="90"/>
        <v>271.73544012419364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4.3</v>
      </c>
      <c r="BD86" s="13">
        <f>IF('Données projet'!$A$88&gt;35,BD85+BC86-BL85,IF(A86&lt;'Données projet'!$A$88,$BA$205^A86,IF(A86='Données projet'!$A$88,'Données projet'!$B$88,BD85+BC86-BL85)))</f>
        <v>190.9</v>
      </c>
      <c r="BE86" s="14">
        <f>BD86*VLOOKUP('Données projet'!$B$11,Paramètres!$A$1:$I$89,3,0)*VLOOKUP('Données projet'!$B$11,Paramètres!$A$1:$I$89,5,0)</f>
        <v>172.72631999999999</v>
      </c>
      <c r="BF86" s="14">
        <f t="shared" si="91"/>
        <v>43.700062028669137</v>
      </c>
      <c r="BG86" s="22">
        <f t="shared" si="61"/>
        <v>376.94261536659877</v>
      </c>
      <c r="BH86" s="60">
        <f t="shared" si="62"/>
        <v>670.27594869993209</v>
      </c>
      <c r="BI86" s="60">
        <f ca="1">AVERAGE(OFFSET($BH$3,0,0,'Données projet'!$E$11+1,1))-AVERAGE(OFFSET($H$3,0,0,'Données projet'!$E$11+1,1))</f>
        <v>325.2649384779973</v>
      </c>
      <c r="BJ86" s="60">
        <f t="shared" si="92"/>
        <v>146.70159365068315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1.0231815394945443E-12</v>
      </c>
      <c r="BZ86" s="14">
        <f>BY86*VLOOKUP('Données projet'!$B$12,Paramètres!$A$1:$I$89,3,0)*VLOOKUP('Données projet'!$B$12,Paramètres!$A$1:$I$89,5,0)</f>
        <v>4.5224624045658859E-13</v>
      </c>
      <c r="CA86" s="14">
        <f t="shared" si="93"/>
        <v>5.6995607121061449E-12</v>
      </c>
      <c r="CB86" s="22">
        <f t="shared" si="64"/>
        <v>1.0714397109046761E-11</v>
      </c>
      <c r="CC86" s="60">
        <f t="shared" si="65"/>
        <v>293.333333333344</v>
      </c>
      <c r="CD86" s="60">
        <f ca="1">AVERAGE(OFFSET($CC$3,0,0,'Données projet'!$E$12+1,1))-AVERAGE(OFFSET($H$3,0,0,'Données projet'!$E$12+1,1))</f>
        <v>401.84375324751227</v>
      </c>
      <c r="CE86" s="60">
        <f t="shared" si="94"/>
        <v>350.39368043404164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1.9170724292014791</v>
      </c>
      <c r="CM86" s="23">
        <f>EXP(-LN(2)/2)*CM85+(1-EXP(-LN(2)/2))/(LN(2)/2)*CG86*CJ86*VLOOKUP('Données projet'!$B$12,Paramètres!$A$1:$I$89,3,0)*0.475*44/12</f>
        <v>1.4681434518155697E-8</v>
      </c>
      <c r="CN86" s="24">
        <f t="shared" si="66"/>
        <v>1.9170724438829136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-1.1368683772161603E-13</v>
      </c>
      <c r="CU86" s="18">
        <f>CT86*VLOOKUP('Données projet'!$B$13,Paramètres!$A$1:$I$89,3,0)*VLOOKUP('Données projet'!$B$13,Paramètres!$A$1:$I$89,5,0)</f>
        <v>-6.7984728957526396E-14</v>
      </c>
      <c r="CV86" s="14" t="e">
        <f t="shared" si="95"/>
        <v>#NUM!</v>
      </c>
      <c r="CW86" s="22" t="e">
        <f t="shared" si="67"/>
        <v>#NUM!</v>
      </c>
      <c r="CX86" s="60" t="e">
        <f t="shared" si="68"/>
        <v>#NUM!</v>
      </c>
      <c r="CY86" s="60">
        <f ca="1">AVERAGE(OFFSET($CX$3,0,0,'Données projet'!$E$13+1,1))-AVERAGE(OFFSET($H$3,0,0,'Données projet'!$E$13+1,1))</f>
        <v>232.73140429491525</v>
      </c>
      <c r="CZ86" s="60">
        <f t="shared" si="96"/>
        <v>201.02719152328638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1.8317323798267258</v>
      </c>
      <c r="DH86" s="23">
        <f>EXP(-LN(2)/2)*DH85+(1-EXP(-LN(2)/2))/(LN(2)/2)*DB86*DE86*VLOOKUP('Données projet'!$B$13,Paramètres!$A$1:$I$89,3,0)*0.475*44/12</f>
        <v>3.2440666283427017E-8</v>
      </c>
      <c r="DI86" s="24">
        <f t="shared" si="69"/>
        <v>1.8317324122673921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3.2051282051282044</v>
      </c>
      <c r="DO86" s="13">
        <f>IF('Données projet'!$A$166&gt;35,DO85+DN86-DW85,IF(A86&lt;'Données projet'!$A$166,$DL$205^A86,IF(A86='Données projet'!$A$166,'Données projet'!$B$166,DO85+DN86-DW85)))</f>
        <v>185.89743589743571</v>
      </c>
      <c r="DP86" s="18">
        <f>DO86*VLOOKUP('Données projet'!$B$14,Paramètres!$A$1:$I$89,3,0)*VLOOKUP('Données projet'!$B$14,Paramètres!$A$1:$I$89,5,0)</f>
        <v>176.89999999999984</v>
      </c>
      <c r="DQ86" s="14">
        <f t="shared" si="97"/>
        <v>44.631797507164968</v>
      </c>
      <c r="DR86" s="22">
        <f t="shared" si="70"/>
        <v>385.8345473249787</v>
      </c>
      <c r="DS86" s="60">
        <f t="shared" si="71"/>
        <v>679.16788065831201</v>
      </c>
      <c r="DT86" s="60">
        <f ca="1">AVERAGE(OFFSET($DS$3,0,0,'Données projet'!$E$14+1,1))-AVERAGE(OFFSET($H$3,0,0,'Données projet'!$E$14+1,1))</f>
        <v>302.15577364214136</v>
      </c>
      <c r="DU86" s="60">
        <f t="shared" si="98"/>
        <v>197.15142751137051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3.9743589743589722</v>
      </c>
      <c r="EJ86" s="13">
        <f>IF('Données projet'!$A$192&gt;35,EJ85+EI86-ER85,IF(A86&lt;'Données projet'!$A$192,$EG$205^A86,IF(A86='Données projet'!$A$192,'Données projet'!$B$192,EJ85+EI86-ER85)))</f>
        <v>268.97435897435872</v>
      </c>
      <c r="EK86" s="18">
        <f>EJ86*VLOOKUP('Données projet'!$B$15,Paramètres!$A$1:$I$89,3,0)*VLOOKUP('Données projet'!$B$15,Paramètres!$A$1:$I$89,5,0)</f>
        <v>281.13199999999972</v>
      </c>
      <c r="EL86" s="14">
        <f t="shared" si="99"/>
        <v>67.206176818686799</v>
      </c>
      <c r="EM86" s="22">
        <f t="shared" si="73"/>
        <v>606.68899129254567</v>
      </c>
      <c r="EN86" s="60">
        <f t="shared" si="74"/>
        <v>900.02232462587904</v>
      </c>
      <c r="EO86" s="60">
        <f ca="1">AVERAGE(OFFSET($EN$3,0,0,'Données projet'!$E$15+1,1))-AVERAGE(OFFSET($H$3,0,0,'Données projet'!$E$15+1,1))</f>
        <v>493.70175665335978</v>
      </c>
      <c r="EP86" s="60">
        <f t="shared" si="100"/>
        <v>325.12357781685949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0" t="e">
        <f t="shared" si="77"/>
        <v>#N/A</v>
      </c>
      <c r="FJ86" s="60" t="e">
        <f ca="1">AVERAGE(OFFSET($FI$3,0,0,'Données projet'!$E$16+1,1))-AVERAGE(OFFSET($H$3,0,0,'Données projet'!$E$16+1,1))</f>
        <v>#N/A</v>
      </c>
      <c r="FK86" s="60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0" t="e">
        <f t="shared" si="80"/>
        <v>#N/A</v>
      </c>
      <c r="GE86" s="60" t="e">
        <f ca="1">AVERAGE(OFFSET($GD$3,0,0,'Données projet'!$E$17+1,1))-AVERAGE(OFFSET($H$3,0,0,'Données projet'!$E$17+1,1))</f>
        <v>#N/A</v>
      </c>
      <c r="GF86" s="60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5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8">
        <f t="shared" si="56"/>
        <v>256.66666666666669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0">
        <f t="shared" si="55"/>
        <v>293.3333333333353</v>
      </c>
      <c r="S87" s="60">
        <f ca="1">AVERAGE(OFFSET($R$3,0,0,'Données projet'!$E$9+1,1))-AVERAGE(OFFSET($H$3,0,0,'Données projet'!$E$9+1,1))</f>
        <v>260.02504691866199</v>
      </c>
      <c r="T87" s="60">
        <f t="shared" si="88"/>
        <v>270.11268336406368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3.4349010070492891</v>
      </c>
      <c r="AA87" s="23">
        <f>EXP(-LN(2)/25)*AA86+(1-EXP(-LN(2)/25))/(LN(2)/25)*Calculateur!V87*Calculateur!X87*VLOOKUP('Données projet'!$B$9,Paramètres!$A$1:$I$89,3,0)*0.475*44/12</f>
        <v>3.6776663948209767</v>
      </c>
      <c r="AB87" s="23">
        <f>EXP(-LN(2)/2)*AB86+(1-EXP(-LN(2)/2))/(LN(2)/2)*V87*Y87*VLOOKUP('Données projet'!$B$9,Paramètres!$A$1:$I$89,3,0)*0.475*44/12</f>
        <v>4.723639000895503E-8</v>
      </c>
      <c r="AC87" s="24">
        <f t="shared" si="57"/>
        <v>7.1125674491066553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262.39999999999992</v>
      </c>
      <c r="AJ87" s="14">
        <f>AI87*VLOOKUP('Données projet'!$B$10,Paramètres!$A$1:$I$89,3,0)*VLOOKUP('Données projet'!$B$10,Paramètres!$A$1:$I$89,5,0)</f>
        <v>266.07359999999994</v>
      </c>
      <c r="AK87" s="14">
        <f t="shared" si="89"/>
        <v>64.015279012301136</v>
      </c>
      <c r="AL87" s="22">
        <f t="shared" si="58"/>
        <v>574.90479761309098</v>
      </c>
      <c r="AM87" s="60">
        <f t="shared" si="59"/>
        <v>868.23813094642423</v>
      </c>
      <c r="AN87" s="60">
        <f ca="1">AVERAGE(OFFSET($AM$3,0,0,'Données projet'!$E$10+1,1))-AVERAGE(OFFSET($H$3,0,0,'Données projet'!$E$10+1,1))</f>
        <v>475.47920969424894</v>
      </c>
      <c r="AO87" s="60">
        <f t="shared" si="90"/>
        <v>271.73544012419364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4.3</v>
      </c>
      <c r="BD87" s="13">
        <f>IF('Données projet'!$A$88&gt;35,BD86+BC87-BL86,IF(A87&lt;'Données projet'!$A$88,$BA$205^A87,IF(A87='Données projet'!$A$88,'Données projet'!$B$88,BD86+BC87-BL86)))</f>
        <v>195.20000000000002</v>
      </c>
      <c r="BE87" s="14">
        <f>BD87*VLOOKUP('Données projet'!$B$11,Paramètres!$A$1:$I$89,3,0)*VLOOKUP('Données projet'!$B$11,Paramètres!$A$1:$I$89,5,0)</f>
        <v>176.61696000000001</v>
      </c>
      <c r="BF87" s="14">
        <f t="shared" si="91"/>
        <v>44.56869297787356</v>
      </c>
      <c r="BG87" s="22">
        <f t="shared" si="61"/>
        <v>385.23167893646314</v>
      </c>
      <c r="BH87" s="60">
        <f t="shared" si="62"/>
        <v>678.5650122697964</v>
      </c>
      <c r="BI87" s="60">
        <f ca="1">AVERAGE(OFFSET($BH$3,0,0,'Données projet'!$E$11+1,1))-AVERAGE(OFFSET($H$3,0,0,'Données projet'!$E$11+1,1))</f>
        <v>325.2649384779973</v>
      </c>
      <c r="BJ87" s="60">
        <f t="shared" si="92"/>
        <v>146.70159365068315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1.0231815394945443E-12</v>
      </c>
      <c r="BZ87" s="14">
        <f>BY87*VLOOKUP('Données projet'!$B$12,Paramètres!$A$1:$I$89,3,0)*VLOOKUP('Données projet'!$B$12,Paramètres!$A$1:$I$89,5,0)</f>
        <v>4.5224624045658859E-13</v>
      </c>
      <c r="CA87" s="14">
        <f t="shared" si="93"/>
        <v>5.6995607121061449E-12</v>
      </c>
      <c r="CB87" s="22">
        <f t="shared" si="64"/>
        <v>1.0714397109046761E-11</v>
      </c>
      <c r="CC87" s="60">
        <f t="shared" si="65"/>
        <v>293.333333333344</v>
      </c>
      <c r="CD87" s="60">
        <f ca="1">AVERAGE(OFFSET($CC$3,0,0,'Données projet'!$E$12+1,1))-AVERAGE(OFFSET($H$3,0,0,'Données projet'!$E$12+1,1))</f>
        <v>401.84375324751227</v>
      </c>
      <c r="CE87" s="60">
        <f t="shared" si="94"/>
        <v>350.39368043404164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1.8646499828105072</v>
      </c>
      <c r="CM87" s="23">
        <f>EXP(-LN(2)/2)*CM86+(1-EXP(-LN(2)/2))/(LN(2)/2)*CG87*CJ87*VLOOKUP('Données projet'!$B$12,Paramètres!$A$1:$I$89,3,0)*0.475*44/12</f>
        <v>1.0381341905334147E-8</v>
      </c>
      <c r="CN87" s="24">
        <f t="shared" si="66"/>
        <v>1.8646499931918492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-1.1368683772161603E-13</v>
      </c>
      <c r="CU87" s="18">
        <f>CT87*VLOOKUP('Données projet'!$B$13,Paramètres!$A$1:$I$89,3,0)*VLOOKUP('Données projet'!$B$13,Paramètres!$A$1:$I$89,5,0)</f>
        <v>-6.7984728957526396E-14</v>
      </c>
      <c r="CV87" s="14" t="e">
        <f t="shared" si="95"/>
        <v>#NUM!</v>
      </c>
      <c r="CW87" s="22" t="e">
        <f t="shared" si="67"/>
        <v>#NUM!</v>
      </c>
      <c r="CX87" s="60" t="e">
        <f t="shared" si="68"/>
        <v>#NUM!</v>
      </c>
      <c r="CY87" s="60">
        <f ca="1">AVERAGE(OFFSET($CX$3,0,0,'Données projet'!$E$13+1,1))-AVERAGE(OFFSET($H$3,0,0,'Données projet'!$E$13+1,1))</f>
        <v>232.73140429491525</v>
      </c>
      <c r="CZ87" s="60">
        <f t="shared" si="96"/>
        <v>201.02719152328638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1.7816435615737445</v>
      </c>
      <c r="DH87" s="23">
        <f>EXP(-LN(2)/2)*DH86+(1-EXP(-LN(2)/2))/(LN(2)/2)*DB87*DE87*VLOOKUP('Données projet'!$B$13,Paramètres!$A$1:$I$89,3,0)*0.475*44/12</f>
        <v>2.2939015115221037E-8</v>
      </c>
      <c r="DI87" s="24">
        <f t="shared" si="69"/>
        <v>1.7816435845127596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3.2051282051282044</v>
      </c>
      <c r="DO87" s="13">
        <f>IF('Données projet'!$A$166&gt;35,DO86+DN87-DW86,IF(A87&lt;'Données projet'!$A$166,$DL$205^A87,IF(A87='Données projet'!$A$166,'Données projet'!$B$166,DO86+DN87-DW86)))</f>
        <v>189.10256410256392</v>
      </c>
      <c r="DP87" s="18">
        <f>DO87*VLOOKUP('Données projet'!$B$14,Paramètres!$A$1:$I$89,3,0)*VLOOKUP('Données projet'!$B$14,Paramètres!$A$1:$I$89,5,0)</f>
        <v>179.94999999999982</v>
      </c>
      <c r="DQ87" s="14">
        <f t="shared" si="97"/>
        <v>45.311061907901454</v>
      </c>
      <c r="DR87" s="22">
        <f t="shared" si="70"/>
        <v>392.32968282292808</v>
      </c>
      <c r="DS87" s="60">
        <f t="shared" si="71"/>
        <v>685.66301615626139</v>
      </c>
      <c r="DT87" s="60">
        <f ca="1">AVERAGE(OFFSET($DS$3,0,0,'Données projet'!$E$14+1,1))-AVERAGE(OFFSET($H$3,0,0,'Données projet'!$E$14+1,1))</f>
        <v>302.15577364214136</v>
      </c>
      <c r="DU87" s="60">
        <f t="shared" si="98"/>
        <v>197.15142751137051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3.9743589743589722</v>
      </c>
      <c r="EJ87" s="13">
        <f>IF('Données projet'!$A$192&gt;35,EJ86+EI87-ER86,IF(A87&lt;'Données projet'!$A$192,$EG$205^A87,IF(A87='Données projet'!$A$192,'Données projet'!$B$192,EJ86+EI87-ER86)))</f>
        <v>272.94871794871767</v>
      </c>
      <c r="EK87" s="18">
        <f>EJ87*VLOOKUP('Données projet'!$B$15,Paramètres!$A$1:$I$89,3,0)*VLOOKUP('Données projet'!$B$15,Paramètres!$A$1:$I$89,5,0)</f>
        <v>285.28599999999972</v>
      </c>
      <c r="EL87" s="14">
        <f t="shared" si="99"/>
        <v>68.082873796613967</v>
      </c>
      <c r="EM87" s="22">
        <f t="shared" si="73"/>
        <v>615.45078852910217</v>
      </c>
      <c r="EN87" s="60">
        <f t="shared" si="74"/>
        <v>908.78412186243554</v>
      </c>
      <c r="EO87" s="60">
        <f ca="1">AVERAGE(OFFSET($EN$3,0,0,'Données projet'!$E$15+1,1))-AVERAGE(OFFSET($H$3,0,0,'Données projet'!$E$15+1,1))</f>
        <v>493.70175665335978</v>
      </c>
      <c r="EP87" s="60">
        <f t="shared" si="100"/>
        <v>325.12357781685949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0" t="e">
        <f t="shared" si="77"/>
        <v>#N/A</v>
      </c>
      <c r="FJ87" s="60" t="e">
        <f ca="1">AVERAGE(OFFSET($FI$3,0,0,'Données projet'!$E$16+1,1))-AVERAGE(OFFSET($H$3,0,0,'Données projet'!$E$16+1,1))</f>
        <v>#N/A</v>
      </c>
      <c r="FK87" s="60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0" t="e">
        <f t="shared" si="80"/>
        <v>#N/A</v>
      </c>
      <c r="GE87" s="60" t="e">
        <f ca="1">AVERAGE(OFFSET($GD$3,0,0,'Données projet'!$E$17+1,1))-AVERAGE(OFFSET($H$3,0,0,'Données projet'!$E$17+1,1))</f>
        <v>#N/A</v>
      </c>
      <c r="GF87" s="60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5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8">
        <f t="shared" si="56"/>
        <v>256.66666666666669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0">
        <f t="shared" si="55"/>
        <v>293.3333333333353</v>
      </c>
      <c r="S88" s="60">
        <f ca="1">AVERAGE(OFFSET($R$3,0,0,'Données projet'!$E$9+1,1))-AVERAGE(OFFSET($H$3,0,0,'Données projet'!$E$9+1,1))</f>
        <v>260.02504691866199</v>
      </c>
      <c r="T88" s="60">
        <f t="shared" si="88"/>
        <v>270.11268336406368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3.3675446933837945</v>
      </c>
      <c r="AA88" s="23">
        <f>EXP(-LN(2)/25)*AA87+(1-EXP(-LN(2)/25))/(LN(2)/25)*Calculateur!V88*Calculateur!X88*VLOOKUP('Données projet'!$B$9,Paramètres!$A$1:$I$89,3,0)*0.475*44/12</f>
        <v>3.5771004138545268</v>
      </c>
      <c r="AB88" s="23">
        <f>EXP(-LN(2)/2)*AB87+(1-EXP(-LN(2)/2))/(LN(2)/2)*V88*Y88*VLOOKUP('Données projet'!$B$9,Paramètres!$A$1:$I$89,3,0)*0.475*44/12</f>
        <v>3.3401171694104584E-8</v>
      </c>
      <c r="AC88" s="24">
        <f t="shared" si="57"/>
        <v>6.9446451406394925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267.99999999999994</v>
      </c>
      <c r="AJ88" s="14">
        <f>AI88*VLOOKUP('Données projet'!$B$10,Paramètres!$A$1:$I$89,3,0)*VLOOKUP('Données projet'!$B$10,Paramètres!$A$1:$I$89,5,0)</f>
        <v>271.75199999999995</v>
      </c>
      <c r="AK88" s="14">
        <f t="shared" si="89"/>
        <v>65.220947824724931</v>
      </c>
      <c r="AL88" s="22">
        <f t="shared" si="58"/>
        <v>586.89455079472907</v>
      </c>
      <c r="AM88" s="60">
        <f t="shared" si="59"/>
        <v>880.22788412806244</v>
      </c>
      <c r="AN88" s="60">
        <f ca="1">AVERAGE(OFFSET($AM$3,0,0,'Données projet'!$E$10+1,1))-AVERAGE(OFFSET($H$3,0,0,'Données projet'!$E$10+1,1))</f>
        <v>475.47920969424894</v>
      </c>
      <c r="AO88" s="60">
        <f t="shared" si="90"/>
        <v>271.73544012419364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4.3</v>
      </c>
      <c r="BD88" s="13">
        <f>IF('Données projet'!$A$88&gt;35,BD87+BC88-BL87,IF(A88&lt;'Données projet'!$A$88,$BA$205^A88,IF(A88='Données projet'!$A$88,'Données projet'!$B$88,BD87+BC88-BL87)))</f>
        <v>199.50000000000003</v>
      </c>
      <c r="BE88" s="14">
        <f>BD88*VLOOKUP('Données projet'!$B$11,Paramètres!$A$1:$I$89,3,0)*VLOOKUP('Données projet'!$B$11,Paramètres!$A$1:$I$89,5,0)</f>
        <v>180.50760000000002</v>
      </c>
      <c r="BF88" s="14">
        <f t="shared" si="91"/>
        <v>45.435099299216873</v>
      </c>
      <c r="BG88" s="22">
        <f t="shared" si="61"/>
        <v>393.51686794613602</v>
      </c>
      <c r="BH88" s="60">
        <f t="shared" si="62"/>
        <v>686.85020127946927</v>
      </c>
      <c r="BI88" s="60">
        <f ca="1">AVERAGE(OFFSET($BH$3,0,0,'Données projet'!$E$11+1,1))-AVERAGE(OFFSET($H$3,0,0,'Données projet'!$E$11+1,1))</f>
        <v>325.2649384779973</v>
      </c>
      <c r="BJ88" s="60">
        <f t="shared" si="92"/>
        <v>146.70159365068315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1.0231815394945443E-12</v>
      </c>
      <c r="BZ88" s="14">
        <f>BY88*VLOOKUP('Données projet'!$B$12,Paramètres!$A$1:$I$89,3,0)*VLOOKUP('Données projet'!$B$12,Paramètres!$A$1:$I$89,5,0)</f>
        <v>4.5224624045658859E-13</v>
      </c>
      <c r="CA88" s="14">
        <f t="shared" si="93"/>
        <v>5.6995607121061449E-12</v>
      </c>
      <c r="CB88" s="22">
        <f t="shared" si="64"/>
        <v>1.0714397109046761E-11</v>
      </c>
      <c r="CC88" s="60">
        <f t="shared" si="65"/>
        <v>293.333333333344</v>
      </c>
      <c r="CD88" s="60">
        <f ca="1">AVERAGE(OFFSET($CC$3,0,0,'Données projet'!$E$12+1,1))-AVERAGE(OFFSET($H$3,0,0,'Données projet'!$E$12+1,1))</f>
        <v>401.84375324751227</v>
      </c>
      <c r="CE88" s="60">
        <f t="shared" si="94"/>
        <v>350.39368043404164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1.8136610309728729</v>
      </c>
      <c r="CM88" s="23">
        <f>EXP(-LN(2)/2)*CM87+(1-EXP(-LN(2)/2))/(LN(2)/2)*CG88*CJ88*VLOOKUP('Données projet'!$B$12,Paramètres!$A$1:$I$89,3,0)*0.475*44/12</f>
        <v>7.34071725907785E-9</v>
      </c>
      <c r="CN88" s="24">
        <f t="shared" si="66"/>
        <v>1.8136610383135903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-1.1368683772161603E-13</v>
      </c>
      <c r="CU88" s="18">
        <f>CT88*VLOOKUP('Données projet'!$B$13,Paramètres!$A$1:$I$89,3,0)*VLOOKUP('Données projet'!$B$13,Paramètres!$A$1:$I$89,5,0)</f>
        <v>-6.7984728957526396E-14</v>
      </c>
      <c r="CV88" s="14" t="e">
        <f t="shared" si="95"/>
        <v>#NUM!</v>
      </c>
      <c r="CW88" s="22" t="e">
        <f t="shared" si="67"/>
        <v>#NUM!</v>
      </c>
      <c r="CX88" s="60" t="e">
        <f t="shared" si="68"/>
        <v>#NUM!</v>
      </c>
      <c r="CY88" s="60">
        <f ca="1">AVERAGE(OFFSET($CX$3,0,0,'Données projet'!$E$13+1,1))-AVERAGE(OFFSET($H$3,0,0,'Données projet'!$E$13+1,1))</f>
        <v>232.73140429491525</v>
      </c>
      <c r="CZ88" s="60">
        <f t="shared" si="96"/>
        <v>201.02719152328638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1.7329244246899476</v>
      </c>
      <c r="DH88" s="23">
        <f>EXP(-LN(2)/2)*DH87+(1-EXP(-LN(2)/2))/(LN(2)/2)*DB88*DE88*VLOOKUP('Données projet'!$B$13,Paramètres!$A$1:$I$89,3,0)*0.475*44/12</f>
        <v>1.6220333141713508E-8</v>
      </c>
      <c r="DI88" s="24">
        <f t="shared" si="69"/>
        <v>1.7329244409102806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192.30769230769229</v>
      </c>
      <c r="DM88" s="13">
        <f>VLOOKUP(A88,'Données projet'!$A$165:$I$185,9,0)</f>
        <v>3.2051282051282044</v>
      </c>
      <c r="DN88" s="13">
        <f t="array" ref="DN88">INDEX(DM:DM,MIN(IF(ISNUMBER(DM88:DM284),ROW(DM88:DM284),"")))</f>
        <v>3.2051282051282044</v>
      </c>
      <c r="DO88" s="13">
        <f>IF('Données projet'!$A$166&gt;35,DO87+DN88-DW87,IF(A88&lt;'Données projet'!$A$166,$DL$205^A88,IF(A88='Données projet'!$A$166,'Données projet'!$B$166,DO87+DN88-DW87)))</f>
        <v>192.30769230769212</v>
      </c>
      <c r="DP88" s="18">
        <f>DO88*VLOOKUP('Données projet'!$B$14,Paramètres!$A$1:$I$89,3,0)*VLOOKUP('Données projet'!$B$14,Paramètres!$A$1:$I$89,5,0)</f>
        <v>182.99999999999983</v>
      </c>
      <c r="DQ88" s="14">
        <f t="shared" si="97"/>
        <v>45.988987453862549</v>
      </c>
      <c r="DR88" s="22">
        <f t="shared" si="70"/>
        <v>398.82248648214363</v>
      </c>
      <c r="DS88" s="60">
        <f t="shared" si="71"/>
        <v>692.15581981547689</v>
      </c>
      <c r="DT88" s="60">
        <f ca="1">AVERAGE(OFFSET($DS$3,0,0,'Données projet'!$E$14+1,1))-AVERAGE(OFFSET($H$3,0,0,'Données projet'!$E$14+1,1))</f>
        <v>302.15577364214136</v>
      </c>
      <c r="DU88" s="60">
        <f t="shared" si="98"/>
        <v>197.15142751137051</v>
      </c>
      <c r="DV88" s="16">
        <f>IF(ISNA(VLOOKUP(A88,'Données projet'!$A$165:$I$185,3,0)),0,VLOOKUP(A88,'Données projet'!$A$165:$I$185,3,0))</f>
        <v>7</v>
      </c>
      <c r="DW88" s="16">
        <f>IF(ISNA(VLOOKUP(A88,'Données projet'!$A$165:$I$185,4,0)),0,VLOOKUP(A88,'Données projet'!$A$165:$I$185,4,0))</f>
        <v>21.794871794871796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276.92307692307691</v>
      </c>
      <c r="EH88" s="13">
        <f>VLOOKUP(A88,'Données projet'!$A$191:$I$211,9,0)</f>
        <v>3.9743589743589722</v>
      </c>
      <c r="EI88" s="13">
        <f t="array" ref="EI88">INDEX(EH:EH,MIN(IF(ISNUMBER(EH88:EH284),ROW(EH88:EH284),"")))</f>
        <v>3.9743589743589722</v>
      </c>
      <c r="EJ88" s="13">
        <f>IF('Données projet'!$A$192&gt;35,EJ87+EI88-ER87,IF(A88&lt;'Données projet'!$A$192,$EG$205^A88,IF(A88='Données projet'!$A$192,'Données projet'!$B$192,EJ87+EI88-ER87)))</f>
        <v>276.92307692307662</v>
      </c>
      <c r="EK88" s="18">
        <f>EJ88*VLOOKUP('Données projet'!$B$15,Paramètres!$A$1:$I$89,3,0)*VLOOKUP('Données projet'!$B$15,Paramètres!$A$1:$I$89,5,0)</f>
        <v>289.43999999999971</v>
      </c>
      <c r="EL88" s="14">
        <f t="shared" si="99"/>
        <v>68.958086081193898</v>
      </c>
      <c r="EM88" s="22">
        <f t="shared" si="73"/>
        <v>624.20999992474549</v>
      </c>
      <c r="EN88" s="60">
        <f t="shared" si="74"/>
        <v>917.54333325807875</v>
      </c>
      <c r="EO88" s="60">
        <f ca="1">AVERAGE(OFFSET($EN$3,0,0,'Données projet'!$E$15+1,1))-AVERAGE(OFFSET($H$3,0,0,'Données projet'!$E$15+1,1))</f>
        <v>493.70175665335978</v>
      </c>
      <c r="EP88" s="60">
        <f t="shared" si="100"/>
        <v>325.12357781685949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0" t="e">
        <f t="shared" si="77"/>
        <v>#N/A</v>
      </c>
      <c r="FJ88" s="60" t="e">
        <f ca="1">AVERAGE(OFFSET($FI$3,0,0,'Données projet'!$E$16+1,1))-AVERAGE(OFFSET($H$3,0,0,'Données projet'!$E$16+1,1))</f>
        <v>#N/A</v>
      </c>
      <c r="FK88" s="60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0" t="e">
        <f t="shared" si="80"/>
        <v>#N/A</v>
      </c>
      <c r="GE88" s="60" t="e">
        <f ca="1">AVERAGE(OFFSET($GD$3,0,0,'Données projet'!$E$17+1,1))-AVERAGE(OFFSET($H$3,0,0,'Données projet'!$E$17+1,1))</f>
        <v>#N/A</v>
      </c>
      <c r="GF88" s="60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5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8">
        <f t="shared" si="56"/>
        <v>256.66666666666669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0">
        <f t="shared" si="55"/>
        <v>293.3333333333353</v>
      </c>
      <c r="S89" s="60">
        <f ca="1">AVERAGE(OFFSET($R$3,0,0,'Données projet'!$E$9+1,1))-AVERAGE(OFFSET($H$3,0,0,'Données projet'!$E$9+1,1))</f>
        <v>260.02504691866199</v>
      </c>
      <c r="T89" s="60">
        <f t="shared" si="88"/>
        <v>270.11268336406368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3.3015091959459855</v>
      </c>
      <c r="AA89" s="23">
        <f>EXP(-LN(2)/25)*AA88+(1-EXP(-LN(2)/25))/(LN(2)/25)*Calculateur!V89*Calculateur!X89*VLOOKUP('Données projet'!$B$9,Paramètres!$A$1:$I$89,3,0)*0.475*44/12</f>
        <v>3.4792844149261395</v>
      </c>
      <c r="AB89" s="23">
        <f>EXP(-LN(2)/2)*AB88+(1-EXP(-LN(2)/2))/(LN(2)/2)*V89*Y89*VLOOKUP('Données projet'!$B$9,Paramètres!$A$1:$I$89,3,0)*0.475*44/12</f>
        <v>2.3618195004477515E-8</v>
      </c>
      <c r="AC89" s="24">
        <f t="shared" si="57"/>
        <v>6.7807936344903208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5.6</v>
      </c>
      <c r="AI89" s="14">
        <f>IF('Données projet'!$A$62&gt;35,AI88+AH89-AQ88,IF(A89&lt;'Données projet'!$A$62,$AF$205^A89,IF(A89='Données projet'!$A$62,'Données projet'!$B$62,AI88+AH89-AQ88)))</f>
        <v>273.59999999999997</v>
      </c>
      <c r="AJ89" s="14">
        <f>AI89*VLOOKUP('Données projet'!$B$10,Paramètres!$A$1:$I$89,3,0)*VLOOKUP('Données projet'!$B$10,Paramètres!$A$1:$I$89,5,0)</f>
        <v>277.43039999999996</v>
      </c>
      <c r="AK89" s="14">
        <f t="shared" si="89"/>
        <v>66.423687500715673</v>
      </c>
      <c r="AL89" s="22">
        <f t="shared" si="58"/>
        <v>598.87920239707967</v>
      </c>
      <c r="AM89" s="60">
        <f t="shared" si="59"/>
        <v>892.21253573041304</v>
      </c>
      <c r="AN89" s="60">
        <f ca="1">AVERAGE(OFFSET($AM$3,0,0,'Données projet'!$E$10+1,1))-AVERAGE(OFFSET($H$3,0,0,'Données projet'!$E$10+1,1))</f>
        <v>475.47920969424894</v>
      </c>
      <c r="AO89" s="60">
        <f t="shared" si="90"/>
        <v>271.73544012419364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4.3</v>
      </c>
      <c r="BD89" s="13">
        <f>IF('Données projet'!$A$88&gt;35,BD88+BC89-BL88,IF(A89&lt;'Données projet'!$A$88,$BA$205^A89,IF(A89='Données projet'!$A$88,'Données projet'!$B$88,BD88+BC89-BL88)))</f>
        <v>203.80000000000004</v>
      </c>
      <c r="BE89" s="14">
        <f>BD89*VLOOKUP('Données projet'!$B$11,Paramètres!$A$1:$I$89,3,0)*VLOOKUP('Données projet'!$B$11,Paramètres!$A$1:$I$89,5,0)</f>
        <v>184.39824000000004</v>
      </c>
      <c r="BF89" s="14">
        <f t="shared" si="91"/>
        <v>46.299334464645916</v>
      </c>
      <c r="BG89" s="22">
        <f t="shared" si="61"/>
        <v>401.79827552592502</v>
      </c>
      <c r="BH89" s="60">
        <f t="shared" si="62"/>
        <v>695.13160885925834</v>
      </c>
      <c r="BI89" s="60">
        <f ca="1">AVERAGE(OFFSET($BH$3,0,0,'Données projet'!$E$11+1,1))-AVERAGE(OFFSET($H$3,0,0,'Données projet'!$E$11+1,1))</f>
        <v>325.2649384779973</v>
      </c>
      <c r="BJ89" s="60">
        <f t="shared" si="92"/>
        <v>146.70159365068315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1.0231815394945443E-12</v>
      </c>
      <c r="BZ89" s="14">
        <f>BY89*VLOOKUP('Données projet'!$B$12,Paramètres!$A$1:$I$89,3,0)*VLOOKUP('Données projet'!$B$12,Paramètres!$A$1:$I$89,5,0)</f>
        <v>4.5224624045658859E-13</v>
      </c>
      <c r="CA89" s="14">
        <f t="shared" si="93"/>
        <v>5.6995607121061449E-12</v>
      </c>
      <c r="CB89" s="22">
        <f t="shared" si="64"/>
        <v>1.0714397109046761E-11</v>
      </c>
      <c r="CC89" s="60">
        <f t="shared" si="65"/>
        <v>293.333333333344</v>
      </c>
      <c r="CD89" s="60">
        <f ca="1">AVERAGE(OFFSET($CC$3,0,0,'Données projet'!$E$12+1,1))-AVERAGE(OFFSET($H$3,0,0,'Données projet'!$E$12+1,1))</f>
        <v>401.84375324751227</v>
      </c>
      <c r="CE89" s="60">
        <f t="shared" si="94"/>
        <v>350.39368043404164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1.7640663747046312</v>
      </c>
      <c r="CM89" s="23">
        <f>EXP(-LN(2)/2)*CM88+(1-EXP(-LN(2)/2))/(LN(2)/2)*CG89*CJ89*VLOOKUP('Données projet'!$B$12,Paramètres!$A$1:$I$89,3,0)*0.475*44/12</f>
        <v>5.1906709526670744E-9</v>
      </c>
      <c r="CN89" s="24">
        <f t="shared" si="66"/>
        <v>1.7640663798953022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-1.1368683772161603E-13</v>
      </c>
      <c r="CU89" s="18">
        <f>CT89*VLOOKUP('Données projet'!$B$13,Paramètres!$A$1:$I$89,3,0)*VLOOKUP('Données projet'!$B$13,Paramètres!$A$1:$I$89,5,0)</f>
        <v>-6.7984728957526396E-14</v>
      </c>
      <c r="CV89" s="14" t="e">
        <f t="shared" si="95"/>
        <v>#NUM!</v>
      </c>
      <c r="CW89" s="22" t="e">
        <f t="shared" si="67"/>
        <v>#NUM!</v>
      </c>
      <c r="CX89" s="60" t="e">
        <f t="shared" si="68"/>
        <v>#NUM!</v>
      </c>
      <c r="CY89" s="60">
        <f ca="1">AVERAGE(OFFSET($CX$3,0,0,'Données projet'!$E$13+1,1))-AVERAGE(OFFSET($H$3,0,0,'Données projet'!$E$13+1,1))</f>
        <v>232.73140429491525</v>
      </c>
      <c r="CZ89" s="60">
        <f t="shared" si="96"/>
        <v>201.02719152328638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1.6855375151662662</v>
      </c>
      <c r="DH89" s="23">
        <f>EXP(-LN(2)/2)*DH88+(1-EXP(-LN(2)/2))/(LN(2)/2)*DB89*DE89*VLOOKUP('Données projet'!$B$13,Paramètres!$A$1:$I$89,3,0)*0.475*44/12</f>
        <v>1.1469507557610519E-8</v>
      </c>
      <c r="DI89" s="24">
        <f t="shared" si="69"/>
        <v>1.6855375266357737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3.2051282051282044</v>
      </c>
      <c r="DO89" s="13">
        <f>IF('Données projet'!$A$166&gt;35,DO88+DN89-DW88,IF(A89&lt;'Données projet'!$A$166,$DL$205^A89,IF(A89='Données projet'!$A$166,'Données projet'!$B$166,DO88+DN89-DW88)))</f>
        <v>173.71794871794853</v>
      </c>
      <c r="DP89" s="18">
        <f>DO89*VLOOKUP('Données projet'!$B$14,Paramètres!$A$1:$I$89,3,0)*VLOOKUP('Données projet'!$B$14,Paramètres!$A$1:$I$89,5,0)</f>
        <v>165.30999999999983</v>
      </c>
      <c r="DQ89" s="14">
        <f t="shared" si="97"/>
        <v>42.03791546317931</v>
      </c>
      <c r="DR89" s="22">
        <f t="shared" si="70"/>
        <v>361.13095276503697</v>
      </c>
      <c r="DS89" s="60">
        <f t="shared" si="71"/>
        <v>654.46428609837028</v>
      </c>
      <c r="DT89" s="60">
        <f ca="1">AVERAGE(OFFSET($DS$3,0,0,'Données projet'!$E$14+1,1))-AVERAGE(OFFSET($H$3,0,0,'Données projet'!$E$14+1,1))</f>
        <v>302.15577364214136</v>
      </c>
      <c r="DU89" s="60">
        <f t="shared" si="98"/>
        <v>197.15142751137051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3.8461538461538454</v>
      </c>
      <c r="EJ89" s="13">
        <f>IF('Données projet'!$A$192&gt;35,EJ88+EI89-ER88,IF(A89&lt;'Données projet'!$A$192,$EG$205^A89,IF(A89='Données projet'!$A$192,'Données projet'!$B$192,EJ88+EI89-ER88)))</f>
        <v>280.76923076923049</v>
      </c>
      <c r="EK89" s="18">
        <f>EJ89*VLOOKUP('Données projet'!$B$15,Paramètres!$A$1:$I$89,3,0)*VLOOKUP('Données projet'!$B$15,Paramètres!$A$1:$I$89,5,0)</f>
        <v>293.45999999999975</v>
      </c>
      <c r="EL89" s="14">
        <f t="shared" si="99"/>
        <v>69.803674480051043</v>
      </c>
      <c r="EM89" s="22">
        <f t="shared" si="73"/>
        <v>632.68423305275508</v>
      </c>
      <c r="EN89" s="60">
        <f t="shared" si="74"/>
        <v>926.01756638608845</v>
      </c>
      <c r="EO89" s="60">
        <f ca="1">AVERAGE(OFFSET($EN$3,0,0,'Données projet'!$E$15+1,1))-AVERAGE(OFFSET($H$3,0,0,'Données projet'!$E$15+1,1))</f>
        <v>493.70175665335978</v>
      </c>
      <c r="EP89" s="60">
        <f t="shared" si="100"/>
        <v>325.12357781685949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0" t="e">
        <f t="shared" si="77"/>
        <v>#N/A</v>
      </c>
      <c r="FJ89" s="60" t="e">
        <f ca="1">AVERAGE(OFFSET($FI$3,0,0,'Données projet'!$E$16+1,1))-AVERAGE(OFFSET($H$3,0,0,'Données projet'!$E$16+1,1))</f>
        <v>#N/A</v>
      </c>
      <c r="FK89" s="60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0" t="e">
        <f t="shared" si="80"/>
        <v>#N/A</v>
      </c>
      <c r="GE89" s="60" t="e">
        <f ca="1">AVERAGE(OFFSET($GD$3,0,0,'Données projet'!$E$17+1,1))-AVERAGE(OFFSET($H$3,0,0,'Données projet'!$E$17+1,1))</f>
        <v>#N/A</v>
      </c>
      <c r="GF89" s="60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5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8">
        <f t="shared" si="56"/>
        <v>256.66666666666669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0">
        <f t="shared" si="55"/>
        <v>293.3333333333353</v>
      </c>
      <c r="S90" s="60">
        <f ca="1">AVERAGE(OFFSET($R$3,0,0,'Données projet'!$E$9+1,1))-AVERAGE(OFFSET($H$3,0,0,'Données projet'!$E$9+1,1))</f>
        <v>260.02504691866199</v>
      </c>
      <c r="T90" s="60">
        <f t="shared" si="88"/>
        <v>270.11268336406368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3.2367686143352556</v>
      </c>
      <c r="AA90" s="23">
        <f>EXP(-LN(2)/25)*AA89+(1-EXP(-LN(2)/25))/(LN(2)/25)*Calculateur!V90*Calculateur!X90*VLOOKUP('Données projet'!$B$9,Paramètres!$A$1:$I$89,3,0)*0.475*44/12</f>
        <v>3.3841431996323688</v>
      </c>
      <c r="AB90" s="23">
        <f>EXP(-LN(2)/2)*AB89+(1-EXP(-LN(2)/2))/(LN(2)/2)*V90*Y90*VLOOKUP('Données projet'!$B$9,Paramètres!$A$1:$I$89,3,0)*0.475*44/12</f>
        <v>1.6700585847052292E-8</v>
      </c>
      <c r="AC90" s="24">
        <f t="shared" si="57"/>
        <v>6.6209118306682102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5.6</v>
      </c>
      <c r="AI90" s="14">
        <f>IF('Données projet'!$A$62&gt;35,AI89+AH90-AQ89,IF(A90&lt;'Données projet'!$A$62,$AF$205^A90,IF(A90='Données projet'!$A$62,'Données projet'!$B$62,AI89+AH90-AQ89)))</f>
        <v>279.2</v>
      </c>
      <c r="AJ90" s="14">
        <f>AI90*VLOOKUP('Données projet'!$B$10,Paramètres!$A$1:$I$89,3,0)*VLOOKUP('Données projet'!$B$10,Paramètres!$A$1:$I$89,5,0)</f>
        <v>283.10879999999997</v>
      </c>
      <c r="AK90" s="14">
        <f t="shared" si="89"/>
        <v>67.623564901653808</v>
      </c>
      <c r="AL90" s="22">
        <f t="shared" si="58"/>
        <v>610.85886887038032</v>
      </c>
      <c r="AM90" s="60">
        <f t="shared" si="59"/>
        <v>904.19220220371358</v>
      </c>
      <c r="AN90" s="60">
        <f ca="1">AVERAGE(OFFSET($AM$3,0,0,'Données projet'!$E$10+1,1))-AVERAGE(OFFSET($H$3,0,0,'Données projet'!$E$10+1,1))</f>
        <v>475.47920969424894</v>
      </c>
      <c r="AO90" s="60">
        <f t="shared" si="90"/>
        <v>271.73544012419364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4.3</v>
      </c>
      <c r="BD90" s="13">
        <f>IF('Données projet'!$A$88&gt;35,BD89+BC90-BL89,IF(A90&lt;'Données projet'!$A$88,$BA$205^A90,IF(A90='Données projet'!$A$88,'Données projet'!$B$88,BD89+BC90-BL89)))</f>
        <v>208.10000000000005</v>
      </c>
      <c r="BE90" s="14">
        <f>BD90*VLOOKUP('Données projet'!$B$11,Paramètres!$A$1:$I$89,3,0)*VLOOKUP('Données projet'!$B$11,Paramètres!$A$1:$I$89,5,0)</f>
        <v>188.28888000000003</v>
      </c>
      <c r="BF90" s="14">
        <f t="shared" si="91"/>
        <v>47.161449560760389</v>
      </c>
      <c r="BG90" s="22">
        <f t="shared" si="61"/>
        <v>410.07599065165772</v>
      </c>
      <c r="BH90" s="60">
        <f t="shared" si="62"/>
        <v>703.40932398499103</v>
      </c>
      <c r="BI90" s="60">
        <f ca="1">AVERAGE(OFFSET($BH$3,0,0,'Données projet'!$E$11+1,1))-AVERAGE(OFFSET($H$3,0,0,'Données projet'!$E$11+1,1))</f>
        <v>325.2649384779973</v>
      </c>
      <c r="BJ90" s="60">
        <f t="shared" si="92"/>
        <v>146.70159365068315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1.0231815394945443E-12</v>
      </c>
      <c r="BZ90" s="14">
        <f>BY90*VLOOKUP('Données projet'!$B$12,Paramètres!$A$1:$I$89,3,0)*VLOOKUP('Données projet'!$B$12,Paramètres!$A$1:$I$89,5,0)</f>
        <v>4.5224624045658859E-13</v>
      </c>
      <c r="CA90" s="14">
        <f t="shared" si="93"/>
        <v>5.6995607121061449E-12</v>
      </c>
      <c r="CB90" s="22">
        <f t="shared" si="64"/>
        <v>1.0714397109046761E-11</v>
      </c>
      <c r="CC90" s="60">
        <f t="shared" si="65"/>
        <v>293.333333333344</v>
      </c>
      <c r="CD90" s="60">
        <f ca="1">AVERAGE(OFFSET($CC$3,0,0,'Données projet'!$E$12+1,1))-AVERAGE(OFFSET($H$3,0,0,'Données projet'!$E$12+1,1))</f>
        <v>401.84375324751227</v>
      </c>
      <c r="CE90" s="60">
        <f t="shared" si="94"/>
        <v>350.39368043404164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1.7158278869201142</v>
      </c>
      <c r="CM90" s="23">
        <f>EXP(-LN(2)/2)*CM89+(1-EXP(-LN(2)/2))/(LN(2)/2)*CG90*CJ90*VLOOKUP('Données projet'!$B$12,Paramètres!$A$1:$I$89,3,0)*0.475*44/12</f>
        <v>3.6703586295389254E-9</v>
      </c>
      <c r="CN90" s="24">
        <f t="shared" si="66"/>
        <v>1.7158278905904729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-1.1368683772161603E-13</v>
      </c>
      <c r="CU90" s="18">
        <f>CT90*VLOOKUP('Données projet'!$B$13,Paramètres!$A$1:$I$89,3,0)*VLOOKUP('Données projet'!$B$13,Paramètres!$A$1:$I$89,5,0)</f>
        <v>-6.7984728957526396E-14</v>
      </c>
      <c r="CV90" s="14" t="e">
        <f t="shared" si="95"/>
        <v>#NUM!</v>
      </c>
      <c r="CW90" s="22" t="e">
        <f t="shared" si="67"/>
        <v>#NUM!</v>
      </c>
      <c r="CX90" s="60" t="e">
        <f t="shared" si="68"/>
        <v>#NUM!</v>
      </c>
      <c r="CY90" s="60">
        <f ca="1">AVERAGE(OFFSET($CX$3,0,0,'Données projet'!$E$13+1,1))-AVERAGE(OFFSET($H$3,0,0,'Données projet'!$E$13+1,1))</f>
        <v>232.73140429491525</v>
      </c>
      <c r="CZ90" s="60">
        <f t="shared" si="96"/>
        <v>201.02719152328638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1.639446403175479</v>
      </c>
      <c r="DH90" s="23">
        <f>EXP(-LN(2)/2)*DH89+(1-EXP(-LN(2)/2))/(LN(2)/2)*DB90*DE90*VLOOKUP('Données projet'!$B$13,Paramètres!$A$1:$I$89,3,0)*0.475*44/12</f>
        <v>8.1101665708567541E-9</v>
      </c>
      <c r="DI90" s="24">
        <f t="shared" si="69"/>
        <v>1.6394464112856455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3.2051282051282044</v>
      </c>
      <c r="DO90" s="13">
        <f>IF('Données projet'!$A$166&gt;35,DO89+DN90-DW89,IF(A90&lt;'Données projet'!$A$166,$DL$205^A90,IF(A90='Données projet'!$A$166,'Données projet'!$B$166,DO89+DN90-DW89)))</f>
        <v>176.92307692307674</v>
      </c>
      <c r="DP90" s="18">
        <f>DO90*VLOOKUP('Données projet'!$B$14,Paramètres!$A$1:$I$89,3,0)*VLOOKUP('Données projet'!$B$14,Paramètres!$A$1:$I$89,5,0)</f>
        <v>168.35999999999981</v>
      </c>
      <c r="DQ90" s="14">
        <f t="shared" si="97"/>
        <v>42.722511169936091</v>
      </c>
      <c r="DR90" s="22">
        <f t="shared" si="70"/>
        <v>367.63537362097173</v>
      </c>
      <c r="DS90" s="60">
        <f t="shared" si="71"/>
        <v>660.96870695430505</v>
      </c>
      <c r="DT90" s="60">
        <f ca="1">AVERAGE(OFFSET($DS$3,0,0,'Données projet'!$E$14+1,1))-AVERAGE(OFFSET($H$3,0,0,'Données projet'!$E$14+1,1))</f>
        <v>302.15577364214136</v>
      </c>
      <c r="DU90" s="60">
        <f t="shared" si="98"/>
        <v>197.15142751137051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3.8461538461538454</v>
      </c>
      <c r="EJ90" s="13">
        <f>IF('Données projet'!$A$192&gt;35,EJ89+EI90-ER89,IF(A90&lt;'Données projet'!$A$192,$EG$205^A90,IF(A90='Données projet'!$A$192,'Données projet'!$B$192,EJ89+EI90-ER89)))</f>
        <v>284.61538461538436</v>
      </c>
      <c r="EK90" s="18">
        <f>EJ90*VLOOKUP('Données projet'!$B$15,Paramètres!$A$1:$I$89,3,0)*VLOOKUP('Données projet'!$B$15,Paramètres!$A$1:$I$89,5,0)</f>
        <v>297.47999999999979</v>
      </c>
      <c r="EL90" s="14">
        <f t="shared" si="99"/>
        <v>70.647915600656845</v>
      </c>
      <c r="EM90" s="22">
        <f t="shared" si="73"/>
        <v>641.15611967114364</v>
      </c>
      <c r="EN90" s="60">
        <f t="shared" si="74"/>
        <v>934.4894530044769</v>
      </c>
      <c r="EO90" s="60">
        <f ca="1">AVERAGE(OFFSET($EN$3,0,0,'Données projet'!$E$15+1,1))-AVERAGE(OFFSET($H$3,0,0,'Données projet'!$E$15+1,1))</f>
        <v>493.70175665335978</v>
      </c>
      <c r="EP90" s="60">
        <f t="shared" si="100"/>
        <v>325.12357781685949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0" t="e">
        <f t="shared" si="77"/>
        <v>#N/A</v>
      </c>
      <c r="FJ90" s="60" t="e">
        <f ca="1">AVERAGE(OFFSET($FI$3,0,0,'Données projet'!$E$16+1,1))-AVERAGE(OFFSET($H$3,0,0,'Données projet'!$E$16+1,1))</f>
        <v>#N/A</v>
      </c>
      <c r="FK90" s="60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0" t="e">
        <f t="shared" si="80"/>
        <v>#N/A</v>
      </c>
      <c r="GE90" s="60" t="e">
        <f ca="1">AVERAGE(OFFSET($GD$3,0,0,'Données projet'!$E$17+1,1))-AVERAGE(OFFSET($H$3,0,0,'Données projet'!$E$17+1,1))</f>
        <v>#N/A</v>
      </c>
      <c r="GF90" s="60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5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8">
        <f t="shared" si="56"/>
        <v>256.66666666666669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0">
        <f t="shared" si="55"/>
        <v>293.3333333333353</v>
      </c>
      <c r="S91" s="60">
        <f ca="1">AVERAGE(OFFSET($R$3,0,0,'Données projet'!$E$9+1,1))-AVERAGE(OFFSET($H$3,0,0,'Données projet'!$E$9+1,1))</f>
        <v>260.02504691866199</v>
      </c>
      <c r="T91" s="60">
        <f t="shared" si="88"/>
        <v>270.11268336406368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3.1732975560420567</v>
      </c>
      <c r="AA91" s="23">
        <f>EXP(-LN(2)/25)*AA90+(1-EXP(-LN(2)/25))/(LN(2)/25)*Calculateur!V91*Calculateur!X91*VLOOKUP('Données projet'!$B$9,Paramètres!$A$1:$I$89,3,0)*0.475*44/12</f>
        <v>3.2916036258740653</v>
      </c>
      <c r="AB91" s="23">
        <f>EXP(-LN(2)/2)*AB90+(1-EXP(-LN(2)/2))/(LN(2)/2)*V91*Y91*VLOOKUP('Données projet'!$B$9,Paramètres!$A$1:$I$89,3,0)*0.475*44/12</f>
        <v>1.1809097502238757E-8</v>
      </c>
      <c r="AC91" s="24">
        <f t="shared" si="57"/>
        <v>6.4649011937252201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5.6</v>
      </c>
      <c r="AI91" s="14">
        <f>IF('Données projet'!$A$62&gt;35,AI90+AH91-AQ90,IF(A91&lt;'Données projet'!$A$62,$AF$205^A91,IF(A91='Données projet'!$A$62,'Données projet'!$B$62,AI90+AH91-AQ90)))</f>
        <v>284.8</v>
      </c>
      <c r="AJ91" s="14">
        <f>AI91*VLOOKUP('Données projet'!$B$10,Paramètres!$A$1:$I$89,3,0)*VLOOKUP('Données projet'!$B$10,Paramètres!$A$1:$I$89,5,0)</f>
        <v>288.78720000000004</v>
      </c>
      <c r="AK91" s="14">
        <f t="shared" si="89"/>
        <v>68.820644053442436</v>
      </c>
      <c r="AL91" s="22">
        <f t="shared" si="58"/>
        <v>622.83366172641229</v>
      </c>
      <c r="AM91" s="60">
        <f t="shared" si="59"/>
        <v>916.16699505974566</v>
      </c>
      <c r="AN91" s="60">
        <f ca="1">AVERAGE(OFFSET($AM$3,0,0,'Données projet'!$E$10+1,1))-AVERAGE(OFFSET($H$3,0,0,'Données projet'!$E$10+1,1))</f>
        <v>475.47920969424894</v>
      </c>
      <c r="AO91" s="60">
        <f t="shared" si="90"/>
        <v>271.73544012419364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4.3</v>
      </c>
      <c r="BD91" s="13">
        <f>IF('Données projet'!$A$88&gt;35,BD90+BC91-BL90,IF(A91&lt;'Données projet'!$A$88,$BA$205^A91,IF(A91='Données projet'!$A$88,'Données projet'!$B$88,BD90+BC91-BL90)))</f>
        <v>212.40000000000006</v>
      </c>
      <c r="BE91" s="14">
        <f>BD91*VLOOKUP('Données projet'!$B$11,Paramètres!$A$1:$I$89,3,0)*VLOOKUP('Données projet'!$B$11,Paramètres!$A$1:$I$89,5,0)</f>
        <v>192.17952000000005</v>
      </c>
      <c r="BF91" s="14">
        <f t="shared" si="91"/>
        <v>48.021493442275357</v>
      </c>
      <c r="BG91" s="22">
        <f t="shared" si="61"/>
        <v>418.35009841196302</v>
      </c>
      <c r="BH91" s="60">
        <f t="shared" si="62"/>
        <v>711.68343174529628</v>
      </c>
      <c r="BI91" s="60">
        <f ca="1">AVERAGE(OFFSET($BH$3,0,0,'Données projet'!$E$11+1,1))-AVERAGE(OFFSET($H$3,0,0,'Données projet'!$E$11+1,1))</f>
        <v>325.2649384779973</v>
      </c>
      <c r="BJ91" s="60">
        <f t="shared" si="92"/>
        <v>146.70159365068315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1.0231815394945443E-12</v>
      </c>
      <c r="BZ91" s="14">
        <f>BY91*VLOOKUP('Données projet'!$B$12,Paramètres!$A$1:$I$89,3,0)*VLOOKUP('Données projet'!$B$12,Paramètres!$A$1:$I$89,5,0)</f>
        <v>4.5224624045658859E-13</v>
      </c>
      <c r="CA91" s="14">
        <f t="shared" si="93"/>
        <v>5.6995607121061449E-12</v>
      </c>
      <c r="CB91" s="22">
        <f t="shared" si="64"/>
        <v>1.0714397109046761E-11</v>
      </c>
      <c r="CC91" s="60">
        <f t="shared" si="65"/>
        <v>293.333333333344</v>
      </c>
      <c r="CD91" s="60">
        <f ca="1">AVERAGE(OFFSET($CC$3,0,0,'Données projet'!$E$12+1,1))-AVERAGE(OFFSET($H$3,0,0,'Données projet'!$E$12+1,1))</f>
        <v>401.84375324751227</v>
      </c>
      <c r="CE91" s="60">
        <f t="shared" si="94"/>
        <v>350.39368043404164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1.6689084831208167</v>
      </c>
      <c r="CM91" s="23">
        <f>EXP(-LN(2)/2)*CM90+(1-EXP(-LN(2)/2))/(LN(2)/2)*CG91*CJ91*VLOOKUP('Données projet'!$B$12,Paramètres!$A$1:$I$89,3,0)*0.475*44/12</f>
        <v>2.5953354763335376E-9</v>
      </c>
      <c r="CN91" s="24">
        <f t="shared" si="66"/>
        <v>1.6689084857161522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-1.1368683772161603E-13</v>
      </c>
      <c r="CU91" s="18">
        <f>CT91*VLOOKUP('Données projet'!$B$13,Paramètres!$A$1:$I$89,3,0)*VLOOKUP('Données projet'!$B$13,Paramètres!$A$1:$I$89,5,0)</f>
        <v>-6.7984728957526396E-14</v>
      </c>
      <c r="CV91" s="14" t="e">
        <f t="shared" si="95"/>
        <v>#NUM!</v>
      </c>
      <c r="CW91" s="22" t="e">
        <f t="shared" si="67"/>
        <v>#NUM!</v>
      </c>
      <c r="CX91" s="60" t="e">
        <f t="shared" si="68"/>
        <v>#NUM!</v>
      </c>
      <c r="CY91" s="60">
        <f ca="1">AVERAGE(OFFSET($CX$3,0,0,'Données projet'!$E$13+1,1))-AVERAGE(OFFSET($H$3,0,0,'Données projet'!$E$13+1,1))</f>
        <v>232.73140429491525</v>
      </c>
      <c r="CZ91" s="60">
        <f t="shared" si="96"/>
        <v>201.02719152328638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1.5946156550659061</v>
      </c>
      <c r="DH91" s="23">
        <f>EXP(-LN(2)/2)*DH90+(1-EXP(-LN(2)/2))/(LN(2)/2)*DB91*DE91*VLOOKUP('Données projet'!$B$13,Paramètres!$A$1:$I$89,3,0)*0.475*44/12</f>
        <v>5.7347537788052594E-9</v>
      </c>
      <c r="DI91" s="24">
        <f t="shared" si="69"/>
        <v>1.5946156608006599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3.2051282051282044</v>
      </c>
      <c r="DO91" s="13">
        <f>IF('Données projet'!$A$166&gt;35,DO90+DN91-DW90,IF(A91&lt;'Données projet'!$A$166,$DL$205^A91,IF(A91='Données projet'!$A$166,'Données projet'!$B$166,DO90+DN91-DW90)))</f>
        <v>180.12820512820494</v>
      </c>
      <c r="DP91" s="18">
        <f>DO91*VLOOKUP('Données projet'!$B$14,Paramètres!$A$1:$I$89,3,0)*VLOOKUP('Données projet'!$B$14,Paramètres!$A$1:$I$89,5,0)</f>
        <v>171.40999999999983</v>
      </c>
      <c r="DQ91" s="14">
        <f t="shared" si="97"/>
        <v>43.405664710300805</v>
      </c>
      <c r="DR91" s="22">
        <f t="shared" si="70"/>
        <v>374.13728270377356</v>
      </c>
      <c r="DS91" s="60">
        <f t="shared" si="71"/>
        <v>667.47061603710688</v>
      </c>
      <c r="DT91" s="60">
        <f ca="1">AVERAGE(OFFSET($DS$3,0,0,'Données projet'!$E$14+1,1))-AVERAGE(OFFSET($H$3,0,0,'Données projet'!$E$14+1,1))</f>
        <v>302.15577364214136</v>
      </c>
      <c r="DU91" s="60">
        <f t="shared" si="98"/>
        <v>197.15142751137051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3.8461538461538454</v>
      </c>
      <c r="EJ91" s="13">
        <f>IF('Données projet'!$A$192&gt;35,EJ90+EI91-ER90,IF(A91&lt;'Données projet'!$A$192,$EG$205^A91,IF(A91='Données projet'!$A$192,'Données projet'!$B$192,EJ90+EI91-ER90)))</f>
        <v>288.46153846153823</v>
      </c>
      <c r="EK91" s="18">
        <f>EJ91*VLOOKUP('Données projet'!$B$15,Paramètres!$A$1:$I$89,3,0)*VLOOKUP('Données projet'!$B$15,Paramètres!$A$1:$I$89,5,0)</f>
        <v>301.49999999999977</v>
      </c>
      <c r="EL91" s="14">
        <f t="shared" si="99"/>
        <v>71.490829753972974</v>
      </c>
      <c r="EM91" s="22">
        <f t="shared" si="73"/>
        <v>649.62569515483597</v>
      </c>
      <c r="EN91" s="60">
        <f t="shared" si="74"/>
        <v>942.95902848816922</v>
      </c>
      <c r="EO91" s="60">
        <f ca="1">AVERAGE(OFFSET($EN$3,0,0,'Données projet'!$E$15+1,1))-AVERAGE(OFFSET($H$3,0,0,'Données projet'!$E$15+1,1))</f>
        <v>493.70175665335978</v>
      </c>
      <c r="EP91" s="60">
        <f t="shared" si="100"/>
        <v>325.12357781685949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0" t="e">
        <f t="shared" si="77"/>
        <v>#N/A</v>
      </c>
      <c r="FJ91" s="60" t="e">
        <f ca="1">AVERAGE(OFFSET($FI$3,0,0,'Données projet'!$E$16+1,1))-AVERAGE(OFFSET($H$3,0,0,'Données projet'!$E$16+1,1))</f>
        <v>#N/A</v>
      </c>
      <c r="FK91" s="60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0" t="e">
        <f t="shared" si="80"/>
        <v>#N/A</v>
      </c>
      <c r="GE91" s="60" t="e">
        <f ca="1">AVERAGE(OFFSET($GD$3,0,0,'Données projet'!$E$17+1,1))-AVERAGE(OFFSET($H$3,0,0,'Données projet'!$E$17+1,1))</f>
        <v>#N/A</v>
      </c>
      <c r="GF91" s="60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5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8">
        <f t="shared" si="56"/>
        <v>256.66666666666669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0">
        <f t="shared" si="55"/>
        <v>293.3333333333353</v>
      </c>
      <c r="S92" s="60">
        <f ca="1">AVERAGE(OFFSET($R$3,0,0,'Données projet'!$E$9+1,1))-AVERAGE(OFFSET($H$3,0,0,'Données projet'!$E$9+1,1))</f>
        <v>260.02504691866199</v>
      </c>
      <c r="T92" s="60">
        <f t="shared" si="88"/>
        <v>270.11268336406368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3.1110711264884645</v>
      </c>
      <c r="AA92" s="23">
        <f>EXP(-LN(2)/25)*AA91+(1-EXP(-LN(2)/25))/(LN(2)/25)*Calculateur!V92*Calculateur!X92*VLOOKUP('Données projet'!$B$9,Paramètres!$A$1:$I$89,3,0)*0.475*44/12</f>
        <v>3.2015945516266275</v>
      </c>
      <c r="AB92" s="23">
        <f>EXP(-LN(2)/2)*AB91+(1-EXP(-LN(2)/2))/(LN(2)/2)*V92*Y92*VLOOKUP('Données projet'!$B$9,Paramètres!$A$1:$I$89,3,0)*0.475*44/12</f>
        <v>8.3502929235261459E-9</v>
      </c>
      <c r="AC92" s="24">
        <f t="shared" si="57"/>
        <v>6.312665686465385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5.6</v>
      </c>
      <c r="AI92" s="14">
        <f>IF('Données projet'!$A$62&gt;35,AI91+AH92-AQ91,IF(A92&lt;'Données projet'!$A$62,$AF$205^A92,IF(A92='Données projet'!$A$62,'Données projet'!$B$62,AI91+AH92-AQ91)))</f>
        <v>290.40000000000003</v>
      </c>
      <c r="AJ92" s="14">
        <f>AI92*VLOOKUP('Données projet'!$B$10,Paramètres!$A$1:$I$89,3,0)*VLOOKUP('Données projet'!$B$10,Paramètres!$A$1:$I$89,5,0)</f>
        <v>294.46560000000005</v>
      </c>
      <c r="AK92" s="14">
        <f t="shared" si="89"/>
        <v>70.014986320104285</v>
      </c>
      <c r="AL92" s="22">
        <f t="shared" si="58"/>
        <v>634.8036878408484</v>
      </c>
      <c r="AM92" s="60">
        <f t="shared" si="59"/>
        <v>928.13702117418165</v>
      </c>
      <c r="AN92" s="60">
        <f ca="1">AVERAGE(OFFSET($AM$3,0,0,'Données projet'!$E$10+1,1))-AVERAGE(OFFSET($H$3,0,0,'Données projet'!$E$10+1,1))</f>
        <v>475.47920969424894</v>
      </c>
      <c r="AO92" s="60">
        <f t="shared" si="90"/>
        <v>271.73544012419364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4.3</v>
      </c>
      <c r="BD92" s="13">
        <f>IF('Données projet'!$A$88&gt;35,BD91+BC92-BL91,IF(A92&lt;'Données projet'!$A$88,$BA$205^A92,IF(A92='Données projet'!$A$88,'Données projet'!$B$88,BD91+BC92-BL91)))</f>
        <v>216.70000000000007</v>
      </c>
      <c r="BE92" s="14">
        <f>BD92*VLOOKUP('Données projet'!$B$11,Paramètres!$A$1:$I$89,3,0)*VLOOKUP('Données projet'!$B$11,Paramètres!$A$1:$I$89,5,0)</f>
        <v>196.07016000000007</v>
      </c>
      <c r="BF92" s="14">
        <f t="shared" si="91"/>
        <v>48.879512872705831</v>
      </c>
      <c r="BG92" s="22">
        <f t="shared" si="61"/>
        <v>426.62068025329609</v>
      </c>
      <c r="BH92" s="60">
        <f t="shared" si="62"/>
        <v>719.95401358662934</v>
      </c>
      <c r="BI92" s="60">
        <f ca="1">AVERAGE(OFFSET($BH$3,0,0,'Données projet'!$E$11+1,1))-AVERAGE(OFFSET($H$3,0,0,'Données projet'!$E$11+1,1))</f>
        <v>325.2649384779973</v>
      </c>
      <c r="BJ92" s="60">
        <f t="shared" si="92"/>
        <v>146.70159365068315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1.0231815394945443E-12</v>
      </c>
      <c r="BZ92" s="14">
        <f>BY92*VLOOKUP('Données projet'!$B$12,Paramètres!$A$1:$I$89,3,0)*VLOOKUP('Données projet'!$B$12,Paramètres!$A$1:$I$89,5,0)</f>
        <v>4.5224624045658859E-13</v>
      </c>
      <c r="CA92" s="14">
        <f t="shared" si="93"/>
        <v>5.6995607121061449E-12</v>
      </c>
      <c r="CB92" s="22">
        <f t="shared" si="64"/>
        <v>1.0714397109046761E-11</v>
      </c>
      <c r="CC92" s="60">
        <f t="shared" si="65"/>
        <v>293.333333333344</v>
      </c>
      <c r="CD92" s="60">
        <f ca="1">AVERAGE(OFFSET($CC$3,0,0,'Données projet'!$E$12+1,1))-AVERAGE(OFFSET($H$3,0,0,'Données projet'!$E$12+1,1))</f>
        <v>401.84375324751227</v>
      </c>
      <c r="CE92" s="60">
        <f t="shared" si="94"/>
        <v>350.39368043404164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1.6232720928857953</v>
      </c>
      <c r="CM92" s="23">
        <f>EXP(-LN(2)/2)*CM91+(1-EXP(-LN(2)/2))/(LN(2)/2)*CG92*CJ92*VLOOKUP('Données projet'!$B$12,Paramètres!$A$1:$I$89,3,0)*0.475*44/12</f>
        <v>1.8351793147694629E-9</v>
      </c>
      <c r="CN92" s="24">
        <f t="shared" si="66"/>
        <v>1.6232720947209747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-1.1368683772161603E-13</v>
      </c>
      <c r="CU92" s="18">
        <f>CT92*VLOOKUP('Données projet'!$B$13,Paramètres!$A$1:$I$89,3,0)*VLOOKUP('Données projet'!$B$13,Paramètres!$A$1:$I$89,5,0)</f>
        <v>-6.7984728957526396E-14</v>
      </c>
      <c r="CV92" s="14" t="e">
        <f t="shared" si="95"/>
        <v>#NUM!</v>
      </c>
      <c r="CW92" s="22" t="e">
        <f t="shared" si="67"/>
        <v>#NUM!</v>
      </c>
      <c r="CX92" s="60" t="e">
        <f t="shared" si="68"/>
        <v>#NUM!</v>
      </c>
      <c r="CY92" s="60">
        <f ca="1">AVERAGE(OFFSET($CX$3,0,0,'Données projet'!$E$13+1,1))-AVERAGE(OFFSET($H$3,0,0,'Données projet'!$E$13+1,1))</f>
        <v>232.73140429491525</v>
      </c>
      <c r="CZ92" s="60">
        <f t="shared" si="96"/>
        <v>201.02719152328638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1.5510108061209362</v>
      </c>
      <c r="DH92" s="23">
        <f>EXP(-LN(2)/2)*DH91+(1-EXP(-LN(2)/2))/(LN(2)/2)*DB92*DE92*VLOOKUP('Données projet'!$B$13,Paramètres!$A$1:$I$89,3,0)*0.475*44/12</f>
        <v>4.0550832854283771E-9</v>
      </c>
      <c r="DI92" s="24">
        <f t="shared" si="69"/>
        <v>1.5510108101760196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3.2051282051282044</v>
      </c>
      <c r="DO92" s="13">
        <f>IF('Données projet'!$A$166&gt;35,DO91+DN92-DW91,IF(A92&lt;'Données projet'!$A$166,$DL$205^A92,IF(A92='Données projet'!$A$166,'Données projet'!$B$166,DO91+DN92-DW91)))</f>
        <v>183.33333333333314</v>
      </c>
      <c r="DP92" s="18">
        <f>DO92*VLOOKUP('Données projet'!$B$14,Paramètres!$A$1:$I$89,3,0)*VLOOKUP('Données projet'!$B$14,Paramètres!$A$1:$I$89,5,0)</f>
        <v>174.45999999999981</v>
      </c>
      <c r="DQ92" s="14">
        <f t="shared" si="97"/>
        <v>44.087404705972986</v>
      </c>
      <c r="DR92" s="22">
        <f t="shared" si="70"/>
        <v>380.63672986290254</v>
      </c>
      <c r="DS92" s="60">
        <f t="shared" si="71"/>
        <v>673.97006319623586</v>
      </c>
      <c r="DT92" s="60">
        <f ca="1">AVERAGE(OFFSET($DS$3,0,0,'Données projet'!$E$14+1,1))-AVERAGE(OFFSET($H$3,0,0,'Données projet'!$E$14+1,1))</f>
        <v>302.15577364214136</v>
      </c>
      <c r="DU92" s="60">
        <f t="shared" si="98"/>
        <v>197.15142751137051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3.8461538461538454</v>
      </c>
      <c r="EJ92" s="13">
        <f>IF('Données projet'!$A$192&gt;35,EJ91+EI92-ER91,IF(A92&lt;'Données projet'!$A$192,$EG$205^A92,IF(A92='Données projet'!$A$192,'Données projet'!$B$192,EJ91+EI92-ER91)))</f>
        <v>292.30769230769209</v>
      </c>
      <c r="EK92" s="18">
        <f>EJ92*VLOOKUP('Données projet'!$B$15,Paramètres!$A$1:$I$89,3,0)*VLOOKUP('Données projet'!$B$15,Paramètres!$A$1:$I$89,5,0)</f>
        <v>305.51999999999981</v>
      </c>
      <c r="EL92" s="14">
        <f t="shared" si="99"/>
        <v>72.332436678206648</v>
      </c>
      <c r="EM92" s="22">
        <f t="shared" si="73"/>
        <v>658.09299388120962</v>
      </c>
      <c r="EN92" s="60">
        <f t="shared" si="74"/>
        <v>951.42632721454288</v>
      </c>
      <c r="EO92" s="60">
        <f ca="1">AVERAGE(OFFSET($EN$3,0,0,'Données projet'!$E$15+1,1))-AVERAGE(OFFSET($H$3,0,0,'Données projet'!$E$15+1,1))</f>
        <v>493.70175665335978</v>
      </c>
      <c r="EP92" s="60">
        <f t="shared" si="100"/>
        <v>325.12357781685949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0" t="e">
        <f t="shared" si="77"/>
        <v>#N/A</v>
      </c>
      <c r="FJ92" s="60" t="e">
        <f ca="1">AVERAGE(OFFSET($FI$3,0,0,'Données projet'!$E$16+1,1))-AVERAGE(OFFSET($H$3,0,0,'Données projet'!$E$16+1,1))</f>
        <v>#N/A</v>
      </c>
      <c r="FK92" s="60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0" t="e">
        <f t="shared" si="80"/>
        <v>#N/A</v>
      </c>
      <c r="GE92" s="60" t="e">
        <f ca="1">AVERAGE(OFFSET($GD$3,0,0,'Données projet'!$E$17+1,1))-AVERAGE(OFFSET($H$3,0,0,'Données projet'!$E$17+1,1))</f>
        <v>#N/A</v>
      </c>
      <c r="GF92" s="60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5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8">
        <f t="shared" si="56"/>
        <v>256.66666666666669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0">
        <f t="shared" si="55"/>
        <v>293.3333333333353</v>
      </c>
      <c r="S93" s="60">
        <f ca="1">AVERAGE(OFFSET($R$3,0,0,'Données projet'!$E$9+1,1))-AVERAGE(OFFSET($H$3,0,0,'Données projet'!$E$9+1,1))</f>
        <v>260.02504691866199</v>
      </c>
      <c r="T93" s="60">
        <f t="shared" si="88"/>
        <v>270.11268336406368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3.0500649192640439</v>
      </c>
      <c r="AA93" s="23">
        <f>EXP(-LN(2)/25)*AA92+(1-EXP(-LN(2)/25))/(LN(2)/25)*Calculateur!V93*Calculateur!X93*VLOOKUP('Données projet'!$B$9,Paramètres!$A$1:$I$89,3,0)*0.475*44/12</f>
        <v>3.1140467802478571</v>
      </c>
      <c r="AB93" s="23">
        <f>EXP(-LN(2)/2)*AB92+(1-EXP(-LN(2)/2))/(LN(2)/2)*V93*Y93*VLOOKUP('Données projet'!$B$9,Paramètres!$A$1:$I$89,3,0)*0.475*44/12</f>
        <v>5.9045487511193787E-9</v>
      </c>
      <c r="AC93" s="24">
        <f t="shared" si="57"/>
        <v>6.1641117054164498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5.6</v>
      </c>
      <c r="AH93" s="13">
        <f t="array" ref="AH93">INDEX(AG:AG,MIN(IF(ISNUMBER(AG93:AG289),ROW(AG93:AG289),"")))</f>
        <v>5.6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300.14400000000006</v>
      </c>
      <c r="AK93" s="14">
        <f t="shared" si="89"/>
        <v>71.206650563609855</v>
      </c>
      <c r="AL93" s="22">
        <f t="shared" si="58"/>
        <v>646.76904973162061</v>
      </c>
      <c r="AM93" s="60">
        <f t="shared" si="59"/>
        <v>940.10238306495398</v>
      </c>
      <c r="AN93" s="60">
        <f ca="1">AVERAGE(OFFSET($AM$3,0,0,'Données projet'!$E$10+1,1))-AVERAGE(OFFSET($H$3,0,0,'Données projet'!$E$10+1,1))</f>
        <v>475.47920969424894</v>
      </c>
      <c r="AO93" s="60">
        <f t="shared" si="90"/>
        <v>271.73544012419364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42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221</v>
      </c>
      <c r="BB93" s="13">
        <f>VLOOKUP(A93,'Données projet'!$A$87:$I$107,9,0)</f>
        <v>4.3</v>
      </c>
      <c r="BC93" s="13">
        <f t="array" ref="BC93">INDEX(BB:BB,MIN(IF(ISNUMBER(BB93:BB289),ROW(BB93:BB289),"")))</f>
        <v>4.3</v>
      </c>
      <c r="BD93" s="13">
        <f>IF('Données projet'!$A$88&gt;35,BD92+BC93-BL92,IF(A93&lt;'Données projet'!$A$88,$BA$205^A93,IF(A93='Données projet'!$A$88,'Données projet'!$B$88,BD92+BC93-BL92)))</f>
        <v>221.00000000000009</v>
      </c>
      <c r="BE93" s="14">
        <f>BD93*VLOOKUP('Données projet'!$B$11,Paramètres!$A$1:$I$89,3,0)*VLOOKUP('Données projet'!$B$11,Paramètres!$A$1:$I$89,5,0)</f>
        <v>199.96080000000006</v>
      </c>
      <c r="BF93" s="14">
        <f t="shared" si="91"/>
        <v>49.735552653569265</v>
      </c>
      <c r="BG93" s="22">
        <f t="shared" si="61"/>
        <v>434.88781420496662</v>
      </c>
      <c r="BH93" s="60">
        <f t="shared" si="62"/>
        <v>728.22114753829987</v>
      </c>
      <c r="BI93" s="60">
        <f ca="1">AVERAGE(OFFSET($BH$3,0,0,'Données projet'!$E$11+1,1))-AVERAGE(OFFSET($H$3,0,0,'Données projet'!$E$11+1,1))</f>
        <v>325.2649384779973</v>
      </c>
      <c r="BJ93" s="60">
        <f t="shared" si="92"/>
        <v>146.70159365068315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28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1.0231815394945443E-12</v>
      </c>
      <c r="BZ93" s="14">
        <f>BY93*VLOOKUP('Données projet'!$B$12,Paramètres!$A$1:$I$89,3,0)*VLOOKUP('Données projet'!$B$12,Paramètres!$A$1:$I$89,5,0)</f>
        <v>4.5224624045658859E-13</v>
      </c>
      <c r="CA93" s="14">
        <f t="shared" si="93"/>
        <v>5.6995607121061449E-12</v>
      </c>
      <c r="CB93" s="22">
        <f t="shared" si="64"/>
        <v>1.0714397109046761E-11</v>
      </c>
      <c r="CC93" s="60">
        <f t="shared" si="65"/>
        <v>293.333333333344</v>
      </c>
      <c r="CD93" s="60">
        <f ca="1">AVERAGE(OFFSET($CC$3,0,0,'Données projet'!$E$12+1,1))-AVERAGE(OFFSET($H$3,0,0,'Données projet'!$E$12+1,1))</f>
        <v>401.84375324751227</v>
      </c>
      <c r="CE93" s="60">
        <f t="shared" si="94"/>
        <v>350.39368043404164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1.5788836321416639</v>
      </c>
      <c r="CM93" s="23">
        <f>EXP(-LN(2)/2)*CM92+(1-EXP(-LN(2)/2))/(LN(2)/2)*CG93*CJ93*VLOOKUP('Données projet'!$B$12,Paramètres!$A$1:$I$89,3,0)*0.475*44/12</f>
        <v>1.297667738166769E-9</v>
      </c>
      <c r="CN93" s="24">
        <f t="shared" si="66"/>
        <v>1.5788836334393317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-1.1368683772161603E-13</v>
      </c>
      <c r="CU93" s="18">
        <f>CT93*VLOOKUP('Données projet'!$B$13,Paramètres!$A$1:$I$89,3,0)*VLOOKUP('Données projet'!$B$13,Paramètres!$A$1:$I$89,5,0)</f>
        <v>-6.7984728957526396E-14</v>
      </c>
      <c r="CV93" s="14" t="e">
        <f t="shared" si="95"/>
        <v>#NUM!</v>
      </c>
      <c r="CW93" s="22" t="e">
        <f t="shared" si="67"/>
        <v>#NUM!</v>
      </c>
      <c r="CX93" s="60" t="e">
        <f t="shared" si="68"/>
        <v>#NUM!</v>
      </c>
      <c r="CY93" s="60">
        <f ca="1">AVERAGE(OFFSET($CX$3,0,0,'Données projet'!$E$13+1,1))-AVERAGE(OFFSET($H$3,0,0,'Données projet'!$E$13+1,1))</f>
        <v>232.73140429491525</v>
      </c>
      <c r="CZ93" s="60">
        <f t="shared" si="96"/>
        <v>201.02719152328638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1.5085983340634459</v>
      </c>
      <c r="DH93" s="23">
        <f>EXP(-LN(2)/2)*DH92+(1-EXP(-LN(2)/2))/(LN(2)/2)*DB93*DE93*VLOOKUP('Données projet'!$B$13,Paramètres!$A$1:$I$89,3,0)*0.475*44/12</f>
        <v>2.8673768894026297E-9</v>
      </c>
      <c r="DI93" s="24">
        <f t="shared" si="69"/>
        <v>1.5085983369308227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186.53846153846152</v>
      </c>
      <c r="DM93" s="13">
        <f>VLOOKUP(A93,'Données projet'!$A$165:$I$185,9,0)</f>
        <v>3.2051282051282044</v>
      </c>
      <c r="DN93" s="13">
        <f t="array" ref="DN93">INDEX(DM:DM,MIN(IF(ISNUMBER(DM93:DM289),ROW(DM93:DM289),"")))</f>
        <v>3.2051282051282044</v>
      </c>
      <c r="DO93" s="13">
        <f>IF('Données projet'!$A$166&gt;35,DO92+DN93-DW92,IF(A93&lt;'Données projet'!$A$166,$DL$205^A93,IF(A93='Données projet'!$A$166,'Données projet'!$B$166,DO92+DN93-DW92)))</f>
        <v>186.53846153846135</v>
      </c>
      <c r="DP93" s="18">
        <f>DO93*VLOOKUP('Données projet'!$B$14,Paramètres!$A$1:$I$89,3,0)*VLOOKUP('Données projet'!$B$14,Paramètres!$A$1:$I$89,5,0)</f>
        <v>177.50999999999982</v>
      </c>
      <c r="DQ93" s="14">
        <f t="shared" si="97"/>
        <v>44.767758720564856</v>
      </c>
      <c r="DR93" s="22">
        <f t="shared" si="70"/>
        <v>387.13376310498347</v>
      </c>
      <c r="DS93" s="60">
        <f t="shared" si="71"/>
        <v>680.46709643831673</v>
      </c>
      <c r="DT93" s="60">
        <f ca="1">AVERAGE(OFFSET($DS$3,0,0,'Données projet'!$E$14+1,1))-AVERAGE(OFFSET($H$3,0,0,'Données projet'!$E$14+1,1))</f>
        <v>302.15577364214136</v>
      </c>
      <c r="DU93" s="60">
        <f t="shared" si="98"/>
        <v>197.15142751137051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296.15384615384613</v>
      </c>
      <c r="EH93" s="13">
        <f>VLOOKUP(A93,'Données projet'!$A$191:$I$211,9,0)</f>
        <v>3.8461538461538454</v>
      </c>
      <c r="EI93" s="13">
        <f t="array" ref="EI93">INDEX(EH:EH,MIN(IF(ISNUMBER(EH93:EH289),ROW(EH93:EH289),"")))</f>
        <v>3.8461538461538454</v>
      </c>
      <c r="EJ93" s="13">
        <f>IF('Données projet'!$A$192&gt;35,EJ92+EI93-ER92,IF(A93&lt;'Données projet'!$A$192,$EG$205^A93,IF(A93='Données projet'!$A$192,'Données projet'!$B$192,EJ92+EI93-ER92)))</f>
        <v>296.15384615384596</v>
      </c>
      <c r="EK93" s="18">
        <f>EJ93*VLOOKUP('Données projet'!$B$15,Paramètres!$A$1:$I$89,3,0)*VLOOKUP('Données projet'!$B$15,Paramètres!$A$1:$I$89,5,0)</f>
        <v>309.53999999999979</v>
      </c>
      <c r="EL93" s="14">
        <f t="shared" si="99"/>
        <v>73.172755562281282</v>
      </c>
      <c r="EM93" s="22">
        <f t="shared" si="73"/>
        <v>666.5580492709729</v>
      </c>
      <c r="EN93" s="60">
        <f t="shared" si="74"/>
        <v>959.89138260430627</v>
      </c>
      <c r="EO93" s="60">
        <f ca="1">AVERAGE(OFFSET($EN$3,0,0,'Données projet'!$E$15+1,1))-AVERAGE(OFFSET($H$3,0,0,'Données projet'!$E$15+1,1))</f>
        <v>493.70175665335978</v>
      </c>
      <c r="EP93" s="60">
        <f t="shared" si="100"/>
        <v>325.12357781685949</v>
      </c>
      <c r="EQ93" s="16">
        <f>IF(ISNA(VLOOKUP(A93,'Données projet'!$A$191:$I$211,3,0)),0,VLOOKUP(A93,'Données projet'!$A$191:$I$211,3,0))</f>
        <v>7</v>
      </c>
      <c r="ER93" s="16">
        <f>IF(ISNA(VLOOKUP(A93,'Données projet'!$A$191:$I$211,4,0)),0,VLOOKUP(A93,'Données projet'!$A$191:$I$211,4,0))</f>
        <v>21.153846153846153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0" t="e">
        <f t="shared" si="77"/>
        <v>#N/A</v>
      </c>
      <c r="FJ93" s="60" t="e">
        <f ca="1">AVERAGE(OFFSET($FI$3,0,0,'Données projet'!$E$16+1,1))-AVERAGE(OFFSET($H$3,0,0,'Données projet'!$E$16+1,1))</f>
        <v>#N/A</v>
      </c>
      <c r="FK93" s="60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0" t="e">
        <f t="shared" si="80"/>
        <v>#N/A</v>
      </c>
      <c r="GE93" s="60" t="e">
        <f ca="1">AVERAGE(OFFSET($GD$3,0,0,'Données projet'!$E$17+1,1))-AVERAGE(OFFSET($H$3,0,0,'Données projet'!$E$17+1,1))</f>
        <v>#N/A</v>
      </c>
      <c r="GF93" s="60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5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8">
        <f t="shared" si="56"/>
        <v>256.66666666666669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0">
        <f t="shared" si="55"/>
        <v>293.3333333333353</v>
      </c>
      <c r="S94" s="60">
        <f ca="1">AVERAGE(OFFSET($R$3,0,0,'Données projet'!$E$9+1,1))-AVERAGE(OFFSET($H$3,0,0,'Données projet'!$E$9+1,1))</f>
        <v>260.02504691866199</v>
      </c>
      <c r="T94" s="60">
        <f t="shared" si="88"/>
        <v>270.11268336406368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2.9902550065531819</v>
      </c>
      <c r="AA94" s="23">
        <f>EXP(-LN(2)/25)*AA93+(1-EXP(-LN(2)/25))/(LN(2)/25)*Calculateur!V94*Calculateur!X94*VLOOKUP('Données projet'!$B$9,Paramètres!$A$1:$I$89,3,0)*0.475*44/12</f>
        <v>3.0288930072813764</v>
      </c>
      <c r="AB94" s="23">
        <f>EXP(-LN(2)/2)*AB93+(1-EXP(-LN(2)/2))/(LN(2)/2)*V94*Y94*VLOOKUP('Données projet'!$B$9,Paramètres!$A$1:$I$89,3,0)*0.475*44/12</f>
        <v>4.175146461763073E-9</v>
      </c>
      <c r="AC94" s="24">
        <f t="shared" si="57"/>
        <v>6.0191480180097043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4.9000000000000004</v>
      </c>
      <c r="AI94" s="14">
        <f>IF('Données projet'!$A$62&gt;35,AI93+AH94-AQ93,IF(A94&lt;'Données projet'!$A$62,$AF$205^A94,IF(A94='Données projet'!$A$62,'Données projet'!$B$62,AI93+AH94-AQ93)))</f>
        <v>258.90000000000003</v>
      </c>
      <c r="AJ94" s="14">
        <f>AI94*VLOOKUP('Données projet'!$B$10,Paramètres!$A$1:$I$89,3,0)*VLOOKUP('Données projet'!$B$10,Paramètres!$A$1:$I$89,5,0)</f>
        <v>262.52460000000002</v>
      </c>
      <c r="AK94" s="14">
        <f t="shared" si="89"/>
        <v>63.260217631774687</v>
      </c>
      <c r="AL94" s="22">
        <f t="shared" si="58"/>
        <v>567.40855737534105</v>
      </c>
      <c r="AM94" s="60">
        <f t="shared" si="59"/>
        <v>860.74189070867442</v>
      </c>
      <c r="AN94" s="60">
        <f ca="1">AVERAGE(OFFSET($AM$3,0,0,'Données projet'!$E$10+1,1))-AVERAGE(OFFSET($H$3,0,0,'Données projet'!$E$10+1,1))</f>
        <v>475.47920969424894</v>
      </c>
      <c r="AO94" s="60">
        <f t="shared" si="90"/>
        <v>271.73544012419364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3.7</v>
      </c>
      <c r="BD94" s="13">
        <f>IF('Données projet'!$A$88&gt;35,BD93+BC94-BL93,IF(A94&lt;'Données projet'!$A$88,$BA$205^A94,IF(A94='Données projet'!$A$88,'Données projet'!$B$88,BD93+BC94-BL93)))</f>
        <v>196.70000000000007</v>
      </c>
      <c r="BE94" s="14">
        <f>BD94*VLOOKUP('Données projet'!$B$11,Paramètres!$A$1:$I$89,3,0)*VLOOKUP('Données projet'!$B$11,Paramètres!$A$1:$I$89,5,0)</f>
        <v>177.97416000000007</v>
      </c>
      <c r="BF94" s="14">
        <f t="shared" si="91"/>
        <v>44.871177620414102</v>
      </c>
      <c r="BG94" s="22">
        <f t="shared" si="61"/>
        <v>388.12229635555462</v>
      </c>
      <c r="BH94" s="60">
        <f t="shared" si="62"/>
        <v>681.45562968888794</v>
      </c>
      <c r="BI94" s="60">
        <f ca="1">AVERAGE(OFFSET($BH$3,0,0,'Données projet'!$E$11+1,1))-AVERAGE(OFFSET($H$3,0,0,'Données projet'!$E$11+1,1))</f>
        <v>325.2649384779973</v>
      </c>
      <c r="BJ94" s="60">
        <f t="shared" si="92"/>
        <v>146.70159365068315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1.0231815394945443E-12</v>
      </c>
      <c r="BZ94" s="14">
        <f>BY94*VLOOKUP('Données projet'!$B$12,Paramètres!$A$1:$I$89,3,0)*VLOOKUP('Données projet'!$B$12,Paramètres!$A$1:$I$89,5,0)</f>
        <v>4.5224624045658859E-13</v>
      </c>
      <c r="CA94" s="14">
        <f t="shared" si="93"/>
        <v>5.6995607121061449E-12</v>
      </c>
      <c r="CB94" s="22">
        <f t="shared" si="64"/>
        <v>1.0714397109046761E-11</v>
      </c>
      <c r="CC94" s="60">
        <f t="shared" si="65"/>
        <v>293.333333333344</v>
      </c>
      <c r="CD94" s="60">
        <f ca="1">AVERAGE(OFFSET($CC$3,0,0,'Données projet'!$E$12+1,1))-AVERAGE(OFFSET($H$3,0,0,'Données projet'!$E$12+1,1))</f>
        <v>401.84375324751227</v>
      </c>
      <c r="CE94" s="60">
        <f t="shared" si="94"/>
        <v>350.39368043404164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1.5357089761908684</v>
      </c>
      <c r="CM94" s="23">
        <f>EXP(-LN(2)/2)*CM93+(1-EXP(-LN(2)/2))/(LN(2)/2)*CG94*CJ94*VLOOKUP('Données projet'!$B$12,Paramètres!$A$1:$I$89,3,0)*0.475*44/12</f>
        <v>9.1758965738473166E-10</v>
      </c>
      <c r="CN94" s="24">
        <f t="shared" si="66"/>
        <v>1.535708977108458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-1.1368683772161603E-13</v>
      </c>
      <c r="CU94" s="18">
        <f>CT94*VLOOKUP('Données projet'!$B$13,Paramètres!$A$1:$I$89,3,0)*VLOOKUP('Données projet'!$B$13,Paramètres!$A$1:$I$89,5,0)</f>
        <v>-6.7984728957526396E-14</v>
      </c>
      <c r="CV94" s="14" t="e">
        <f t="shared" si="95"/>
        <v>#NUM!</v>
      </c>
      <c r="CW94" s="22" t="e">
        <f t="shared" si="67"/>
        <v>#NUM!</v>
      </c>
      <c r="CX94" s="60" t="e">
        <f t="shared" si="68"/>
        <v>#NUM!</v>
      </c>
      <c r="CY94" s="60">
        <f ca="1">AVERAGE(OFFSET($CX$3,0,0,'Données projet'!$E$13+1,1))-AVERAGE(OFFSET($H$3,0,0,'Données projet'!$E$13+1,1))</f>
        <v>232.73140429491525</v>
      </c>
      <c r="CZ94" s="60">
        <f t="shared" si="96"/>
        <v>201.02719152328638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1.4673456332847425</v>
      </c>
      <c r="DH94" s="23">
        <f>EXP(-LN(2)/2)*DH93+(1-EXP(-LN(2)/2))/(LN(2)/2)*DB94*DE94*VLOOKUP('Données projet'!$B$13,Paramètres!$A$1:$I$89,3,0)*0.475*44/12</f>
        <v>2.0275416427141885E-9</v>
      </c>
      <c r="DI94" s="24">
        <f t="shared" si="69"/>
        <v>1.4673456353122842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2.9487179487179502</v>
      </c>
      <c r="DO94" s="13">
        <f>IF('Données projet'!$A$166&gt;35,DO93+DN94-DW93,IF(A94&lt;'Données projet'!$A$166,$DL$205^A94,IF(A94='Données projet'!$A$166,'Données projet'!$B$166,DO93+DN94-DW93)))</f>
        <v>189.4871794871793</v>
      </c>
      <c r="DP94" s="18">
        <f>DO94*VLOOKUP('Données projet'!$B$14,Paramètres!$A$1:$I$89,3,0)*VLOOKUP('Données projet'!$B$14,Paramètres!$A$1:$I$89,5,0)</f>
        <v>180.31599999999983</v>
      </c>
      <c r="DQ94" s="14">
        <f t="shared" si="97"/>
        <v>45.392483166085661</v>
      </c>
      <c r="DR94" s="22">
        <f t="shared" si="70"/>
        <v>393.10894151426555</v>
      </c>
      <c r="DS94" s="60">
        <f t="shared" si="71"/>
        <v>686.44227484759881</v>
      </c>
      <c r="DT94" s="60">
        <f ca="1">AVERAGE(OFFSET($DS$3,0,0,'Données projet'!$E$14+1,1))-AVERAGE(OFFSET($H$3,0,0,'Données projet'!$E$14+1,1))</f>
        <v>302.15577364214136</v>
      </c>
      <c r="DU94" s="60">
        <f t="shared" si="98"/>
        <v>197.15142751137051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3.4615384615384586</v>
      </c>
      <c r="EJ94" s="13">
        <f>IF('Données projet'!$A$192&gt;35,EJ93+EI94-ER93,IF(A94&lt;'Données projet'!$A$192,$EG$205^A94,IF(A94='Données projet'!$A$192,'Données projet'!$B$192,EJ93+EI94-ER93)))</f>
        <v>278.46153846153828</v>
      </c>
      <c r="EK94" s="18">
        <f>EJ94*VLOOKUP('Données projet'!$B$15,Paramètres!$A$1:$I$89,3,0)*VLOOKUP('Données projet'!$B$15,Paramètres!$A$1:$I$89,5,0)</f>
        <v>291.04799999999983</v>
      </c>
      <c r="EL94" s="14">
        <f t="shared" si="99"/>
        <v>69.296484438588436</v>
      </c>
      <c r="EM94" s="22">
        <f t="shared" si="73"/>
        <v>627.59997706387446</v>
      </c>
      <c r="EN94" s="60">
        <f t="shared" si="74"/>
        <v>920.93331039720783</v>
      </c>
      <c r="EO94" s="60">
        <f ca="1">AVERAGE(OFFSET($EN$3,0,0,'Données projet'!$E$15+1,1))-AVERAGE(OFFSET($H$3,0,0,'Données projet'!$E$15+1,1))</f>
        <v>493.70175665335978</v>
      </c>
      <c r="EP94" s="60">
        <f t="shared" si="100"/>
        <v>325.12357781685949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0" t="e">
        <f t="shared" si="77"/>
        <v>#N/A</v>
      </c>
      <c r="FJ94" s="60" t="e">
        <f ca="1">AVERAGE(OFFSET($FI$3,0,0,'Données projet'!$E$16+1,1))-AVERAGE(OFFSET($H$3,0,0,'Données projet'!$E$16+1,1))</f>
        <v>#N/A</v>
      </c>
      <c r="FK94" s="60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0" t="e">
        <f t="shared" si="80"/>
        <v>#N/A</v>
      </c>
      <c r="GE94" s="60" t="e">
        <f ca="1">AVERAGE(OFFSET($GD$3,0,0,'Données projet'!$E$17+1,1))-AVERAGE(OFFSET($H$3,0,0,'Données projet'!$E$17+1,1))</f>
        <v>#N/A</v>
      </c>
      <c r="GF94" s="60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5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8">
        <f t="shared" si="56"/>
        <v>256.66666666666669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0">
        <f t="shared" si="55"/>
        <v>293.3333333333353</v>
      </c>
      <c r="S95" s="60">
        <f ca="1">AVERAGE(OFFSET($R$3,0,0,'Données projet'!$E$9+1,1))-AVERAGE(OFFSET($H$3,0,0,'Données projet'!$E$9+1,1))</f>
        <v>260.02504691866199</v>
      </c>
      <c r="T95" s="60">
        <f t="shared" si="88"/>
        <v>270.11268336406368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2.9316179297501352</v>
      </c>
      <c r="AA95" s="23">
        <f>EXP(-LN(2)/25)*AA94+(1-EXP(-LN(2)/25))/(LN(2)/25)*Calculateur!V95*Calculateur!X95*VLOOKUP('Données projet'!$B$9,Paramètres!$A$1:$I$89,3,0)*0.475*44/12</f>
        <v>2.9460677687147068</v>
      </c>
      <c r="AB95" s="23">
        <f>EXP(-LN(2)/2)*AB94+(1-EXP(-LN(2)/2))/(LN(2)/2)*V95*Y95*VLOOKUP('Données projet'!$B$9,Paramètres!$A$1:$I$89,3,0)*0.475*44/12</f>
        <v>2.9522743755596894E-9</v>
      </c>
      <c r="AC95" s="24">
        <f t="shared" si="57"/>
        <v>5.877685701417116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4.9000000000000004</v>
      </c>
      <c r="AI95" s="14">
        <f>IF('Données projet'!$A$62&gt;35,AI94+AH95-AQ94,IF(A95&lt;'Données projet'!$A$62,$AF$205^A95,IF(A95='Données projet'!$A$62,'Données projet'!$B$62,AI94+AH95-AQ94)))</f>
        <v>263.8</v>
      </c>
      <c r="AJ95" s="14">
        <f>AI95*VLOOKUP('Données projet'!$B$10,Paramètres!$A$1:$I$89,3,0)*VLOOKUP('Données projet'!$B$10,Paramètres!$A$1:$I$89,5,0)</f>
        <v>267.49320000000006</v>
      </c>
      <c r="AK95" s="14">
        <f t="shared" si="89"/>
        <v>64.316974590266341</v>
      </c>
      <c r="AL95" s="22">
        <f t="shared" si="58"/>
        <v>577.90272074471397</v>
      </c>
      <c r="AM95" s="60">
        <f t="shared" si="59"/>
        <v>871.23605407804735</v>
      </c>
      <c r="AN95" s="60">
        <f ca="1">AVERAGE(OFFSET($AM$3,0,0,'Données projet'!$E$10+1,1))-AVERAGE(OFFSET($H$3,0,0,'Données projet'!$E$10+1,1))</f>
        <v>475.47920969424894</v>
      </c>
      <c r="AO95" s="60">
        <f t="shared" si="90"/>
        <v>271.73544012419364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3.7</v>
      </c>
      <c r="BD95" s="13">
        <f>IF('Données projet'!$A$88&gt;35,BD94+BC95-BL94,IF(A95&lt;'Données projet'!$A$88,$BA$205^A95,IF(A95='Données projet'!$A$88,'Données projet'!$B$88,BD94+BC95-BL94)))</f>
        <v>200.40000000000006</v>
      </c>
      <c r="BE95" s="14">
        <f>BD95*VLOOKUP('Données projet'!$B$11,Paramètres!$A$1:$I$89,3,0)*VLOOKUP('Données projet'!$B$11,Paramètres!$A$1:$I$89,5,0)</f>
        <v>181.32192000000006</v>
      </c>
      <c r="BF95" s="14">
        <f t="shared" si="91"/>
        <v>45.616163648177974</v>
      </c>
      <c r="BG95" s="22">
        <f t="shared" si="61"/>
        <v>395.25049568724336</v>
      </c>
      <c r="BH95" s="60">
        <f t="shared" si="62"/>
        <v>688.58382902057667</v>
      </c>
      <c r="BI95" s="60">
        <f ca="1">AVERAGE(OFFSET($BH$3,0,0,'Données projet'!$E$11+1,1))-AVERAGE(OFFSET($H$3,0,0,'Données projet'!$E$11+1,1))</f>
        <v>325.2649384779973</v>
      </c>
      <c r="BJ95" s="60">
        <f t="shared" si="92"/>
        <v>146.70159365068315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1.0231815394945443E-12</v>
      </c>
      <c r="BZ95" s="14">
        <f>BY95*VLOOKUP('Données projet'!$B$12,Paramètres!$A$1:$I$89,3,0)*VLOOKUP('Données projet'!$B$12,Paramètres!$A$1:$I$89,5,0)</f>
        <v>4.5224624045658859E-13</v>
      </c>
      <c r="CA95" s="14">
        <f t="shared" si="93"/>
        <v>5.6995607121061449E-12</v>
      </c>
      <c r="CB95" s="22">
        <f t="shared" si="64"/>
        <v>1.0714397109046761E-11</v>
      </c>
      <c r="CC95" s="60">
        <f t="shared" si="65"/>
        <v>293.333333333344</v>
      </c>
      <c r="CD95" s="60">
        <f ca="1">AVERAGE(OFFSET($CC$3,0,0,'Données projet'!$E$12+1,1))-AVERAGE(OFFSET($H$3,0,0,'Données projet'!$E$12+1,1))</f>
        <v>401.84375324751227</v>
      </c>
      <c r="CE95" s="60">
        <f t="shared" si="94"/>
        <v>350.39368043404164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1.4937149334775039</v>
      </c>
      <c r="CM95" s="23">
        <f>EXP(-LN(2)/2)*CM94+(1-EXP(-LN(2)/2))/(LN(2)/2)*CG95*CJ95*VLOOKUP('Données projet'!$B$12,Paramètres!$A$1:$I$89,3,0)*0.475*44/12</f>
        <v>6.4883386908338461E-10</v>
      </c>
      <c r="CN95" s="24">
        <f t="shared" si="66"/>
        <v>1.4937149341263378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-1.1368683772161603E-13</v>
      </c>
      <c r="CU95" s="18">
        <f>CT95*VLOOKUP('Données projet'!$B$13,Paramètres!$A$1:$I$89,3,0)*VLOOKUP('Données projet'!$B$13,Paramètres!$A$1:$I$89,5,0)</f>
        <v>-6.7984728957526396E-14</v>
      </c>
      <c r="CV95" s="14" t="e">
        <f t="shared" si="95"/>
        <v>#NUM!</v>
      </c>
      <c r="CW95" s="22" t="e">
        <f t="shared" si="67"/>
        <v>#NUM!</v>
      </c>
      <c r="CX95" s="60" t="e">
        <f t="shared" si="68"/>
        <v>#NUM!</v>
      </c>
      <c r="CY95" s="60">
        <f ca="1">AVERAGE(OFFSET($CX$3,0,0,'Données projet'!$E$13+1,1))-AVERAGE(OFFSET($H$3,0,0,'Données projet'!$E$13+1,1))</f>
        <v>232.73140429491525</v>
      </c>
      <c r="CZ95" s="60">
        <f t="shared" si="96"/>
        <v>201.02719152328638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1.427220989778218</v>
      </c>
      <c r="DH95" s="23">
        <f>EXP(-LN(2)/2)*DH94+(1-EXP(-LN(2)/2))/(LN(2)/2)*DB95*DE95*VLOOKUP('Données projet'!$B$13,Paramètres!$A$1:$I$89,3,0)*0.475*44/12</f>
        <v>1.4336884447013148E-9</v>
      </c>
      <c r="DI95" s="24">
        <f t="shared" si="69"/>
        <v>1.4272209912119065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2.9487179487179502</v>
      </c>
      <c r="DO95" s="13">
        <f>IF('Données projet'!$A$166&gt;35,DO94+DN95-DW94,IF(A95&lt;'Données projet'!$A$166,$DL$205^A95,IF(A95='Données projet'!$A$166,'Données projet'!$B$166,DO94+DN95-DW94)))</f>
        <v>192.43589743589726</v>
      </c>
      <c r="DP95" s="18">
        <f>DO95*VLOOKUP('Données projet'!$B$14,Paramètres!$A$1:$I$89,3,0)*VLOOKUP('Données projet'!$B$14,Paramètres!$A$1:$I$89,5,0)</f>
        <v>183.12199999999982</v>
      </c>
      <c r="DQ95" s="14">
        <f t="shared" si="97"/>
        <v>46.016076982551581</v>
      </c>
      <c r="DR95" s="22">
        <f t="shared" si="70"/>
        <v>399.08215074461037</v>
      </c>
      <c r="DS95" s="60">
        <f t="shared" si="71"/>
        <v>692.41548407794369</v>
      </c>
      <c r="DT95" s="60">
        <f ca="1">AVERAGE(OFFSET($DS$3,0,0,'Données projet'!$E$14+1,1))-AVERAGE(OFFSET($H$3,0,0,'Données projet'!$E$14+1,1))</f>
        <v>302.15577364214136</v>
      </c>
      <c r="DU95" s="60">
        <f t="shared" si="98"/>
        <v>197.15142751137051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3.4615384615384586</v>
      </c>
      <c r="EJ95" s="13">
        <f>IF('Données projet'!$A$192&gt;35,EJ94+EI95-ER94,IF(A95&lt;'Données projet'!$A$192,$EG$205^A95,IF(A95='Données projet'!$A$192,'Données projet'!$B$192,EJ94+EI95-ER94)))</f>
        <v>281.92307692307674</v>
      </c>
      <c r="EK95" s="18">
        <f>EJ95*VLOOKUP('Données projet'!$B$15,Paramètres!$A$1:$I$89,3,0)*VLOOKUP('Données projet'!$B$15,Paramètres!$A$1:$I$89,5,0)</f>
        <v>294.66599999999983</v>
      </c>
      <c r="EL95" s="14">
        <f t="shared" si="99"/>
        <v>70.057087344971222</v>
      </c>
      <c r="EM95" s="22">
        <f t="shared" si="73"/>
        <v>635.22604379249128</v>
      </c>
      <c r="EN95" s="60">
        <f t="shared" si="74"/>
        <v>928.55937712582454</v>
      </c>
      <c r="EO95" s="60">
        <f ca="1">AVERAGE(OFFSET($EN$3,0,0,'Données projet'!$E$15+1,1))-AVERAGE(OFFSET($H$3,0,0,'Données projet'!$E$15+1,1))</f>
        <v>493.70175665335978</v>
      </c>
      <c r="EP95" s="60">
        <f t="shared" si="100"/>
        <v>325.12357781685949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0" t="e">
        <f t="shared" si="77"/>
        <v>#N/A</v>
      </c>
      <c r="FJ95" s="60" t="e">
        <f ca="1">AVERAGE(OFFSET($FI$3,0,0,'Données projet'!$E$16+1,1))-AVERAGE(OFFSET($H$3,0,0,'Données projet'!$E$16+1,1))</f>
        <v>#N/A</v>
      </c>
      <c r="FK95" s="60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0" t="e">
        <f t="shared" si="80"/>
        <v>#N/A</v>
      </c>
      <c r="GE95" s="60" t="e">
        <f ca="1">AVERAGE(OFFSET($GD$3,0,0,'Données projet'!$E$17+1,1))-AVERAGE(OFFSET($H$3,0,0,'Données projet'!$E$17+1,1))</f>
        <v>#N/A</v>
      </c>
      <c r="GF95" s="60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5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8">
        <f t="shared" si="56"/>
        <v>256.66666666666669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0">
        <f t="shared" si="55"/>
        <v>293.3333333333353</v>
      </c>
      <c r="S96" s="60">
        <f ca="1">AVERAGE(OFFSET($R$3,0,0,'Données projet'!$E$9+1,1))-AVERAGE(OFFSET($H$3,0,0,'Données projet'!$E$9+1,1))</f>
        <v>260.02504691866199</v>
      </c>
      <c r="T96" s="60">
        <f t="shared" si="88"/>
        <v>270.11268336406368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2.8741306902581112</v>
      </c>
      <c r="AA96" s="23">
        <f>EXP(-LN(2)/25)*AA95+(1-EXP(-LN(2)/25))/(LN(2)/25)*Calculateur!V96*Calculateur!X96*VLOOKUP('Données projet'!$B$9,Paramètres!$A$1:$I$89,3,0)*0.475*44/12</f>
        <v>2.8655073906522324</v>
      </c>
      <c r="AB96" s="23">
        <f>EXP(-LN(2)/2)*AB95+(1-EXP(-LN(2)/2))/(LN(2)/2)*V96*Y96*VLOOKUP('Données projet'!$B$9,Paramètres!$A$1:$I$89,3,0)*0.475*44/12</f>
        <v>2.0875732308815365E-9</v>
      </c>
      <c r="AC96" s="24">
        <f t="shared" si="57"/>
        <v>5.7396380829979172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4.9000000000000004</v>
      </c>
      <c r="AI96" s="14">
        <f>IF('Données projet'!$A$62&gt;35,AI95+AH96-AQ95,IF(A96&lt;'Données projet'!$A$62,$AF$205^A96,IF(A96='Données projet'!$A$62,'Données projet'!$B$62,AI95+AH96-AQ95)))</f>
        <v>268.7</v>
      </c>
      <c r="AJ96" s="14">
        <f>AI96*VLOOKUP('Données projet'!$B$10,Paramètres!$A$1:$I$89,3,0)*VLOOKUP('Données projet'!$B$10,Paramètres!$A$1:$I$89,5,0)</f>
        <v>272.46180000000004</v>
      </c>
      <c r="AK96" s="14">
        <f t="shared" si="89"/>
        <v>65.371449071921944</v>
      </c>
      <c r="AL96" s="22">
        <f t="shared" si="58"/>
        <v>588.39290880026408</v>
      </c>
      <c r="AM96" s="60">
        <f t="shared" si="59"/>
        <v>881.72624213359745</v>
      </c>
      <c r="AN96" s="60">
        <f ca="1">AVERAGE(OFFSET($AM$3,0,0,'Données projet'!$E$10+1,1))-AVERAGE(OFFSET($H$3,0,0,'Données projet'!$E$10+1,1))</f>
        <v>475.47920969424894</v>
      </c>
      <c r="AO96" s="60">
        <f t="shared" si="90"/>
        <v>271.73544012419364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3.7</v>
      </c>
      <c r="BD96" s="13">
        <f>IF('Données projet'!$A$88&gt;35,BD95+BC96-BL95,IF(A96&lt;'Données projet'!$A$88,$BA$205^A96,IF(A96='Données projet'!$A$88,'Données projet'!$B$88,BD95+BC96-BL95)))</f>
        <v>204.10000000000005</v>
      </c>
      <c r="BE96" s="14">
        <f>BD96*VLOOKUP('Données projet'!$B$11,Paramètres!$A$1:$I$89,3,0)*VLOOKUP('Données projet'!$B$11,Paramètres!$A$1:$I$89,5,0)</f>
        <v>184.66968000000006</v>
      </c>
      <c r="BF96" s="14">
        <f t="shared" si="91"/>
        <v>46.359550248246585</v>
      </c>
      <c r="BG96" s="22">
        <f t="shared" si="61"/>
        <v>402.37590934902954</v>
      </c>
      <c r="BH96" s="60">
        <f t="shared" si="62"/>
        <v>695.70924268236286</v>
      </c>
      <c r="BI96" s="60">
        <f ca="1">AVERAGE(OFFSET($BH$3,0,0,'Données projet'!$E$11+1,1))-AVERAGE(OFFSET($H$3,0,0,'Données projet'!$E$11+1,1))</f>
        <v>325.2649384779973</v>
      </c>
      <c r="BJ96" s="60">
        <f t="shared" si="92"/>
        <v>146.70159365068315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1.0231815394945443E-12</v>
      </c>
      <c r="BZ96" s="14">
        <f>BY96*VLOOKUP('Données projet'!$B$12,Paramètres!$A$1:$I$89,3,0)*VLOOKUP('Données projet'!$B$12,Paramètres!$A$1:$I$89,5,0)</f>
        <v>4.5224624045658859E-13</v>
      </c>
      <c r="CA96" s="14">
        <f t="shared" si="93"/>
        <v>5.6995607121061449E-12</v>
      </c>
      <c r="CB96" s="22">
        <f t="shared" si="64"/>
        <v>1.0714397109046761E-11</v>
      </c>
      <c r="CC96" s="60">
        <f t="shared" si="65"/>
        <v>293.333333333344</v>
      </c>
      <c r="CD96" s="60">
        <f ca="1">AVERAGE(OFFSET($CC$3,0,0,'Données projet'!$E$12+1,1))-AVERAGE(OFFSET($H$3,0,0,'Données projet'!$E$12+1,1))</f>
        <v>401.84375324751227</v>
      </c>
      <c r="CE96" s="60">
        <f t="shared" si="94"/>
        <v>350.39368043404164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1.4528692200705071</v>
      </c>
      <c r="CM96" s="23">
        <f>EXP(-LN(2)/2)*CM95+(1-EXP(-LN(2)/2))/(LN(2)/2)*CG96*CJ96*VLOOKUP('Données projet'!$B$12,Paramètres!$A$1:$I$89,3,0)*0.475*44/12</f>
        <v>4.5879482869236588E-10</v>
      </c>
      <c r="CN96" s="24">
        <f t="shared" si="66"/>
        <v>1.4528692205293019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-1.1368683772161603E-13</v>
      </c>
      <c r="CU96" s="18">
        <f>CT96*VLOOKUP('Données projet'!$B$13,Paramètres!$A$1:$I$89,3,0)*VLOOKUP('Données projet'!$B$13,Paramètres!$A$1:$I$89,5,0)</f>
        <v>-6.7984728957526396E-14</v>
      </c>
      <c r="CV96" s="14" t="e">
        <f t="shared" si="95"/>
        <v>#NUM!</v>
      </c>
      <c r="CW96" s="22" t="e">
        <f t="shared" si="67"/>
        <v>#NUM!</v>
      </c>
      <c r="CX96" s="60" t="e">
        <f t="shared" si="68"/>
        <v>#NUM!</v>
      </c>
      <c r="CY96" s="60">
        <f ca="1">AVERAGE(OFFSET($CX$3,0,0,'Données projet'!$E$13+1,1))-AVERAGE(OFFSET($H$3,0,0,'Données projet'!$E$13+1,1))</f>
        <v>232.73140429491525</v>
      </c>
      <c r="CZ96" s="60">
        <f t="shared" si="96"/>
        <v>201.02719152328638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1.3881935567584427</v>
      </c>
      <c r="DH96" s="23">
        <f>EXP(-LN(2)/2)*DH95+(1-EXP(-LN(2)/2))/(LN(2)/2)*DB96*DE96*VLOOKUP('Données projet'!$B$13,Paramètres!$A$1:$I$89,3,0)*0.475*44/12</f>
        <v>1.0137708213570943E-9</v>
      </c>
      <c r="DI96" s="24">
        <f t="shared" si="69"/>
        <v>1.3881935577722135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2.9487179487179502</v>
      </c>
      <c r="DO96" s="13">
        <f>IF('Données projet'!$A$166&gt;35,DO95+DN96-DW95,IF(A96&lt;'Données projet'!$A$166,$DL$205^A96,IF(A96='Données projet'!$A$166,'Données projet'!$B$166,DO95+DN96-DW95)))</f>
        <v>195.38461538461522</v>
      </c>
      <c r="DP96" s="18">
        <f>DO96*VLOOKUP('Données projet'!$B$14,Paramètres!$A$1:$I$89,3,0)*VLOOKUP('Données projet'!$B$14,Paramètres!$A$1:$I$89,5,0)</f>
        <v>185.92799999999986</v>
      </c>
      <c r="DQ96" s="14">
        <f t="shared" si="97"/>
        <v>46.638559495611808</v>
      </c>
      <c r="DR96" s="22">
        <f t="shared" si="70"/>
        <v>405.05342445485695</v>
      </c>
      <c r="DS96" s="60">
        <f t="shared" si="71"/>
        <v>698.38675778819027</v>
      </c>
      <c r="DT96" s="60">
        <f ca="1">AVERAGE(OFFSET($DS$3,0,0,'Données projet'!$E$14+1,1))-AVERAGE(OFFSET($H$3,0,0,'Données projet'!$E$14+1,1))</f>
        <v>302.15577364214136</v>
      </c>
      <c r="DU96" s="60">
        <f t="shared" si="98"/>
        <v>197.15142751137051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3.4615384615384586</v>
      </c>
      <c r="EJ96" s="13">
        <f>IF('Données projet'!$A$192&gt;35,EJ95+EI96-ER95,IF(A96&lt;'Données projet'!$A$192,$EG$205^A96,IF(A96='Données projet'!$A$192,'Données projet'!$B$192,EJ95+EI96-ER95)))</f>
        <v>285.38461538461519</v>
      </c>
      <c r="EK96" s="18">
        <f>EJ96*VLOOKUP('Données projet'!$B$15,Paramètres!$A$1:$I$89,3,0)*VLOOKUP('Données projet'!$B$15,Paramètres!$A$1:$I$89,5,0)</f>
        <v>298.28399999999982</v>
      </c>
      <c r="EL96" s="14">
        <f t="shared" si="99"/>
        <v>70.816603948985517</v>
      </c>
      <c r="EM96" s="22">
        <f t="shared" si="73"/>
        <v>642.8502185444828</v>
      </c>
      <c r="EN96" s="60">
        <f t="shared" si="74"/>
        <v>936.18355187781617</v>
      </c>
      <c r="EO96" s="60">
        <f ca="1">AVERAGE(OFFSET($EN$3,0,0,'Données projet'!$E$15+1,1))-AVERAGE(OFFSET($H$3,0,0,'Données projet'!$E$15+1,1))</f>
        <v>493.70175665335978</v>
      </c>
      <c r="EP96" s="60">
        <f t="shared" si="100"/>
        <v>325.12357781685949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0" t="e">
        <f t="shared" si="77"/>
        <v>#N/A</v>
      </c>
      <c r="FJ96" s="60" t="e">
        <f ca="1">AVERAGE(OFFSET($FI$3,0,0,'Données projet'!$E$16+1,1))-AVERAGE(OFFSET($H$3,0,0,'Données projet'!$E$16+1,1))</f>
        <v>#N/A</v>
      </c>
      <c r="FK96" s="60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0" t="e">
        <f t="shared" si="80"/>
        <v>#N/A</v>
      </c>
      <c r="GE96" s="60" t="e">
        <f ca="1">AVERAGE(OFFSET($GD$3,0,0,'Données projet'!$E$17+1,1))-AVERAGE(OFFSET($H$3,0,0,'Données projet'!$E$17+1,1))</f>
        <v>#N/A</v>
      </c>
      <c r="GF96" s="60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5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8">
        <f t="shared" si="56"/>
        <v>256.66666666666669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0">
        <f t="shared" si="55"/>
        <v>293.3333333333353</v>
      </c>
      <c r="S97" s="60">
        <f ca="1">AVERAGE(OFFSET($R$3,0,0,'Données projet'!$E$9+1,1))-AVERAGE(OFFSET($H$3,0,0,'Données projet'!$E$9+1,1))</f>
        <v>260.02504691866199</v>
      </c>
      <c r="T97" s="60">
        <f t="shared" si="88"/>
        <v>270.11268336406368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2.8177707404687715</v>
      </c>
      <c r="AA97" s="23">
        <f>EXP(-LN(2)/25)*AA96+(1-EXP(-LN(2)/25))/(LN(2)/25)*Calculateur!V97*Calculateur!X97*VLOOKUP('Données projet'!$B$9,Paramètres!$A$1:$I$89,3,0)*0.475*44/12</f>
        <v>2.7871499403643627</v>
      </c>
      <c r="AB97" s="23">
        <f>EXP(-LN(2)/2)*AB96+(1-EXP(-LN(2)/2))/(LN(2)/2)*V97*Y97*VLOOKUP('Données projet'!$B$9,Paramètres!$A$1:$I$89,3,0)*0.475*44/12</f>
        <v>1.4761371877798447E-9</v>
      </c>
      <c r="AC97" s="24">
        <f t="shared" si="57"/>
        <v>5.6049206823092712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4.9000000000000004</v>
      </c>
      <c r="AI97" s="14">
        <f>IF('Données projet'!$A$62&gt;35,AI96+AH97-AQ96,IF(A97&lt;'Données projet'!$A$62,$AF$205^A97,IF(A97='Données projet'!$A$62,'Données projet'!$B$62,AI96+AH97-AQ96)))</f>
        <v>273.59999999999997</v>
      </c>
      <c r="AJ97" s="14">
        <f>AI97*VLOOKUP('Données projet'!$B$10,Paramètres!$A$1:$I$89,3,0)*VLOOKUP('Données projet'!$B$10,Paramètres!$A$1:$I$89,5,0)</f>
        <v>277.43039999999996</v>
      </c>
      <c r="AK97" s="14">
        <f t="shared" si="89"/>
        <v>66.423687500715673</v>
      </c>
      <c r="AL97" s="22">
        <f t="shared" si="58"/>
        <v>598.87920239707967</v>
      </c>
      <c r="AM97" s="60">
        <f t="shared" si="59"/>
        <v>892.21253573041304</v>
      </c>
      <c r="AN97" s="60">
        <f ca="1">AVERAGE(OFFSET($AM$3,0,0,'Données projet'!$E$10+1,1))-AVERAGE(OFFSET($H$3,0,0,'Données projet'!$E$10+1,1))</f>
        <v>475.47920969424894</v>
      </c>
      <c r="AO97" s="60">
        <f t="shared" si="90"/>
        <v>271.73544012419364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3.7</v>
      </c>
      <c r="BD97" s="13">
        <f>IF('Données projet'!$A$88&gt;35,BD96+BC97-BL96,IF(A97&lt;'Données projet'!$A$88,$BA$205^A97,IF(A97='Données projet'!$A$88,'Données projet'!$B$88,BD96+BC97-BL96)))</f>
        <v>207.80000000000004</v>
      </c>
      <c r="BE97" s="14">
        <f>BD97*VLOOKUP('Données projet'!$B$11,Paramètres!$A$1:$I$89,3,0)*VLOOKUP('Données projet'!$B$11,Paramètres!$A$1:$I$89,5,0)</f>
        <v>188.01744000000002</v>
      </c>
      <c r="BF97" s="14">
        <f t="shared" si="91"/>
        <v>47.101369760097391</v>
      </c>
      <c r="BG97" s="22">
        <f t="shared" si="61"/>
        <v>409.49859366550299</v>
      </c>
      <c r="BH97" s="60">
        <f t="shared" si="62"/>
        <v>702.83192699883625</v>
      </c>
      <c r="BI97" s="60">
        <f ca="1">AVERAGE(OFFSET($BH$3,0,0,'Données projet'!$E$11+1,1))-AVERAGE(OFFSET($H$3,0,0,'Données projet'!$E$11+1,1))</f>
        <v>325.2649384779973</v>
      </c>
      <c r="BJ97" s="60">
        <f t="shared" si="92"/>
        <v>146.70159365068315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1.0231815394945443E-12</v>
      </c>
      <c r="BZ97" s="14">
        <f>BY97*VLOOKUP('Données projet'!$B$12,Paramètres!$A$1:$I$89,3,0)*VLOOKUP('Données projet'!$B$12,Paramètres!$A$1:$I$89,5,0)</f>
        <v>4.5224624045658859E-13</v>
      </c>
      <c r="CA97" s="14">
        <f t="shared" si="93"/>
        <v>5.6995607121061449E-12</v>
      </c>
      <c r="CB97" s="22">
        <f t="shared" si="64"/>
        <v>1.0714397109046761E-11</v>
      </c>
      <c r="CC97" s="60">
        <f t="shared" si="65"/>
        <v>293.333333333344</v>
      </c>
      <c r="CD97" s="60">
        <f ca="1">AVERAGE(OFFSET($CC$3,0,0,'Données projet'!$E$12+1,1))-AVERAGE(OFFSET($H$3,0,0,'Données projet'!$E$12+1,1))</f>
        <v>401.84375324751227</v>
      </c>
      <c r="CE97" s="60">
        <f t="shared" si="94"/>
        <v>350.39368043404164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1.4131404348446075</v>
      </c>
      <c r="CM97" s="23">
        <f>EXP(-LN(2)/2)*CM96+(1-EXP(-LN(2)/2))/(LN(2)/2)*CG97*CJ97*VLOOKUP('Données projet'!$B$12,Paramètres!$A$1:$I$89,3,0)*0.475*44/12</f>
        <v>3.2441693454169236E-10</v>
      </c>
      <c r="CN97" s="24">
        <f t="shared" si="66"/>
        <v>1.4131404351690244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-1.1368683772161603E-13</v>
      </c>
      <c r="CU97" s="18">
        <f>CT97*VLOOKUP('Données projet'!$B$13,Paramètres!$A$1:$I$89,3,0)*VLOOKUP('Données projet'!$B$13,Paramètres!$A$1:$I$89,5,0)</f>
        <v>-6.7984728957526396E-14</v>
      </c>
      <c r="CV97" s="14" t="e">
        <f t="shared" si="95"/>
        <v>#NUM!</v>
      </c>
      <c r="CW97" s="22" t="e">
        <f t="shared" si="67"/>
        <v>#NUM!</v>
      </c>
      <c r="CX97" s="60" t="e">
        <f t="shared" si="68"/>
        <v>#NUM!</v>
      </c>
      <c r="CY97" s="60">
        <f ca="1">AVERAGE(OFFSET($CX$3,0,0,'Données projet'!$E$13+1,1))-AVERAGE(OFFSET($H$3,0,0,'Données projet'!$E$13+1,1))</f>
        <v>232.73140429491525</v>
      </c>
      <c r="CZ97" s="60">
        <f t="shared" si="96"/>
        <v>201.02719152328638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1.3502333309469567</v>
      </c>
      <c r="DH97" s="23">
        <f>EXP(-LN(2)/2)*DH96+(1-EXP(-LN(2)/2))/(LN(2)/2)*DB97*DE97*VLOOKUP('Données projet'!$B$13,Paramètres!$A$1:$I$89,3,0)*0.475*44/12</f>
        <v>7.1684422235065742E-10</v>
      </c>
      <c r="DI97" s="24">
        <f t="shared" si="69"/>
        <v>1.3502333316638009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2.9487179487179502</v>
      </c>
      <c r="DO97" s="13">
        <f>IF('Données projet'!$A$166&gt;35,DO96+DN97-DW96,IF(A97&lt;'Données projet'!$A$166,$DL$205^A97,IF(A97='Données projet'!$A$166,'Données projet'!$B$166,DO96+DN97-DW96)))</f>
        <v>198.33333333333317</v>
      </c>
      <c r="DP97" s="18">
        <f>DO97*VLOOKUP('Données projet'!$B$14,Paramètres!$A$1:$I$89,3,0)*VLOOKUP('Données projet'!$B$14,Paramètres!$A$1:$I$89,5,0)</f>
        <v>188.73399999999987</v>
      </c>
      <c r="DQ97" s="14">
        <f t="shared" si="97"/>
        <v>47.259949414118182</v>
      </c>
      <c r="DR97" s="22">
        <f t="shared" si="70"/>
        <v>411.02279522958889</v>
      </c>
      <c r="DS97" s="60">
        <f t="shared" si="71"/>
        <v>704.35612856292221</v>
      </c>
      <c r="DT97" s="60">
        <f ca="1">AVERAGE(OFFSET($DS$3,0,0,'Données projet'!$E$14+1,1))-AVERAGE(OFFSET($H$3,0,0,'Données projet'!$E$14+1,1))</f>
        <v>302.15577364214136</v>
      </c>
      <c r="DU97" s="60">
        <f t="shared" si="98"/>
        <v>197.15142751137051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3.4615384615384586</v>
      </c>
      <c r="EJ97" s="13">
        <f>IF('Données projet'!$A$192&gt;35,EJ96+EI97-ER96,IF(A97&lt;'Données projet'!$A$192,$EG$205^A97,IF(A97='Données projet'!$A$192,'Données projet'!$B$192,EJ96+EI97-ER96)))</f>
        <v>288.84615384615364</v>
      </c>
      <c r="EK97" s="18">
        <f>EJ97*VLOOKUP('Données projet'!$B$15,Paramètres!$A$1:$I$89,3,0)*VLOOKUP('Données projet'!$B$15,Paramètres!$A$1:$I$89,5,0)</f>
        <v>301.90199999999982</v>
      </c>
      <c r="EL97" s="14">
        <f t="shared" si="99"/>
        <v>71.575048950857877</v>
      </c>
      <c r="EM97" s="22">
        <f t="shared" si="73"/>
        <v>650.47252692274378</v>
      </c>
      <c r="EN97" s="60">
        <f t="shared" si="74"/>
        <v>943.80586025607704</v>
      </c>
      <c r="EO97" s="60">
        <f ca="1">AVERAGE(OFFSET($EN$3,0,0,'Données projet'!$E$15+1,1))-AVERAGE(OFFSET($H$3,0,0,'Données projet'!$E$15+1,1))</f>
        <v>493.70175665335978</v>
      </c>
      <c r="EP97" s="60">
        <f t="shared" si="100"/>
        <v>325.12357781685949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0" t="e">
        <f t="shared" si="77"/>
        <v>#N/A</v>
      </c>
      <c r="FJ97" s="60" t="e">
        <f ca="1">AVERAGE(OFFSET($FI$3,0,0,'Données projet'!$E$16+1,1))-AVERAGE(OFFSET($H$3,0,0,'Données projet'!$E$16+1,1))</f>
        <v>#N/A</v>
      </c>
      <c r="FK97" s="60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0" t="e">
        <f t="shared" si="80"/>
        <v>#N/A</v>
      </c>
      <c r="GE97" s="60" t="e">
        <f ca="1">AVERAGE(OFFSET($GD$3,0,0,'Données projet'!$E$17+1,1))-AVERAGE(OFFSET($H$3,0,0,'Données projet'!$E$17+1,1))</f>
        <v>#N/A</v>
      </c>
      <c r="GF97" s="60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5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8">
        <f t="shared" si="56"/>
        <v>256.66666666666669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0">
        <f t="shared" si="55"/>
        <v>293.3333333333353</v>
      </c>
      <c r="S98" s="60">
        <f ca="1">AVERAGE(OFFSET($R$3,0,0,'Données projet'!$E$9+1,1))-AVERAGE(OFFSET($H$3,0,0,'Données projet'!$E$9+1,1))</f>
        <v>260.02504691866199</v>
      </c>
      <c r="T98" s="60">
        <f t="shared" si="88"/>
        <v>270.11268336406368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2.7625159749186259</v>
      </c>
      <c r="AA98" s="23">
        <f>EXP(-LN(2)/25)*AA97+(1-EXP(-LN(2)/25))/(LN(2)/25)*Calculateur!V98*Calculateur!X98*VLOOKUP('Données projet'!$B$9,Paramètres!$A$1:$I$89,3,0)*0.475*44/12</f>
        <v>2.7109351786752538</v>
      </c>
      <c r="AB98" s="23">
        <f>EXP(-LN(2)/2)*AB97+(1-EXP(-LN(2)/2))/(LN(2)/2)*V98*Y98*VLOOKUP('Données projet'!$B$9,Paramètres!$A$1:$I$89,3,0)*0.475*44/12</f>
        <v>1.0437866154407682E-9</v>
      </c>
      <c r="AC98" s="24">
        <f t="shared" si="57"/>
        <v>5.4734511546376661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4.9000000000000004</v>
      </c>
      <c r="AI98" s="14">
        <f>IF('Données projet'!$A$62&gt;35,AI97+AH98-AQ97,IF(A98&lt;'Données projet'!$A$62,$AF$205^A98,IF(A98='Données projet'!$A$62,'Données projet'!$B$62,AI97+AH98-AQ97)))</f>
        <v>278.49999999999994</v>
      </c>
      <c r="AJ98" s="14">
        <f>AI98*VLOOKUP('Données projet'!$B$10,Paramètres!$A$1:$I$89,3,0)*VLOOKUP('Données projet'!$B$10,Paramètres!$A$1:$I$89,5,0)</f>
        <v>282.399</v>
      </c>
      <c r="AK98" s="14">
        <f t="shared" si="89"/>
        <v>67.473734542548371</v>
      </c>
      <c r="AL98" s="22">
        <f t="shared" si="58"/>
        <v>609.36167932827175</v>
      </c>
      <c r="AM98" s="60">
        <f t="shared" si="59"/>
        <v>902.69501266160501</v>
      </c>
      <c r="AN98" s="60">
        <f ca="1">AVERAGE(OFFSET($AM$3,0,0,'Données projet'!$E$10+1,1))-AVERAGE(OFFSET($H$3,0,0,'Données projet'!$E$10+1,1))</f>
        <v>475.47920969424894</v>
      </c>
      <c r="AO98" s="60">
        <f t="shared" si="90"/>
        <v>271.73544012419364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3.7</v>
      </c>
      <c r="BD98" s="13">
        <f>IF('Données projet'!$A$88&gt;35,BD97+BC98-BL97,IF(A98&lt;'Données projet'!$A$88,$BA$205^A98,IF(A98='Données projet'!$A$88,'Données projet'!$B$88,BD97+BC98-BL97)))</f>
        <v>211.50000000000003</v>
      </c>
      <c r="BE98" s="14">
        <f>BD98*VLOOKUP('Données projet'!$B$11,Paramètres!$A$1:$I$89,3,0)*VLOOKUP('Données projet'!$B$11,Paramètres!$A$1:$I$89,5,0)</f>
        <v>191.36520000000002</v>
      </c>
      <c r="BF98" s="14">
        <f t="shared" si="91"/>
        <v>47.841653305605021</v>
      </c>
      <c r="BG98" s="22">
        <f t="shared" si="61"/>
        <v>416.61860284059543</v>
      </c>
      <c r="BH98" s="60">
        <f t="shared" si="62"/>
        <v>709.95193617392874</v>
      </c>
      <c r="BI98" s="60">
        <f ca="1">AVERAGE(OFFSET($BH$3,0,0,'Données projet'!$E$11+1,1))-AVERAGE(OFFSET($H$3,0,0,'Données projet'!$E$11+1,1))</f>
        <v>325.2649384779973</v>
      </c>
      <c r="BJ98" s="60">
        <f t="shared" si="92"/>
        <v>146.70159365068315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1.0231815394945443E-12</v>
      </c>
      <c r="BZ98" s="14">
        <f>BY98*VLOOKUP('Données projet'!$B$12,Paramètres!$A$1:$I$89,3,0)*VLOOKUP('Données projet'!$B$12,Paramètres!$A$1:$I$89,5,0)</f>
        <v>4.5224624045658859E-13</v>
      </c>
      <c r="CA98" s="14">
        <f t="shared" si="93"/>
        <v>5.6995607121061449E-12</v>
      </c>
      <c r="CB98" s="22">
        <f t="shared" si="64"/>
        <v>1.0714397109046761E-11</v>
      </c>
      <c r="CC98" s="60">
        <f t="shared" si="65"/>
        <v>293.333333333344</v>
      </c>
      <c r="CD98" s="60">
        <f ca="1">AVERAGE(OFFSET($CC$3,0,0,'Données projet'!$E$12+1,1))-AVERAGE(OFFSET($H$3,0,0,'Données projet'!$E$12+1,1))</f>
        <v>401.84375324751227</v>
      </c>
      <c r="CE98" s="60">
        <f t="shared" si="94"/>
        <v>350.39368043404164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1.3744980353399561</v>
      </c>
      <c r="CM98" s="23">
        <f>EXP(-LN(2)/2)*CM97+(1-EXP(-LN(2)/2))/(LN(2)/2)*CG98*CJ98*VLOOKUP('Données projet'!$B$12,Paramètres!$A$1:$I$89,3,0)*0.475*44/12</f>
        <v>2.2939741434618299E-10</v>
      </c>
      <c r="CN98" s="24">
        <f t="shared" si="66"/>
        <v>1.3744980355693535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-1.1368683772161603E-13</v>
      </c>
      <c r="CU98" s="18">
        <f>CT98*VLOOKUP('Données projet'!$B$13,Paramètres!$A$1:$I$89,3,0)*VLOOKUP('Données projet'!$B$13,Paramètres!$A$1:$I$89,5,0)</f>
        <v>-6.7984728957526396E-14</v>
      </c>
      <c r="CV98" s="14" t="e">
        <f t="shared" si="95"/>
        <v>#NUM!</v>
      </c>
      <c r="CW98" s="22" t="e">
        <f t="shared" si="67"/>
        <v>#NUM!</v>
      </c>
      <c r="CX98" s="60" t="e">
        <f t="shared" si="68"/>
        <v>#NUM!</v>
      </c>
      <c r="CY98" s="60">
        <f ca="1">AVERAGE(OFFSET($CX$3,0,0,'Données projet'!$E$13+1,1))-AVERAGE(OFFSET($H$3,0,0,'Données projet'!$E$13+1,1))</f>
        <v>232.73140429491525</v>
      </c>
      <c r="CZ98" s="60">
        <f t="shared" si="96"/>
        <v>201.02719152328638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1.3133111295065274</v>
      </c>
      <c r="DH98" s="23">
        <f>EXP(-LN(2)/2)*DH97+(1-EXP(-LN(2)/2))/(LN(2)/2)*DB98*DE98*VLOOKUP('Données projet'!$B$13,Paramètres!$A$1:$I$89,3,0)*0.475*44/12</f>
        <v>5.0688541067854713E-10</v>
      </c>
      <c r="DI98" s="24">
        <f t="shared" si="69"/>
        <v>1.3133111300134128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201.28205128205127</v>
      </c>
      <c r="DM98" s="13">
        <f>VLOOKUP(A98,'Données projet'!$A$165:$I$185,9,0)</f>
        <v>2.9487179487179502</v>
      </c>
      <c r="DN98" s="13">
        <f t="array" ref="DN98">INDEX(DM:DM,MIN(IF(ISNUMBER(DM98:DM294),ROW(DM98:DM294),"")))</f>
        <v>2.9487179487179502</v>
      </c>
      <c r="DO98" s="13">
        <f>IF('Données projet'!$A$166&gt;35,DO97+DN98-DW97,IF(A98&lt;'Données projet'!$A$166,$DL$205^A98,IF(A98='Données projet'!$A$166,'Données projet'!$B$166,DO97+DN98-DW97)))</f>
        <v>201.28205128205113</v>
      </c>
      <c r="DP98" s="18">
        <f>DO98*VLOOKUP('Données projet'!$B$14,Paramètres!$A$1:$I$89,3,0)*VLOOKUP('Données projet'!$B$14,Paramètres!$A$1:$I$89,5,0)</f>
        <v>191.53999999999985</v>
      </c>
      <c r="DQ98" s="14">
        <f t="shared" si="97"/>
        <v>47.880264858682743</v>
      </c>
      <c r="DR98" s="22">
        <f t="shared" si="70"/>
        <v>416.99029462887216</v>
      </c>
      <c r="DS98" s="60">
        <f t="shared" si="71"/>
        <v>710.32362796220548</v>
      </c>
      <c r="DT98" s="60">
        <f ca="1">AVERAGE(OFFSET($DS$3,0,0,'Données projet'!$E$14+1,1))-AVERAGE(OFFSET($H$3,0,0,'Données projet'!$E$14+1,1))</f>
        <v>302.15577364214136</v>
      </c>
      <c r="DU98" s="60">
        <f t="shared" si="98"/>
        <v>197.15142751137051</v>
      </c>
      <c r="DV98" s="16">
        <f>IF(ISNA(VLOOKUP(A98,'Données projet'!$A$165:$I$185,3,0)),0,VLOOKUP(A98,'Données projet'!$A$165:$I$185,3,0))</f>
        <v>8</v>
      </c>
      <c r="DW98" s="16">
        <f>IF(ISNA(VLOOKUP(A98,'Données projet'!$A$165:$I$185,4,0)),0,VLOOKUP(A98,'Données projet'!$A$165:$I$185,4,0))</f>
        <v>20.512820512820511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3.4615384615384586</v>
      </c>
      <c r="EJ98" s="13">
        <f>IF('Données projet'!$A$192&gt;35,EJ97+EI98-ER97,IF(A98&lt;'Données projet'!$A$192,$EG$205^A98,IF(A98='Données projet'!$A$192,'Données projet'!$B$192,EJ97+EI98-ER97)))</f>
        <v>292.30769230769209</v>
      </c>
      <c r="EK98" s="18">
        <f>EJ98*VLOOKUP('Données projet'!$B$15,Paramètres!$A$1:$I$89,3,0)*VLOOKUP('Données projet'!$B$15,Paramètres!$A$1:$I$89,5,0)</f>
        <v>305.51999999999981</v>
      </c>
      <c r="EL98" s="14">
        <f t="shared" si="99"/>
        <v>72.332436678206648</v>
      </c>
      <c r="EM98" s="22">
        <f t="shared" si="73"/>
        <v>658.09299388120962</v>
      </c>
      <c r="EN98" s="60">
        <f t="shared" si="74"/>
        <v>951.42632721454288</v>
      </c>
      <c r="EO98" s="60">
        <f ca="1">AVERAGE(OFFSET($EN$3,0,0,'Données projet'!$E$15+1,1))-AVERAGE(OFFSET($H$3,0,0,'Données projet'!$E$15+1,1))</f>
        <v>493.70175665335978</v>
      </c>
      <c r="EP98" s="60">
        <f t="shared" si="100"/>
        <v>325.12357781685949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0" t="e">
        <f t="shared" si="77"/>
        <v>#N/A</v>
      </c>
      <c r="FJ98" s="60" t="e">
        <f ca="1">AVERAGE(OFFSET($FI$3,0,0,'Données projet'!$E$16+1,1))-AVERAGE(OFFSET($H$3,0,0,'Données projet'!$E$16+1,1))</f>
        <v>#N/A</v>
      </c>
      <c r="FK98" s="60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0" t="e">
        <f t="shared" si="80"/>
        <v>#N/A</v>
      </c>
      <c r="GE98" s="60" t="e">
        <f ca="1">AVERAGE(OFFSET($GD$3,0,0,'Données projet'!$E$17+1,1))-AVERAGE(OFFSET($H$3,0,0,'Données projet'!$E$17+1,1))</f>
        <v>#N/A</v>
      </c>
      <c r="GF98" s="60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5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8">
        <f t="shared" si="56"/>
        <v>256.66666666666669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0">
        <f t="shared" si="55"/>
        <v>293.3333333333353</v>
      </c>
      <c r="S99" s="60">
        <f ca="1">AVERAGE(OFFSET($R$3,0,0,'Données projet'!$E$9+1,1))-AVERAGE(OFFSET($H$3,0,0,'Données projet'!$E$9+1,1))</f>
        <v>260.02504691866199</v>
      </c>
      <c r="T99" s="60">
        <f t="shared" si="88"/>
        <v>270.11268336406368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2.7083447216188397</v>
      </c>
      <c r="AA99" s="23">
        <f>EXP(-LN(2)/25)*AA98+(1-EXP(-LN(2)/25))/(LN(2)/25)*Calculateur!V99*Calculateur!X99*VLOOKUP('Données projet'!$B$9,Paramètres!$A$1:$I$89,3,0)*0.475*44/12</f>
        <v>2.636804513652494</v>
      </c>
      <c r="AB99" s="23">
        <f>EXP(-LN(2)/2)*AB98+(1-EXP(-LN(2)/2))/(LN(2)/2)*V99*Y99*VLOOKUP('Données projet'!$B$9,Paramètres!$A$1:$I$89,3,0)*0.475*44/12</f>
        <v>7.3806859388992234E-10</v>
      </c>
      <c r="AC99" s="24">
        <f t="shared" si="57"/>
        <v>5.3451492360094024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4.9000000000000004</v>
      </c>
      <c r="AI99" s="14">
        <f>IF('Données projet'!$A$62&gt;35,AI98+AH99-AQ98,IF(A99&lt;'Données projet'!$A$62,$AF$205^A99,IF(A99='Données projet'!$A$62,'Données projet'!$B$62,AI98+AH99-AQ98)))</f>
        <v>283.39999999999992</v>
      </c>
      <c r="AJ99" s="14">
        <f>AI99*VLOOKUP('Données projet'!$B$10,Paramètres!$A$1:$I$89,3,0)*VLOOKUP('Données projet'!$B$10,Paramètres!$A$1:$I$89,5,0)</f>
        <v>287.36759999999992</v>
      </c>
      <c r="AK99" s="14">
        <f t="shared" si="89"/>
        <v>68.521633201565123</v>
      </c>
      <c r="AL99" s="22">
        <f t="shared" si="58"/>
        <v>619.84041449272581</v>
      </c>
      <c r="AM99" s="60">
        <f t="shared" si="59"/>
        <v>913.17374782605907</v>
      </c>
      <c r="AN99" s="60">
        <f ca="1">AVERAGE(OFFSET($AM$3,0,0,'Données projet'!$E$10+1,1))-AVERAGE(OFFSET($H$3,0,0,'Données projet'!$E$10+1,1))</f>
        <v>475.47920969424894</v>
      </c>
      <c r="AO99" s="60">
        <f t="shared" si="90"/>
        <v>271.73544012419364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3.7</v>
      </c>
      <c r="BD99" s="13">
        <f>IF('Données projet'!$A$88&gt;35,BD98+BC99-BL98,IF(A99&lt;'Données projet'!$A$88,$BA$205^A99,IF(A99='Données projet'!$A$88,'Données projet'!$B$88,BD98+BC99-BL98)))</f>
        <v>215.20000000000002</v>
      </c>
      <c r="BE99" s="14">
        <f>BD99*VLOOKUP('Données projet'!$B$11,Paramètres!$A$1:$I$89,3,0)*VLOOKUP('Données projet'!$B$11,Paramètres!$A$1:$I$89,5,0)</f>
        <v>194.71296000000001</v>
      </c>
      <c r="BF99" s="14">
        <f t="shared" si="91"/>
        <v>48.580430855369244</v>
      </c>
      <c r="BG99" s="22">
        <f t="shared" si="61"/>
        <v>423.73598907310139</v>
      </c>
      <c r="BH99" s="60">
        <f t="shared" si="62"/>
        <v>717.06932240643471</v>
      </c>
      <c r="BI99" s="60">
        <f ca="1">AVERAGE(OFFSET($BH$3,0,0,'Données projet'!$E$11+1,1))-AVERAGE(OFFSET($H$3,0,0,'Données projet'!$E$11+1,1))</f>
        <v>325.2649384779973</v>
      </c>
      <c r="BJ99" s="60">
        <f t="shared" si="92"/>
        <v>146.70159365068315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1.0231815394945443E-12</v>
      </c>
      <c r="BZ99" s="14">
        <f>BY99*VLOOKUP('Données projet'!$B$12,Paramètres!$A$1:$I$89,3,0)*VLOOKUP('Données projet'!$B$12,Paramètres!$A$1:$I$89,5,0)</f>
        <v>4.5224624045658859E-13</v>
      </c>
      <c r="CA99" s="14">
        <f t="shared" si="93"/>
        <v>5.6995607121061449E-12</v>
      </c>
      <c r="CB99" s="22">
        <f t="shared" si="64"/>
        <v>1.0714397109046761E-11</v>
      </c>
      <c r="CC99" s="60">
        <f t="shared" si="65"/>
        <v>293.333333333344</v>
      </c>
      <c r="CD99" s="60">
        <f ca="1">AVERAGE(OFFSET($CC$3,0,0,'Données projet'!$E$12+1,1))-AVERAGE(OFFSET($H$3,0,0,'Données projet'!$E$12+1,1))</f>
        <v>401.84375324751227</v>
      </c>
      <c r="CE99" s="60">
        <f t="shared" si="94"/>
        <v>350.39368043404164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1.3369123142818748</v>
      </c>
      <c r="CM99" s="23">
        <f>EXP(-LN(2)/2)*CM98+(1-EXP(-LN(2)/2))/(LN(2)/2)*CG99*CJ99*VLOOKUP('Données projet'!$B$12,Paramètres!$A$1:$I$89,3,0)*0.475*44/12</f>
        <v>1.6220846727084621E-10</v>
      </c>
      <c r="CN99" s="24">
        <f t="shared" si="66"/>
        <v>1.3369123144440833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-1.1368683772161603E-13</v>
      </c>
      <c r="CU99" s="18">
        <f>CT99*VLOOKUP('Données projet'!$B$13,Paramètres!$A$1:$I$89,3,0)*VLOOKUP('Données projet'!$B$13,Paramètres!$A$1:$I$89,5,0)</f>
        <v>-6.7984728957526396E-14</v>
      </c>
      <c r="CV99" s="14" t="e">
        <f t="shared" si="95"/>
        <v>#NUM!</v>
      </c>
      <c r="CW99" s="22" t="e">
        <f t="shared" si="67"/>
        <v>#NUM!</v>
      </c>
      <c r="CX99" s="60" t="e">
        <f t="shared" si="68"/>
        <v>#NUM!</v>
      </c>
      <c r="CY99" s="60">
        <f ca="1">AVERAGE(OFFSET($CX$3,0,0,'Données projet'!$E$13+1,1))-AVERAGE(OFFSET($H$3,0,0,'Données projet'!$E$13+1,1))</f>
        <v>232.73140429491525</v>
      </c>
      <c r="CZ99" s="60">
        <f t="shared" si="96"/>
        <v>201.02719152328638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1.2773985676061408</v>
      </c>
      <c r="DH99" s="23">
        <f>EXP(-LN(2)/2)*DH98+(1-EXP(-LN(2)/2))/(LN(2)/2)*DB99*DE99*VLOOKUP('Données projet'!$B$13,Paramètres!$A$1:$I$89,3,0)*0.475*44/12</f>
        <v>3.5842211117532871E-10</v>
      </c>
      <c r="DI99" s="24">
        <f t="shared" si="69"/>
        <v>1.277398567964563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2.9487179487179445</v>
      </c>
      <c r="DO99" s="13">
        <f>IF('Données projet'!$A$166&gt;35,DO98+DN99-DW98,IF(A99&lt;'Données projet'!$A$166,$DL$205^A99,IF(A99='Données projet'!$A$166,'Données projet'!$B$166,DO98+DN99-DW98)))</f>
        <v>183.71794871794856</v>
      </c>
      <c r="DP99" s="18">
        <f>DO99*VLOOKUP('Données projet'!$B$14,Paramètres!$A$1:$I$89,3,0)*VLOOKUP('Données projet'!$B$14,Paramètres!$A$1:$I$89,5,0)</f>
        <v>174.82599999999985</v>
      </c>
      <c r="DQ99" s="14">
        <f t="shared" si="97"/>
        <v>44.169119834867992</v>
      </c>
      <c r="DR99" s="22">
        <f t="shared" si="70"/>
        <v>381.41650037906152</v>
      </c>
      <c r="DS99" s="60">
        <f t="shared" si="71"/>
        <v>674.74983371239477</v>
      </c>
      <c r="DT99" s="60">
        <f ca="1">AVERAGE(OFFSET($DS$3,0,0,'Données projet'!$E$14+1,1))-AVERAGE(OFFSET($H$3,0,0,'Données projet'!$E$14+1,1))</f>
        <v>302.15577364214136</v>
      </c>
      <c r="DU99" s="60">
        <f t="shared" si="98"/>
        <v>197.15142751137051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3.4615384615384586</v>
      </c>
      <c r="EJ99" s="13">
        <f>IF('Données projet'!$A$192&gt;35,EJ98+EI99-ER98,IF(A99&lt;'Données projet'!$A$192,$EG$205^A99,IF(A99='Données projet'!$A$192,'Données projet'!$B$192,EJ98+EI99-ER98)))</f>
        <v>295.76923076923055</v>
      </c>
      <c r="EK99" s="18">
        <f>EJ99*VLOOKUP('Données projet'!$B$15,Paramètres!$A$1:$I$89,3,0)*VLOOKUP('Données projet'!$B$15,Paramètres!$A$1:$I$89,5,0)</f>
        <v>309.13799999999981</v>
      </c>
      <c r="EL99" s="14">
        <f t="shared" si="99"/>
        <v>73.088781099784711</v>
      </c>
      <c r="EM99" s="22">
        <f t="shared" si="73"/>
        <v>665.71164374879129</v>
      </c>
      <c r="EN99" s="60">
        <f t="shared" si="74"/>
        <v>959.04497708212466</v>
      </c>
      <c r="EO99" s="60">
        <f ca="1">AVERAGE(OFFSET($EN$3,0,0,'Données projet'!$E$15+1,1))-AVERAGE(OFFSET($H$3,0,0,'Données projet'!$E$15+1,1))</f>
        <v>493.70175665335978</v>
      </c>
      <c r="EP99" s="60">
        <f t="shared" si="100"/>
        <v>325.12357781685949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0" t="e">
        <f t="shared" si="77"/>
        <v>#N/A</v>
      </c>
      <c r="FJ99" s="60" t="e">
        <f ca="1">AVERAGE(OFFSET($FI$3,0,0,'Données projet'!$E$16+1,1))-AVERAGE(OFFSET($H$3,0,0,'Données projet'!$E$16+1,1))</f>
        <v>#N/A</v>
      </c>
      <c r="FK99" s="60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0" t="e">
        <f t="shared" si="80"/>
        <v>#N/A</v>
      </c>
      <c r="GE99" s="60" t="e">
        <f ca="1">AVERAGE(OFFSET($GD$3,0,0,'Données projet'!$E$17+1,1))-AVERAGE(OFFSET($H$3,0,0,'Données projet'!$E$17+1,1))</f>
        <v>#N/A</v>
      </c>
      <c r="GF99" s="60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5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8">
        <f t="shared" si="56"/>
        <v>256.66666666666669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0">
        <f t="shared" si="55"/>
        <v>293.3333333333353</v>
      </c>
      <c r="S100" s="60">
        <f ca="1">AVERAGE(OFFSET($R$3,0,0,'Données projet'!$E$9+1,1))-AVERAGE(OFFSET($H$3,0,0,'Données projet'!$E$9+1,1))</f>
        <v>260.02504691866199</v>
      </c>
      <c r="T100" s="60">
        <f t="shared" si="88"/>
        <v>270.11268336406368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2.65523573355506</v>
      </c>
      <c r="AA100" s="23">
        <f>EXP(-LN(2)/25)*AA99+(1-EXP(-LN(2)/25))/(LN(2)/25)*Calculateur!V100*Calculateur!X100*VLOOKUP('Données projet'!$B$9,Paramètres!$A$1:$I$89,3,0)*0.475*44/12</f>
        <v>2.5647009555631435</v>
      </c>
      <c r="AB100" s="23">
        <f>EXP(-LN(2)/2)*AB99+(1-EXP(-LN(2)/2))/(LN(2)/2)*V100*Y100*VLOOKUP('Données projet'!$B$9,Paramètres!$A$1:$I$89,3,0)*0.475*44/12</f>
        <v>5.2189330772038412E-10</v>
      </c>
      <c r="AC100" s="24">
        <f t="shared" si="57"/>
        <v>5.2199366896400967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4.9000000000000004</v>
      </c>
      <c r="AI100" s="14">
        <f>IF('Données projet'!$A$62&gt;35,AI99+AH100-AQ99,IF(A100&lt;'Données projet'!$A$62,$AF$205^A100,IF(A100='Données projet'!$A$62,'Données projet'!$B$62,AI99+AH100-AQ99)))</f>
        <v>288.2999999999999</v>
      </c>
      <c r="AJ100" s="14">
        <f>AI100*VLOOKUP('Données projet'!$B$10,Paramètres!$A$1:$I$89,3,0)*VLOOKUP('Données projet'!$B$10,Paramètres!$A$1:$I$89,5,0)</f>
        <v>292.33619999999996</v>
      </c>
      <c r="AK100" s="14">
        <f t="shared" si="89"/>
        <v>69.56742490962327</v>
      </c>
      <c r="AL100" s="22">
        <f t="shared" si="58"/>
        <v>630.31548005092702</v>
      </c>
      <c r="AM100" s="60">
        <f t="shared" si="59"/>
        <v>923.64881338426039</v>
      </c>
      <c r="AN100" s="60">
        <f ca="1">AVERAGE(OFFSET($AM$3,0,0,'Données projet'!$E$10+1,1))-AVERAGE(OFFSET($H$3,0,0,'Données projet'!$E$10+1,1))</f>
        <v>475.47920969424894</v>
      </c>
      <c r="AO100" s="60">
        <f t="shared" si="90"/>
        <v>271.73544012419364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3.7</v>
      </c>
      <c r="BD100" s="13">
        <f>IF('Données projet'!$A$88&gt;35,BD99+BC100-BL99,IF(A100&lt;'Données projet'!$A$88,$BA$205^A100,IF(A100='Données projet'!$A$88,'Données projet'!$B$88,BD99+BC100-BL99)))</f>
        <v>218.9</v>
      </c>
      <c r="BE100" s="14">
        <f>BD100*VLOOKUP('Données projet'!$B$11,Paramètres!$A$1:$I$89,3,0)*VLOOKUP('Données projet'!$B$11,Paramètres!$A$1:$I$89,5,0)</f>
        <v>198.06072</v>
      </c>
      <c r="BF100" s="14">
        <f t="shared" si="91"/>
        <v>49.317731290351951</v>
      </c>
      <c r="BG100" s="22">
        <f t="shared" si="61"/>
        <v>430.85080266402957</v>
      </c>
      <c r="BH100" s="60">
        <f t="shared" si="62"/>
        <v>724.18413599736289</v>
      </c>
      <c r="BI100" s="60">
        <f ca="1">AVERAGE(OFFSET($BH$3,0,0,'Données projet'!$E$11+1,1))-AVERAGE(OFFSET($H$3,0,0,'Données projet'!$E$11+1,1))</f>
        <v>325.2649384779973</v>
      </c>
      <c r="BJ100" s="60">
        <f t="shared" si="92"/>
        <v>146.70159365068315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1.0231815394945443E-12</v>
      </c>
      <c r="BZ100" s="14">
        <f>BY100*VLOOKUP('Données projet'!$B$12,Paramètres!$A$1:$I$89,3,0)*VLOOKUP('Données projet'!$B$12,Paramètres!$A$1:$I$89,5,0)</f>
        <v>4.5224624045658859E-13</v>
      </c>
      <c r="CA100" s="14">
        <f t="shared" si="93"/>
        <v>5.6995607121061449E-12</v>
      </c>
      <c r="CB100" s="22">
        <f t="shared" si="64"/>
        <v>1.0714397109046761E-11</v>
      </c>
      <c r="CC100" s="60">
        <f t="shared" si="65"/>
        <v>293.333333333344</v>
      </c>
      <c r="CD100" s="60">
        <f ca="1">AVERAGE(OFFSET($CC$3,0,0,'Données projet'!$E$12+1,1))-AVERAGE(OFFSET($H$3,0,0,'Données projet'!$E$12+1,1))</f>
        <v>401.84375324751227</v>
      </c>
      <c r="CE100" s="60">
        <f t="shared" si="94"/>
        <v>350.39368043404164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1.300354376742674</v>
      </c>
      <c r="CM100" s="23">
        <f>EXP(-LN(2)/2)*CM99+(1-EXP(-LN(2)/2))/(LN(2)/2)*CG100*CJ100*VLOOKUP('Données projet'!$B$12,Paramètres!$A$1:$I$89,3,0)*0.475*44/12</f>
        <v>1.1469870717309151E-10</v>
      </c>
      <c r="CN100" s="24">
        <f t="shared" si="66"/>
        <v>1.3003543768573727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-1.1368683772161603E-13</v>
      </c>
      <c r="CU100" s="18">
        <f>CT100*VLOOKUP('Données projet'!$B$13,Paramètres!$A$1:$I$89,3,0)*VLOOKUP('Données projet'!$B$13,Paramètres!$A$1:$I$89,5,0)</f>
        <v>-6.7984728957526396E-14</v>
      </c>
      <c r="CV100" s="14" t="e">
        <f t="shared" si="95"/>
        <v>#NUM!</v>
      </c>
      <c r="CW100" s="22" t="e">
        <f t="shared" si="67"/>
        <v>#NUM!</v>
      </c>
      <c r="CX100" s="60" t="e">
        <f t="shared" si="68"/>
        <v>#NUM!</v>
      </c>
      <c r="CY100" s="60">
        <f ca="1">AVERAGE(OFFSET($CX$3,0,0,'Données projet'!$E$13+1,1))-AVERAGE(OFFSET($H$3,0,0,'Données projet'!$E$13+1,1))</f>
        <v>232.73140429491525</v>
      </c>
      <c r="CZ100" s="60">
        <f t="shared" si="96"/>
        <v>201.02719152328638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1.2424680365994798</v>
      </c>
      <c r="DH100" s="23">
        <f>EXP(-LN(2)/2)*DH99+(1-EXP(-LN(2)/2))/(LN(2)/2)*DB100*DE100*VLOOKUP('Données projet'!$B$13,Paramètres!$A$1:$I$89,3,0)*0.475*44/12</f>
        <v>2.5344270533927357E-10</v>
      </c>
      <c r="DI100" s="24">
        <f t="shared" si="69"/>
        <v>1.2424680368529224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2.9487179487179445</v>
      </c>
      <c r="DO100" s="13">
        <f>IF('Données projet'!$A$166&gt;35,DO99+DN100-DW99,IF(A100&lt;'Données projet'!$A$166,$DL$205^A100,IF(A100='Données projet'!$A$166,'Données projet'!$B$166,DO99+DN100-DW99)))</f>
        <v>186.66666666666652</v>
      </c>
      <c r="DP100" s="18">
        <f>DO100*VLOOKUP('Données projet'!$B$14,Paramètres!$A$1:$I$89,3,0)*VLOOKUP('Données projet'!$B$14,Paramètres!$A$1:$I$89,5,0)</f>
        <v>177.63199999999986</v>
      </c>
      <c r="DQ100" s="14">
        <f t="shared" si="97"/>
        <v>44.794944431725291</v>
      </c>
      <c r="DR100" s="22">
        <f t="shared" si="70"/>
        <v>387.39359488525469</v>
      </c>
      <c r="DS100" s="60">
        <f t="shared" si="71"/>
        <v>680.726928218588</v>
      </c>
      <c r="DT100" s="60">
        <f ca="1">AVERAGE(OFFSET($DS$3,0,0,'Données projet'!$E$14+1,1))-AVERAGE(OFFSET($H$3,0,0,'Données projet'!$E$14+1,1))</f>
        <v>302.15577364214136</v>
      </c>
      <c r="DU100" s="60">
        <f t="shared" si="98"/>
        <v>197.15142751137051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3.4615384615384586</v>
      </c>
      <c r="EJ100" s="13">
        <f>IF('Données projet'!$A$192&gt;35,EJ99+EI100-ER99,IF(A100&lt;'Données projet'!$A$192,$EG$205^A100,IF(A100='Données projet'!$A$192,'Données projet'!$B$192,EJ99+EI100-ER99)))</f>
        <v>299.230769230769</v>
      </c>
      <c r="EK100" s="18">
        <f>EJ100*VLOOKUP('Données projet'!$B$15,Paramètres!$A$1:$I$89,3,0)*VLOOKUP('Données projet'!$B$15,Paramètres!$A$1:$I$89,5,0)</f>
        <v>312.7559999999998</v>
      </c>
      <c r="EL100" s="14">
        <f t="shared" si="99"/>
        <v>73.844095838560634</v>
      </c>
      <c r="EM100" s="22">
        <f t="shared" si="73"/>
        <v>673.32850025215942</v>
      </c>
      <c r="EN100" s="60">
        <f t="shared" si="74"/>
        <v>966.66183358549279</v>
      </c>
      <c r="EO100" s="60">
        <f ca="1">AVERAGE(OFFSET($EN$3,0,0,'Données projet'!$E$15+1,1))-AVERAGE(OFFSET($H$3,0,0,'Données projet'!$E$15+1,1))</f>
        <v>493.70175665335978</v>
      </c>
      <c r="EP100" s="60">
        <f t="shared" si="100"/>
        <v>325.12357781685949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0" t="e">
        <f t="shared" si="77"/>
        <v>#N/A</v>
      </c>
      <c r="FJ100" s="60" t="e">
        <f ca="1">AVERAGE(OFFSET($FI$3,0,0,'Données projet'!$E$16+1,1))-AVERAGE(OFFSET($H$3,0,0,'Données projet'!$E$16+1,1))</f>
        <v>#N/A</v>
      </c>
      <c r="FK100" s="60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0" t="e">
        <f t="shared" si="80"/>
        <v>#N/A</v>
      </c>
      <c r="GE100" s="60" t="e">
        <f ca="1">AVERAGE(OFFSET($GD$3,0,0,'Données projet'!$E$17+1,1))-AVERAGE(OFFSET($H$3,0,0,'Données projet'!$E$17+1,1))</f>
        <v>#N/A</v>
      </c>
      <c r="GF100" s="60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5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8">
        <f t="shared" si="56"/>
        <v>256.66666666666669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0">
        <f t="shared" si="55"/>
        <v>293.3333333333353</v>
      </c>
      <c r="S101" s="60">
        <f ca="1">AVERAGE(OFFSET($R$3,0,0,'Données projet'!$E$9+1,1))-AVERAGE(OFFSET($H$3,0,0,'Données projet'!$E$9+1,1))</f>
        <v>260.02504691866199</v>
      </c>
      <c r="T101" s="60">
        <f t="shared" si="88"/>
        <v>270.11268336406368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2.6031681803539271</v>
      </c>
      <c r="AA101" s="23">
        <f>EXP(-LN(2)/25)*AA100+(1-EXP(-LN(2)/25))/(LN(2)/25)*Calculateur!V101*Calculateur!X101*VLOOKUP('Données projet'!$B$9,Paramètres!$A$1:$I$89,3,0)*0.475*44/12</f>
        <v>2.4945690730615078</v>
      </c>
      <c r="AB101" s="23">
        <f>EXP(-LN(2)/2)*AB100+(1-EXP(-LN(2)/2))/(LN(2)/2)*V101*Y101*VLOOKUP('Données projet'!$B$9,Paramètres!$A$1:$I$89,3,0)*0.475*44/12</f>
        <v>3.6903429694496117E-10</v>
      </c>
      <c r="AC101" s="24">
        <f t="shared" si="57"/>
        <v>5.0977372537844694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4.9000000000000004</v>
      </c>
      <c r="AI101" s="14">
        <f>IF('Données projet'!$A$62&gt;35,AI100+AH101-AQ100,IF(A101&lt;'Données projet'!$A$62,$AF$205^A101,IF(A101='Données projet'!$A$62,'Données projet'!$B$62,AI100+AH101-AQ100)))</f>
        <v>293.19999999999987</v>
      </c>
      <c r="AJ101" s="14">
        <f>AI101*VLOOKUP('Données projet'!$B$10,Paramètres!$A$1:$I$89,3,0)*VLOOKUP('Données projet'!$B$10,Paramètres!$A$1:$I$89,5,0)</f>
        <v>297.30479999999989</v>
      </c>
      <c r="AK101" s="14">
        <f t="shared" si="89"/>
        <v>70.611149609504906</v>
      </c>
      <c r="AL101" s="22">
        <f t="shared" si="58"/>
        <v>640.78694556988739</v>
      </c>
      <c r="AM101" s="60">
        <f t="shared" si="59"/>
        <v>934.12027890322065</v>
      </c>
      <c r="AN101" s="60">
        <f ca="1">AVERAGE(OFFSET($AM$3,0,0,'Données projet'!$E$10+1,1))-AVERAGE(OFFSET($H$3,0,0,'Données projet'!$E$10+1,1))</f>
        <v>475.47920969424894</v>
      </c>
      <c r="AO101" s="60">
        <f t="shared" si="90"/>
        <v>271.73544012419364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3.7</v>
      </c>
      <c r="BD101" s="13">
        <f>IF('Données projet'!$A$88&gt;35,BD100+BC101-BL100,IF(A101&lt;'Données projet'!$A$88,$BA$205^A101,IF(A101='Données projet'!$A$88,'Données projet'!$B$88,BD100+BC101-BL100)))</f>
        <v>222.6</v>
      </c>
      <c r="BE101" s="14">
        <f>BD101*VLOOKUP('Données projet'!$B$11,Paramètres!$A$1:$I$89,3,0)*VLOOKUP('Données projet'!$B$11,Paramètres!$A$1:$I$89,5,0)</f>
        <v>201.40847999999997</v>
      </c>
      <c r="BF101" s="14">
        <f t="shared" si="91"/>
        <v>50.053582459229212</v>
      </c>
      <c r="BG101" s="22">
        <f t="shared" si="61"/>
        <v>437.96309211649077</v>
      </c>
      <c r="BH101" s="60">
        <f t="shared" si="62"/>
        <v>731.29642544982403</v>
      </c>
      <c r="BI101" s="60">
        <f ca="1">AVERAGE(OFFSET($BH$3,0,0,'Données projet'!$E$11+1,1))-AVERAGE(OFFSET($H$3,0,0,'Données projet'!$E$11+1,1))</f>
        <v>325.2649384779973</v>
      </c>
      <c r="BJ101" s="60">
        <f t="shared" si="92"/>
        <v>146.70159365068315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1.0231815394945443E-12</v>
      </c>
      <c r="BZ101" s="14">
        <f>BY101*VLOOKUP('Données projet'!$B$12,Paramètres!$A$1:$I$89,3,0)*VLOOKUP('Données projet'!$B$12,Paramètres!$A$1:$I$89,5,0)</f>
        <v>4.5224624045658859E-13</v>
      </c>
      <c r="CA101" s="14">
        <f t="shared" si="93"/>
        <v>5.6995607121061449E-12</v>
      </c>
      <c r="CB101" s="22">
        <f t="shared" si="64"/>
        <v>1.0714397109046761E-11</v>
      </c>
      <c r="CC101" s="60">
        <f t="shared" si="65"/>
        <v>293.333333333344</v>
      </c>
      <c r="CD101" s="60">
        <f ca="1">AVERAGE(OFFSET($CC$3,0,0,'Données projet'!$E$12+1,1))-AVERAGE(OFFSET($H$3,0,0,'Données projet'!$E$12+1,1))</f>
        <v>401.84375324751227</v>
      </c>
      <c r="CE101" s="60">
        <f t="shared" si="94"/>
        <v>350.39368043404164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1.264796117927981</v>
      </c>
      <c r="CM101" s="23">
        <f>EXP(-LN(2)/2)*CM100+(1-EXP(-LN(2)/2))/(LN(2)/2)*CG101*CJ101*VLOOKUP('Données projet'!$B$12,Paramètres!$A$1:$I$89,3,0)*0.475*44/12</f>
        <v>8.1104233635423116E-11</v>
      </c>
      <c r="CN101" s="24">
        <f t="shared" si="66"/>
        <v>1.2647961180090852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-1.1368683772161603E-13</v>
      </c>
      <c r="CU101" s="18">
        <f>CT101*VLOOKUP('Données projet'!$B$13,Paramètres!$A$1:$I$89,3,0)*VLOOKUP('Données projet'!$B$13,Paramètres!$A$1:$I$89,5,0)</f>
        <v>-6.7984728957526396E-14</v>
      </c>
      <c r="CV101" s="14" t="e">
        <f t="shared" si="95"/>
        <v>#NUM!</v>
      </c>
      <c r="CW101" s="22" t="e">
        <f t="shared" si="67"/>
        <v>#NUM!</v>
      </c>
      <c r="CX101" s="60" t="e">
        <f t="shared" si="68"/>
        <v>#NUM!</v>
      </c>
      <c r="CY101" s="60">
        <f ca="1">AVERAGE(OFFSET($CX$3,0,0,'Données projet'!$E$13+1,1))-AVERAGE(OFFSET($H$3,0,0,'Données projet'!$E$13+1,1))</f>
        <v>232.73140429491525</v>
      </c>
      <c r="CZ101" s="60">
        <f t="shared" si="96"/>
        <v>201.02719152328638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1.2084926828001126</v>
      </c>
      <c r="DH101" s="23">
        <f>EXP(-LN(2)/2)*DH100+(1-EXP(-LN(2)/2))/(LN(2)/2)*DB101*DE101*VLOOKUP('Données projet'!$B$13,Paramètres!$A$1:$I$89,3,0)*0.475*44/12</f>
        <v>1.7921105558766436E-10</v>
      </c>
      <c r="DI101" s="24">
        <f t="shared" si="69"/>
        <v>1.2084926829793237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2.9487179487179445</v>
      </c>
      <c r="DO101" s="13">
        <f>IF('Données projet'!$A$166&gt;35,DO100+DN101-DW100,IF(A101&lt;'Données projet'!$A$166,$DL$205^A101,IF(A101='Données projet'!$A$166,'Données projet'!$B$166,DO100+DN101-DW100)))</f>
        <v>189.61538461538447</v>
      </c>
      <c r="DP101" s="18">
        <f>DO101*VLOOKUP('Données projet'!$B$14,Paramètres!$A$1:$I$89,3,0)*VLOOKUP('Données projet'!$B$14,Paramètres!$A$1:$I$89,5,0)</f>
        <v>180.43799999999987</v>
      </c>
      <c r="DQ101" s="14">
        <f t="shared" si="97"/>
        <v>45.419619308939104</v>
      </c>
      <c r="DR101" s="22">
        <f t="shared" si="70"/>
        <v>393.36868696306874</v>
      </c>
      <c r="DS101" s="60">
        <f t="shared" si="71"/>
        <v>686.702020296402</v>
      </c>
      <c r="DT101" s="60">
        <f ca="1">AVERAGE(OFFSET($DS$3,0,0,'Données projet'!$E$14+1,1))-AVERAGE(OFFSET($H$3,0,0,'Données projet'!$E$14+1,1))</f>
        <v>302.15577364214136</v>
      </c>
      <c r="DU101" s="60">
        <f t="shared" si="98"/>
        <v>197.15142751137051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3.4615384615384586</v>
      </c>
      <c r="EJ101" s="13">
        <f>IF('Données projet'!$A$192&gt;35,EJ100+EI101-ER100,IF(A101&lt;'Données projet'!$A$192,$EG$205^A101,IF(A101='Données projet'!$A$192,'Données projet'!$B$192,EJ100+EI101-ER100)))</f>
        <v>302.69230769230745</v>
      </c>
      <c r="EK101" s="18">
        <f>EJ101*VLOOKUP('Données projet'!$B$15,Paramètres!$A$1:$I$89,3,0)*VLOOKUP('Données projet'!$B$15,Paramètres!$A$1:$I$89,5,0)</f>
        <v>316.37399999999974</v>
      </c>
      <c r="EL101" s="14">
        <f t="shared" si="99"/>
        <v>74.598394184177479</v>
      </c>
      <c r="EM101" s="22">
        <f t="shared" si="73"/>
        <v>680.943586537442</v>
      </c>
      <c r="EN101" s="60">
        <f t="shared" si="74"/>
        <v>974.27691987077537</v>
      </c>
      <c r="EO101" s="60">
        <f ca="1">AVERAGE(OFFSET($EN$3,0,0,'Données projet'!$E$15+1,1))-AVERAGE(OFFSET($H$3,0,0,'Données projet'!$E$15+1,1))</f>
        <v>493.70175665335978</v>
      </c>
      <c r="EP101" s="60">
        <f t="shared" si="100"/>
        <v>325.12357781685949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0" t="e">
        <f t="shared" si="77"/>
        <v>#N/A</v>
      </c>
      <c r="FJ101" s="60" t="e">
        <f ca="1">AVERAGE(OFFSET($FI$3,0,0,'Données projet'!$E$16+1,1))-AVERAGE(OFFSET($H$3,0,0,'Données projet'!$E$16+1,1))</f>
        <v>#N/A</v>
      </c>
      <c r="FK101" s="60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0" t="e">
        <f t="shared" si="80"/>
        <v>#N/A</v>
      </c>
      <c r="GE101" s="60" t="e">
        <f ca="1">AVERAGE(OFFSET($GD$3,0,0,'Données projet'!$E$17+1,1))-AVERAGE(OFFSET($H$3,0,0,'Données projet'!$E$17+1,1))</f>
        <v>#N/A</v>
      </c>
      <c r="GF101" s="60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5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8">
        <f t="shared" si="56"/>
        <v>256.66666666666669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0">
        <f t="shared" si="55"/>
        <v>293.3333333333353</v>
      </c>
      <c r="S102" s="60">
        <f ca="1">AVERAGE(OFFSET($R$3,0,0,'Données projet'!$E$9+1,1))-AVERAGE(OFFSET($H$3,0,0,'Données projet'!$E$9+1,1))</f>
        <v>260.02504691866199</v>
      </c>
      <c r="T102" s="60">
        <f t="shared" si="88"/>
        <v>270.11268336406368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2.5521216401129969</v>
      </c>
      <c r="AA102" s="23">
        <f>EXP(-LN(2)/25)*AA101+(1-EXP(-LN(2)/25))/(LN(2)/25)*Calculateur!V102*Calculateur!X102*VLOOKUP('Données projet'!$B$9,Paramètres!$A$1:$I$89,3,0)*0.475*44/12</f>
        <v>2.4263549505749546</v>
      </c>
      <c r="AB102" s="23">
        <f>EXP(-LN(2)/2)*AB101+(1-EXP(-LN(2)/2))/(LN(2)/2)*V102*Y102*VLOOKUP('Données projet'!$B$9,Paramètres!$A$1:$I$89,3,0)*0.475*44/12</f>
        <v>2.6094665386019206E-10</v>
      </c>
      <c r="AC102" s="24">
        <f t="shared" si="57"/>
        <v>4.9784765909488984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4.9000000000000004</v>
      </c>
      <c r="AI102" s="14">
        <f>IF('Données projet'!$A$62&gt;35,AI101+AH102-AQ101,IF(A102&lt;'Données projet'!$A$62,$AF$205^A102,IF(A102='Données projet'!$A$62,'Données projet'!$B$62,AI101+AH102-AQ101)))</f>
        <v>298.09999999999985</v>
      </c>
      <c r="AJ102" s="14">
        <f>AI102*VLOOKUP('Données projet'!$B$10,Paramètres!$A$1:$I$89,3,0)*VLOOKUP('Données projet'!$B$10,Paramètres!$A$1:$I$89,5,0)</f>
        <v>302.27339999999987</v>
      </c>
      <c r="AK102" s="14">
        <f t="shared" si="89"/>
        <v>71.652845832409739</v>
      </c>
      <c r="AL102" s="22">
        <f t="shared" si="58"/>
        <v>651.25487815811346</v>
      </c>
      <c r="AM102" s="60">
        <f t="shared" si="59"/>
        <v>944.58821149144683</v>
      </c>
      <c r="AN102" s="60">
        <f ca="1">AVERAGE(OFFSET($AM$3,0,0,'Données projet'!$E$10+1,1))-AVERAGE(OFFSET($H$3,0,0,'Données projet'!$E$10+1,1))</f>
        <v>475.47920969424894</v>
      </c>
      <c r="AO102" s="60">
        <f t="shared" si="90"/>
        <v>271.73544012419364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3.7</v>
      </c>
      <c r="BD102" s="13">
        <f>IF('Données projet'!$A$88&gt;35,BD101+BC102-BL101,IF(A102&lt;'Données projet'!$A$88,$BA$205^A102,IF(A102='Données projet'!$A$88,'Données projet'!$B$88,BD101+BC102-BL101)))</f>
        <v>226.29999999999998</v>
      </c>
      <c r="BE102" s="14">
        <f>BD102*VLOOKUP('Données projet'!$B$11,Paramètres!$A$1:$I$89,3,0)*VLOOKUP('Données projet'!$B$11,Paramètres!$A$1:$I$89,5,0)</f>
        <v>204.75623999999999</v>
      </c>
      <c r="BF102" s="14">
        <f t="shared" si="91"/>
        <v>50.788011231821393</v>
      </c>
      <c r="BG102" s="22">
        <f t="shared" si="61"/>
        <v>445.07290422875553</v>
      </c>
      <c r="BH102" s="60">
        <f t="shared" si="62"/>
        <v>738.40623756208879</v>
      </c>
      <c r="BI102" s="60">
        <f ca="1">AVERAGE(OFFSET($BH$3,0,0,'Données projet'!$E$11+1,1))-AVERAGE(OFFSET($H$3,0,0,'Données projet'!$E$11+1,1))</f>
        <v>325.2649384779973</v>
      </c>
      <c r="BJ102" s="60">
        <f t="shared" si="92"/>
        <v>146.70159365068315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1.0231815394945443E-12</v>
      </c>
      <c r="BZ102" s="14">
        <f>BY102*VLOOKUP('Données projet'!$B$12,Paramètres!$A$1:$I$89,3,0)*VLOOKUP('Données projet'!$B$12,Paramètres!$A$1:$I$89,5,0)</f>
        <v>4.5224624045658859E-13</v>
      </c>
      <c r="CA102" s="14">
        <f t="shared" si="93"/>
        <v>5.6995607121061449E-12</v>
      </c>
      <c r="CB102" s="22">
        <f t="shared" si="64"/>
        <v>1.0714397109046761E-11</v>
      </c>
      <c r="CC102" s="60">
        <f t="shared" si="65"/>
        <v>293.333333333344</v>
      </c>
      <c r="CD102" s="60">
        <f ca="1">AVERAGE(OFFSET($CC$3,0,0,'Données projet'!$E$12+1,1))-AVERAGE(OFFSET($H$3,0,0,'Données projet'!$E$12+1,1))</f>
        <v>401.84375324751227</v>
      </c>
      <c r="CE102" s="60">
        <f t="shared" si="94"/>
        <v>350.39368043404164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1.2302102015705032</v>
      </c>
      <c r="CM102" s="23">
        <f>EXP(-LN(2)/2)*CM101+(1-EXP(-LN(2)/2))/(LN(2)/2)*CG102*CJ102*VLOOKUP('Données projet'!$B$12,Paramètres!$A$1:$I$89,3,0)*0.475*44/12</f>
        <v>5.7349353586545768E-11</v>
      </c>
      <c r="CN102" s="24">
        <f t="shared" si="66"/>
        <v>1.2302102016278527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-1.1368683772161603E-13</v>
      </c>
      <c r="CU102" s="18">
        <f>CT102*VLOOKUP('Données projet'!$B$13,Paramètres!$A$1:$I$89,3,0)*VLOOKUP('Données projet'!$B$13,Paramètres!$A$1:$I$89,5,0)</f>
        <v>-6.7984728957526396E-14</v>
      </c>
      <c r="CV102" s="14" t="e">
        <f t="shared" si="95"/>
        <v>#NUM!</v>
      </c>
      <c r="CW102" s="22" t="e">
        <f t="shared" si="67"/>
        <v>#NUM!</v>
      </c>
      <c r="CX102" s="60" t="e">
        <f t="shared" si="68"/>
        <v>#NUM!</v>
      </c>
      <c r="CY102" s="60">
        <f ca="1">AVERAGE(OFFSET($CX$3,0,0,'Données projet'!$E$13+1,1))-AVERAGE(OFFSET($H$3,0,0,'Données projet'!$E$13+1,1))</f>
        <v>232.73140429491525</v>
      </c>
      <c r="CZ102" s="60">
        <f t="shared" si="96"/>
        <v>201.02719152328638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1.1754463868370753</v>
      </c>
      <c r="DH102" s="23">
        <f>EXP(-LN(2)/2)*DH101+(1-EXP(-LN(2)/2))/(LN(2)/2)*DB102*DE102*VLOOKUP('Données projet'!$B$13,Paramètres!$A$1:$I$89,3,0)*0.475*44/12</f>
        <v>1.2672135266963678E-10</v>
      </c>
      <c r="DI102" s="24">
        <f t="shared" si="69"/>
        <v>1.1754463869637966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2.9487179487179445</v>
      </c>
      <c r="DO102" s="13">
        <f>IF('Données projet'!$A$166&gt;35,DO101+DN102-DW101,IF(A102&lt;'Données projet'!$A$166,$DL$205^A102,IF(A102='Données projet'!$A$166,'Données projet'!$B$166,DO101+DN102-DW101)))</f>
        <v>192.56410256410243</v>
      </c>
      <c r="DP102" s="18">
        <f>DO102*VLOOKUP('Données projet'!$B$14,Paramètres!$A$1:$I$89,3,0)*VLOOKUP('Données projet'!$B$14,Paramètres!$A$1:$I$89,5,0)</f>
        <v>183.24399999999986</v>
      </c>
      <c r="DQ102" s="14">
        <f t="shared" si="97"/>
        <v>46.043164410574953</v>
      </c>
      <c r="DR102" s="22">
        <f t="shared" si="70"/>
        <v>399.34181134841782</v>
      </c>
      <c r="DS102" s="60">
        <f t="shared" si="71"/>
        <v>692.67514468175114</v>
      </c>
      <c r="DT102" s="60">
        <f ca="1">AVERAGE(OFFSET($DS$3,0,0,'Données projet'!$E$14+1,1))-AVERAGE(OFFSET($H$3,0,0,'Données projet'!$E$14+1,1))</f>
        <v>302.15577364214136</v>
      </c>
      <c r="DU102" s="60">
        <f t="shared" si="98"/>
        <v>197.15142751137051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3.4615384615384586</v>
      </c>
      <c r="EJ102" s="13">
        <f>IF('Données projet'!$A$192&gt;35,EJ101+EI102-ER101,IF(A102&lt;'Données projet'!$A$192,$EG$205^A102,IF(A102='Données projet'!$A$192,'Données projet'!$B$192,EJ101+EI102-ER101)))</f>
        <v>306.1538461538459</v>
      </c>
      <c r="EK102" s="18">
        <f>EJ102*VLOOKUP('Données projet'!$B$15,Paramètres!$A$1:$I$89,3,0)*VLOOKUP('Données projet'!$B$15,Paramètres!$A$1:$I$89,5,0)</f>
        <v>319.99199999999979</v>
      </c>
      <c r="EL102" s="14">
        <f t="shared" si="99"/>
        <v>75.351689104824757</v>
      </c>
      <c r="EM102" s="22">
        <f t="shared" si="73"/>
        <v>688.55692519090269</v>
      </c>
      <c r="EN102" s="60">
        <f t="shared" si="74"/>
        <v>981.89025852423606</v>
      </c>
      <c r="EO102" s="60">
        <f ca="1">AVERAGE(OFFSET($EN$3,0,0,'Données projet'!$E$15+1,1))-AVERAGE(OFFSET($H$3,0,0,'Données projet'!$E$15+1,1))</f>
        <v>493.70175665335978</v>
      </c>
      <c r="EP102" s="60">
        <f t="shared" si="100"/>
        <v>325.12357781685949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0" t="e">
        <f t="shared" si="77"/>
        <v>#N/A</v>
      </c>
      <c r="FJ102" s="60" t="e">
        <f ca="1">AVERAGE(OFFSET($FI$3,0,0,'Données projet'!$E$16+1,1))-AVERAGE(OFFSET($H$3,0,0,'Données projet'!$E$16+1,1))</f>
        <v>#N/A</v>
      </c>
      <c r="FK102" s="60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0" t="e">
        <f t="shared" si="80"/>
        <v>#N/A</v>
      </c>
      <c r="GE102" s="60" t="e">
        <f ca="1">AVERAGE(OFFSET($GD$3,0,0,'Données projet'!$E$17+1,1))-AVERAGE(OFFSET($H$3,0,0,'Données projet'!$E$17+1,1))</f>
        <v>#N/A</v>
      </c>
      <c r="GF102" s="60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5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8">
        <f t="shared" si="56"/>
        <v>256.66666666666669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0">
        <f t="shared" si="55"/>
        <v>293.3333333333353</v>
      </c>
      <c r="S103" s="60">
        <f ca="1">AVERAGE(OFFSET($R$3,0,0,'Données projet'!$E$9+1,1))-AVERAGE(OFFSET($H$3,0,0,'Données projet'!$E$9+1,1))</f>
        <v>260.02504691866199</v>
      </c>
      <c r="T103" s="60">
        <f t="shared" si="88"/>
        <v>270.11268336406368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2.5020760913908759</v>
      </c>
      <c r="AA103" s="23">
        <f>EXP(-LN(2)/25)*AA102+(1-EXP(-LN(2)/25))/(LN(2)/25)*Calculateur!V103*Calculateur!X103*VLOOKUP('Données projet'!$B$9,Paramètres!$A$1:$I$89,3,0)*0.475*44/12</f>
        <v>2.3600061468550213</v>
      </c>
      <c r="AB103" s="23">
        <f>EXP(-LN(2)/2)*AB102+(1-EXP(-LN(2)/2))/(LN(2)/2)*V103*Y103*VLOOKUP('Données projet'!$B$9,Paramètres!$A$1:$I$89,3,0)*0.475*44/12</f>
        <v>1.8451714847248058E-10</v>
      </c>
      <c r="AC103" s="24">
        <f t="shared" si="57"/>
        <v>4.8620822384304141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4.9000000000000004</v>
      </c>
      <c r="AH103" s="13">
        <f t="array" ref="AH103">INDEX(AG:AG,MIN(IF(ISNUMBER(AG103:AG299),ROW(AG103:AG299),"")))</f>
        <v>4.9000000000000004</v>
      </c>
      <c r="AI103" s="14">
        <f>IF('Données projet'!$A$62&gt;35,AI102+AH103-AQ102,IF(A103&lt;'Données projet'!$A$62,$AF$205^A103,IF(A103='Données projet'!$A$62,'Données projet'!$B$62,AI102+AH103-AQ102)))</f>
        <v>302.99999999999983</v>
      </c>
      <c r="AJ103" s="14">
        <f>AI103*VLOOKUP('Données projet'!$B$10,Paramètres!$A$1:$I$89,3,0)*VLOOKUP('Données projet'!$B$10,Paramètres!$A$1:$I$89,5,0)</f>
        <v>307.24199999999985</v>
      </c>
      <c r="AK103" s="14">
        <f t="shared" si="89"/>
        <v>72.692550770207774</v>
      </c>
      <c r="AL103" s="22">
        <f t="shared" si="58"/>
        <v>661.71934259144484</v>
      </c>
      <c r="AM103" s="60">
        <f t="shared" si="59"/>
        <v>955.05267592477821</v>
      </c>
      <c r="AN103" s="60">
        <f ca="1">AVERAGE(OFFSET($AM$3,0,0,'Données projet'!$E$10+1,1))-AVERAGE(OFFSET($H$3,0,0,'Données projet'!$E$10+1,1))</f>
        <v>475.47920969424894</v>
      </c>
      <c r="AO103" s="60">
        <f t="shared" si="90"/>
        <v>271.73544012419364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42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230</v>
      </c>
      <c r="BB103" s="13">
        <f>VLOOKUP(A103,'Données projet'!$A$87:$I$107,9,0)</f>
        <v>3.7</v>
      </c>
      <c r="BC103" s="13">
        <f t="array" ref="BC103">INDEX(BB:BB,MIN(IF(ISNUMBER(BB103:BB299),ROW(BB103:BB299),"")))</f>
        <v>3.7</v>
      </c>
      <c r="BD103" s="13">
        <f>IF('Données projet'!$A$88&gt;35,BD102+BC103-BL102,IF(A103&lt;'Données projet'!$A$88,$BA$205^A103,IF(A103='Données projet'!$A$88,'Données projet'!$B$88,BD102+BC103-BL102)))</f>
        <v>229.99999999999997</v>
      </c>
      <c r="BE103" s="14">
        <f>BD103*VLOOKUP('Données projet'!$B$11,Paramètres!$A$1:$I$89,3,0)*VLOOKUP('Données projet'!$B$11,Paramètres!$A$1:$I$89,5,0)</f>
        <v>208.10399999999998</v>
      </c>
      <c r="BF103" s="14">
        <f t="shared" si="91"/>
        <v>51.52104354893045</v>
      </c>
      <c r="BG103" s="22">
        <f t="shared" si="61"/>
        <v>452.18028418105382</v>
      </c>
      <c r="BH103" s="60">
        <f t="shared" si="62"/>
        <v>745.51361751438708</v>
      </c>
      <c r="BI103" s="60">
        <f ca="1">AVERAGE(OFFSET($BH$3,0,0,'Données projet'!$E$11+1,1))-AVERAGE(OFFSET($H$3,0,0,'Données projet'!$E$11+1,1))</f>
        <v>325.2649384779973</v>
      </c>
      <c r="BJ103" s="60">
        <f t="shared" si="92"/>
        <v>146.70159365068315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28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1.0231815394945443E-12</v>
      </c>
      <c r="BZ103" s="14">
        <f>BY103*VLOOKUP('Données projet'!$B$12,Paramètres!$A$1:$I$89,3,0)*VLOOKUP('Données projet'!$B$12,Paramètres!$A$1:$I$89,5,0)</f>
        <v>4.5224624045658859E-13</v>
      </c>
      <c r="CA103" s="14">
        <f t="shared" si="93"/>
        <v>5.6995607121061449E-12</v>
      </c>
      <c r="CB103" s="22">
        <f t="shared" si="64"/>
        <v>1.0714397109046761E-11</v>
      </c>
      <c r="CC103" s="60">
        <f t="shared" si="65"/>
        <v>293.333333333344</v>
      </c>
      <c r="CD103" s="60">
        <f ca="1">AVERAGE(OFFSET($CC$3,0,0,'Données projet'!$E$12+1,1))-AVERAGE(OFFSET($H$3,0,0,'Données projet'!$E$12+1,1))</f>
        <v>401.84375324751227</v>
      </c>
      <c r="CE103" s="60">
        <f t="shared" si="94"/>
        <v>350.39368043404164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1.196570038914615</v>
      </c>
      <c r="CM103" s="23">
        <f>EXP(-LN(2)/2)*CM102+(1-EXP(-LN(2)/2))/(LN(2)/2)*CG103*CJ103*VLOOKUP('Données projet'!$B$12,Paramètres!$A$1:$I$89,3,0)*0.475*44/12</f>
        <v>4.0552116817711564E-11</v>
      </c>
      <c r="CN103" s="24">
        <f t="shared" si="66"/>
        <v>1.196570038955167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-1.1368683772161603E-13</v>
      </c>
      <c r="CU103" s="18">
        <f>CT103*VLOOKUP('Données projet'!$B$13,Paramètres!$A$1:$I$89,3,0)*VLOOKUP('Données projet'!$B$13,Paramètres!$A$1:$I$89,5,0)</f>
        <v>-6.7984728957526396E-14</v>
      </c>
      <c r="CV103" s="14" t="e">
        <f t="shared" si="95"/>
        <v>#NUM!</v>
      </c>
      <c r="CW103" s="22" t="e">
        <f t="shared" si="67"/>
        <v>#NUM!</v>
      </c>
      <c r="CX103" s="60" t="e">
        <f t="shared" si="68"/>
        <v>#NUM!</v>
      </c>
      <c r="CY103" s="60">
        <f ca="1">AVERAGE(OFFSET($CX$3,0,0,'Données projet'!$E$13+1,1))-AVERAGE(OFFSET($H$3,0,0,'Données projet'!$E$13+1,1))</f>
        <v>232.73140429491525</v>
      </c>
      <c r="CZ103" s="60">
        <f t="shared" si="96"/>
        <v>201.02719152328638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1.1433037435749764</v>
      </c>
      <c r="DH103" s="23">
        <f>EXP(-LN(2)/2)*DH102+(1-EXP(-LN(2)/2))/(LN(2)/2)*DB103*DE103*VLOOKUP('Données projet'!$B$13,Paramètres!$A$1:$I$89,3,0)*0.475*44/12</f>
        <v>8.9605527793832178E-11</v>
      </c>
      <c r="DI103" s="24">
        <f t="shared" si="69"/>
        <v>1.1433037436645819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195.5128205128205</v>
      </c>
      <c r="DM103" s="13">
        <f>VLOOKUP(A103,'Données projet'!$A$165:$I$185,9,0)</f>
        <v>2.9487179487179445</v>
      </c>
      <c r="DN103" s="13">
        <f t="array" ref="DN103">INDEX(DM:DM,MIN(IF(ISNUMBER(DM103:DM299),ROW(DM103:DM299),"")))</f>
        <v>2.9487179487179445</v>
      </c>
      <c r="DO103" s="13">
        <f>IF('Données projet'!$A$166&gt;35,DO102+DN103-DW102,IF(A103&lt;'Données projet'!$A$166,$DL$205^A103,IF(A103='Données projet'!$A$166,'Données projet'!$B$166,DO102+DN103-DW102)))</f>
        <v>195.51282051282038</v>
      </c>
      <c r="DP103" s="18">
        <f>DO103*VLOOKUP('Données projet'!$B$14,Paramètres!$A$1:$I$89,3,0)*VLOOKUP('Données projet'!$B$14,Paramètres!$A$1:$I$89,5,0)</f>
        <v>186.04999999999987</v>
      </c>
      <c r="DQ103" s="14">
        <f t="shared" si="97"/>
        <v>46.665599034846181</v>
      </c>
      <c r="DR103" s="22">
        <f t="shared" si="70"/>
        <v>405.31300165235683</v>
      </c>
      <c r="DS103" s="60">
        <f t="shared" si="71"/>
        <v>698.64633498569015</v>
      </c>
      <c r="DT103" s="60">
        <f ca="1">AVERAGE(OFFSET($DS$3,0,0,'Données projet'!$E$14+1,1))-AVERAGE(OFFSET($H$3,0,0,'Données projet'!$E$14+1,1))</f>
        <v>302.15577364214136</v>
      </c>
      <c r="DU103" s="60">
        <f t="shared" si="98"/>
        <v>197.15142751137051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309.61538461538458</v>
      </c>
      <c r="EH103" s="13">
        <f>VLOOKUP(A103,'Données projet'!$A$191:$I$211,9,0)</f>
        <v>3.4615384615384586</v>
      </c>
      <c r="EI103" s="13">
        <f t="array" ref="EI103">INDEX(EH:EH,MIN(IF(ISNUMBER(EH103:EH299),ROW(EH103:EH299),"")))</f>
        <v>3.4615384615384586</v>
      </c>
      <c r="EJ103" s="13">
        <f>IF('Données projet'!$A$192&gt;35,EJ102+EI103-ER102,IF(A103&lt;'Données projet'!$A$192,$EG$205^A103,IF(A103='Données projet'!$A$192,'Données projet'!$B$192,EJ102+EI103-ER102)))</f>
        <v>309.61538461538436</v>
      </c>
      <c r="EK103" s="18">
        <f>EJ103*VLOOKUP('Données projet'!$B$15,Paramètres!$A$1:$I$89,3,0)*VLOOKUP('Données projet'!$B$15,Paramètres!$A$1:$I$89,5,0)</f>
        <v>323.60999999999979</v>
      </c>
      <c r="EL103" s="14">
        <f t="shared" si="99"/>
        <v>76.103993258558603</v>
      </c>
      <c r="EM103" s="22">
        <f t="shared" si="73"/>
        <v>696.16853825865599</v>
      </c>
      <c r="EN103" s="60">
        <f t="shared" si="74"/>
        <v>989.50187159198936</v>
      </c>
      <c r="EO103" s="60">
        <f ca="1">AVERAGE(OFFSET($EN$3,0,0,'Données projet'!$E$15+1,1))-AVERAGE(OFFSET($H$3,0,0,'Données projet'!$E$15+1,1))</f>
        <v>493.70175665335978</v>
      </c>
      <c r="EP103" s="60">
        <f t="shared" si="100"/>
        <v>325.12357781685949</v>
      </c>
      <c r="EQ103" s="16">
        <f>IF(ISNA(VLOOKUP(A103,'Données projet'!$A$191:$I$211,3,0)),0,VLOOKUP(A103,'Données projet'!$A$191:$I$211,3,0))</f>
        <v>8</v>
      </c>
      <c r="ER103" s="16">
        <f>IF(ISNA(VLOOKUP(A103,'Données projet'!$A$191:$I$211,4,0)),0,VLOOKUP(A103,'Données projet'!$A$191:$I$211,4,0))</f>
        <v>20.512820512820511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0" t="e">
        <f t="shared" si="77"/>
        <v>#N/A</v>
      </c>
      <c r="FJ103" s="60" t="e">
        <f ca="1">AVERAGE(OFFSET($FI$3,0,0,'Données projet'!$E$16+1,1))-AVERAGE(OFFSET($H$3,0,0,'Données projet'!$E$16+1,1))</f>
        <v>#N/A</v>
      </c>
      <c r="FK103" s="60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0" t="e">
        <f t="shared" si="80"/>
        <v>#N/A</v>
      </c>
      <c r="GE103" s="60" t="e">
        <f ca="1">AVERAGE(OFFSET($GD$3,0,0,'Données projet'!$E$17+1,1))-AVERAGE(OFFSET($H$3,0,0,'Données projet'!$E$17+1,1))</f>
        <v>#N/A</v>
      </c>
      <c r="GF103" s="60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5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8">
        <f t="shared" si="56"/>
        <v>256.66666666666669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0">
        <f t="shared" si="55"/>
        <v>293.3333333333353</v>
      </c>
      <c r="S104" s="60">
        <f ca="1">AVERAGE(OFFSET($R$3,0,0,'Données projet'!$E$9+1,1))-AVERAGE(OFFSET($H$3,0,0,'Données projet'!$E$9+1,1))</f>
        <v>260.02504691866199</v>
      </c>
      <c r="T104" s="60">
        <f t="shared" si="88"/>
        <v>270.11268336406368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2.4530119053544253</v>
      </c>
      <c r="AA104" s="23">
        <f>EXP(-LN(2)/25)*AA103+(1-EXP(-LN(2)/25))/(LN(2)/25)*Calculateur!V104*Calculateur!X104*VLOOKUP('Données projet'!$B$9,Paramètres!$A$1:$I$89,3,0)*0.475*44/12</f>
        <v>2.2954716546619411</v>
      </c>
      <c r="AB104" s="23">
        <f>EXP(-LN(2)/2)*AB103+(1-EXP(-LN(2)/2))/(LN(2)/2)*V104*Y104*VLOOKUP('Données projet'!$B$9,Paramètres!$A$1:$I$89,3,0)*0.475*44/12</f>
        <v>1.3047332693009603E-10</v>
      </c>
      <c r="AC104" s="24">
        <f t="shared" si="57"/>
        <v>4.7484835601468394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265.39999999999981</v>
      </c>
      <c r="AJ104" s="14">
        <f>AI104*VLOOKUP('Données projet'!$B$10,Paramètres!$A$1:$I$89,3,0)*VLOOKUP('Données projet'!$B$10,Paramètres!$A$1:$I$89,5,0)</f>
        <v>269.1155999999998</v>
      </c>
      <c r="AK104" s="14">
        <f t="shared" si="89"/>
        <v>64.661541462287076</v>
      </c>
      <c r="AL104" s="22">
        <f t="shared" si="58"/>
        <v>581.3285213801496</v>
      </c>
      <c r="AM104" s="60">
        <f t="shared" si="59"/>
        <v>874.66185471348285</v>
      </c>
      <c r="AN104" s="60">
        <f ca="1">AVERAGE(OFFSET($AM$3,0,0,'Données projet'!$E$10+1,1))-AVERAGE(OFFSET($H$3,0,0,'Données projet'!$E$10+1,1))</f>
        <v>475.47920969424894</v>
      </c>
      <c r="AO104" s="60">
        <f t="shared" si="90"/>
        <v>271.73544012419364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3.1</v>
      </c>
      <c r="BD104" s="13">
        <f>IF('Données projet'!$A$88&gt;35,BD103+BC104-BL103,IF(A104&lt;'Données projet'!$A$88,$BA$205^A104,IF(A104='Données projet'!$A$88,'Données projet'!$B$88,BD103+BC104-BL103)))</f>
        <v>205.09999999999997</v>
      </c>
      <c r="BE104" s="14">
        <f>BD104*VLOOKUP('Données projet'!$B$11,Paramètres!$A$1:$I$89,3,0)*VLOOKUP('Données projet'!$B$11,Paramètres!$A$1:$I$89,5,0)</f>
        <v>185.57447999999997</v>
      </c>
      <c r="BF104" s="14">
        <f t="shared" si="91"/>
        <v>46.560195221199436</v>
      </c>
      <c r="BG104" s="22">
        <f t="shared" si="61"/>
        <v>404.30122601025568</v>
      </c>
      <c r="BH104" s="60">
        <f t="shared" si="62"/>
        <v>697.63455934358899</v>
      </c>
      <c r="BI104" s="60">
        <f ca="1">AVERAGE(OFFSET($BH$3,0,0,'Données projet'!$E$11+1,1))-AVERAGE(OFFSET($H$3,0,0,'Données projet'!$E$11+1,1))</f>
        <v>325.2649384779973</v>
      </c>
      <c r="BJ104" s="60">
        <f t="shared" si="92"/>
        <v>146.70159365068315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1.0231815394945443E-12</v>
      </c>
      <c r="BZ104" s="14">
        <f>BY104*VLOOKUP('Données projet'!$B$12,Paramètres!$A$1:$I$89,3,0)*VLOOKUP('Données projet'!$B$12,Paramètres!$A$1:$I$89,5,0)</f>
        <v>4.5224624045658859E-13</v>
      </c>
      <c r="CA104" s="14">
        <f t="shared" si="93"/>
        <v>5.6995607121061449E-12</v>
      </c>
      <c r="CB104" s="22">
        <f t="shared" si="64"/>
        <v>1.0714397109046761E-11</v>
      </c>
      <c r="CC104" s="60">
        <f t="shared" si="65"/>
        <v>293.333333333344</v>
      </c>
      <c r="CD104" s="60">
        <f ca="1">AVERAGE(OFFSET($CC$3,0,0,'Données projet'!$E$12+1,1))-AVERAGE(OFFSET($H$3,0,0,'Données projet'!$E$12+1,1))</f>
        <v>401.84375324751227</v>
      </c>
      <c r="CE104" s="60">
        <f t="shared" si="94"/>
        <v>350.39368043404164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1.1638497682756113</v>
      </c>
      <c r="CM104" s="23">
        <f>EXP(-LN(2)/2)*CM103+(1-EXP(-LN(2)/2))/(LN(2)/2)*CG104*CJ104*VLOOKUP('Données projet'!$B$12,Paramètres!$A$1:$I$89,3,0)*0.475*44/12</f>
        <v>2.8674676793272887E-11</v>
      </c>
      <c r="CN104" s="24">
        <f t="shared" si="66"/>
        <v>1.1638497683042859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-1.1368683772161603E-13</v>
      </c>
      <c r="CU104" s="18">
        <f>CT104*VLOOKUP('Données projet'!$B$13,Paramètres!$A$1:$I$89,3,0)*VLOOKUP('Données projet'!$B$13,Paramètres!$A$1:$I$89,5,0)</f>
        <v>-6.7984728957526396E-14</v>
      </c>
      <c r="CV104" s="14" t="e">
        <f t="shared" si="95"/>
        <v>#NUM!</v>
      </c>
      <c r="CW104" s="22" t="e">
        <f t="shared" si="67"/>
        <v>#NUM!</v>
      </c>
      <c r="CX104" s="60" t="e">
        <f t="shared" si="68"/>
        <v>#NUM!</v>
      </c>
      <c r="CY104" s="60">
        <f ca="1">AVERAGE(OFFSET($CX$3,0,0,'Données projet'!$E$13+1,1))-AVERAGE(OFFSET($H$3,0,0,'Données projet'!$E$13+1,1))</f>
        <v>232.73140429491525</v>
      </c>
      <c r="CZ104" s="60">
        <f t="shared" si="96"/>
        <v>201.02719152328638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1.1120400425831878</v>
      </c>
      <c r="DH104" s="23">
        <f>EXP(-LN(2)/2)*DH103+(1-EXP(-LN(2)/2))/(LN(2)/2)*DB104*DE104*VLOOKUP('Données projet'!$B$13,Paramètres!$A$1:$I$89,3,0)*0.475*44/12</f>
        <v>6.3360676334818392E-11</v>
      </c>
      <c r="DI104" s="24">
        <f t="shared" si="69"/>
        <v>1.1120400426465484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2.62820512820513</v>
      </c>
      <c r="DO104" s="13">
        <f>IF('Données projet'!$A$166&gt;35,DO103+DN104-DW103,IF(A104&lt;'Données projet'!$A$166,$DL$205^A104,IF(A104='Données projet'!$A$166,'Données projet'!$B$166,DO103+DN104-DW103)))</f>
        <v>198.14102564102552</v>
      </c>
      <c r="DP104" s="18">
        <f>DO104*VLOOKUP('Données projet'!$B$14,Paramètres!$A$1:$I$89,3,0)*VLOOKUP('Données projet'!$B$14,Paramètres!$A$1:$I$89,5,0)</f>
        <v>188.55099999999987</v>
      </c>
      <c r="DQ104" s="14">
        <f t="shared" si="97"/>
        <v>47.219456929939838</v>
      </c>
      <c r="DR104" s="22">
        <f t="shared" si="70"/>
        <v>410.63354581964501</v>
      </c>
      <c r="DS104" s="60">
        <f t="shared" si="71"/>
        <v>703.96687915297832</v>
      </c>
      <c r="DT104" s="60">
        <f ca="1">AVERAGE(OFFSET($DS$3,0,0,'Données projet'!$E$14+1,1))-AVERAGE(OFFSET($H$3,0,0,'Données projet'!$E$14+1,1))</f>
        <v>302.15577364214136</v>
      </c>
      <c r="DU104" s="60">
        <f t="shared" si="98"/>
        <v>197.15142751137051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3.2051282051282044</v>
      </c>
      <c r="EJ104" s="13">
        <f>IF('Données projet'!$A$192&gt;35,EJ103+EI104-ER103,IF(A104&lt;'Données projet'!$A$192,$EG$205^A104,IF(A104='Données projet'!$A$192,'Données projet'!$B$192,EJ103+EI104-ER103)))</f>
        <v>292.30769230769209</v>
      </c>
      <c r="EK104" s="18">
        <f>EJ104*VLOOKUP('Données projet'!$B$15,Paramètres!$A$1:$I$89,3,0)*VLOOKUP('Données projet'!$B$15,Paramètres!$A$1:$I$89,5,0)</f>
        <v>305.51999999999981</v>
      </c>
      <c r="EL104" s="14">
        <f t="shared" si="99"/>
        <v>72.332436678206648</v>
      </c>
      <c r="EM104" s="22">
        <f t="shared" si="73"/>
        <v>658.09299388120962</v>
      </c>
      <c r="EN104" s="60">
        <f t="shared" si="74"/>
        <v>951.42632721454288</v>
      </c>
      <c r="EO104" s="60">
        <f ca="1">AVERAGE(OFFSET($EN$3,0,0,'Données projet'!$E$15+1,1))-AVERAGE(OFFSET($H$3,0,0,'Données projet'!$E$15+1,1))</f>
        <v>493.70175665335978</v>
      </c>
      <c r="EP104" s="60">
        <f t="shared" si="100"/>
        <v>325.12357781685949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0" t="e">
        <f t="shared" si="77"/>
        <v>#N/A</v>
      </c>
      <c r="FJ104" s="60" t="e">
        <f ca="1">AVERAGE(OFFSET($FI$3,0,0,'Données projet'!$E$16+1,1))-AVERAGE(OFFSET($H$3,0,0,'Données projet'!$E$16+1,1))</f>
        <v>#N/A</v>
      </c>
      <c r="FK104" s="60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0" t="e">
        <f t="shared" si="80"/>
        <v>#N/A</v>
      </c>
      <c r="GE104" s="60" t="e">
        <f ca="1">AVERAGE(OFFSET($GD$3,0,0,'Données projet'!$E$17+1,1))-AVERAGE(OFFSET($H$3,0,0,'Données projet'!$E$17+1,1))</f>
        <v>#N/A</v>
      </c>
      <c r="GF104" s="60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5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8">
        <f t="shared" si="56"/>
        <v>256.66666666666669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0">
        <f t="shared" si="55"/>
        <v>293.3333333333353</v>
      </c>
      <c r="S105" s="60">
        <f ca="1">AVERAGE(OFFSET($R$3,0,0,'Données projet'!$E$9+1,1))-AVERAGE(OFFSET($H$3,0,0,'Données projet'!$E$9+1,1))</f>
        <v>260.02504691866199</v>
      </c>
      <c r="T105" s="60">
        <f t="shared" si="88"/>
        <v>270.11268336406368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2.4049098380799507</v>
      </c>
      <c r="AA105" s="23">
        <f>EXP(-LN(2)/25)*AA104+(1-EXP(-LN(2)/25))/(LN(2)/25)*Calculateur!V105*Calculateur!X105*VLOOKUP('Données projet'!$B$9,Paramètres!$A$1:$I$89,3,0)*0.475*44/12</f>
        <v>2.2327018615516026</v>
      </c>
      <c r="AB105" s="23">
        <f>EXP(-LN(2)/2)*AB104+(1-EXP(-LN(2)/2))/(LN(2)/2)*V105*Y105*VLOOKUP('Données projet'!$B$9,Paramètres!$A$1:$I$89,3,0)*0.475*44/12</f>
        <v>9.2258574236240292E-11</v>
      </c>
      <c r="AC105" s="24">
        <f t="shared" si="57"/>
        <v>4.6376116997238119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269.79999999999978</v>
      </c>
      <c r="AJ105" s="14">
        <f>AI105*VLOOKUP('Données projet'!$B$10,Paramètres!$A$1:$I$89,3,0)*VLOOKUP('Données projet'!$B$10,Paramètres!$A$1:$I$89,5,0)</f>
        <v>273.57719999999978</v>
      </c>
      <c r="AK105" s="14">
        <f t="shared" si="89"/>
        <v>65.60785888991505</v>
      </c>
      <c r="AL105" s="22">
        <f t="shared" si="58"/>
        <v>590.74731089993509</v>
      </c>
      <c r="AM105" s="60">
        <f t="shared" si="59"/>
        <v>884.08064423326846</v>
      </c>
      <c r="AN105" s="60">
        <f ca="1">AVERAGE(OFFSET($AM$3,0,0,'Données projet'!$E$10+1,1))-AVERAGE(OFFSET($H$3,0,0,'Données projet'!$E$10+1,1))</f>
        <v>475.47920969424894</v>
      </c>
      <c r="AO105" s="60">
        <f t="shared" si="90"/>
        <v>271.73544012419364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3.1</v>
      </c>
      <c r="BD105" s="13">
        <f>IF('Données projet'!$A$88&gt;35,BD104+BC105-BL104,IF(A105&lt;'Données projet'!$A$88,$BA$205^A105,IF(A105='Données projet'!$A$88,'Données projet'!$B$88,BD104+BC105-BL104)))</f>
        <v>208.19999999999996</v>
      </c>
      <c r="BE105" s="14">
        <f>BD105*VLOOKUP('Données projet'!$B$11,Paramètres!$A$1:$I$89,3,0)*VLOOKUP('Données projet'!$B$11,Paramètres!$A$1:$I$89,5,0)</f>
        <v>188.37935999999996</v>
      </c>
      <c r="BF105" s="14">
        <f t="shared" si="91"/>
        <v>47.181473920005914</v>
      </c>
      <c r="BG105" s="22">
        <f t="shared" si="61"/>
        <v>410.26845241067684</v>
      </c>
      <c r="BH105" s="60">
        <f t="shared" si="62"/>
        <v>703.60178574401016</v>
      </c>
      <c r="BI105" s="60">
        <f ca="1">AVERAGE(OFFSET($BH$3,0,0,'Données projet'!$E$11+1,1))-AVERAGE(OFFSET($H$3,0,0,'Données projet'!$E$11+1,1))</f>
        <v>325.2649384779973</v>
      </c>
      <c r="BJ105" s="60">
        <f t="shared" si="92"/>
        <v>146.70159365068315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1.0231815394945443E-12</v>
      </c>
      <c r="BZ105" s="14">
        <f>BY105*VLOOKUP('Données projet'!$B$12,Paramètres!$A$1:$I$89,3,0)*VLOOKUP('Données projet'!$B$12,Paramètres!$A$1:$I$89,5,0)</f>
        <v>4.5224624045658859E-13</v>
      </c>
      <c r="CA105" s="14">
        <f t="shared" si="93"/>
        <v>5.6995607121061449E-12</v>
      </c>
      <c r="CB105" s="22">
        <f t="shared" si="64"/>
        <v>1.0714397109046761E-11</v>
      </c>
      <c r="CC105" s="60">
        <f t="shared" si="65"/>
        <v>293.333333333344</v>
      </c>
      <c r="CD105" s="60">
        <f ca="1">AVERAGE(OFFSET($CC$3,0,0,'Données projet'!$E$12+1,1))-AVERAGE(OFFSET($H$3,0,0,'Données projet'!$E$12+1,1))</f>
        <v>401.84375324751227</v>
      </c>
      <c r="CE105" s="60">
        <f t="shared" si="94"/>
        <v>350.39368043404164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1.1320242351579153</v>
      </c>
      <c r="CM105" s="23">
        <f>EXP(-LN(2)/2)*CM104+(1-EXP(-LN(2)/2))/(LN(2)/2)*CG105*CJ105*VLOOKUP('Données projet'!$B$12,Paramètres!$A$1:$I$89,3,0)*0.475*44/12</f>
        <v>2.0276058408855785E-11</v>
      </c>
      <c r="CN105" s="24">
        <f t="shared" si="66"/>
        <v>1.1320242351781913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-1.1368683772161603E-13</v>
      </c>
      <c r="CU105" s="18">
        <f>CT105*VLOOKUP('Données projet'!$B$13,Paramètres!$A$1:$I$89,3,0)*VLOOKUP('Données projet'!$B$13,Paramètres!$A$1:$I$89,5,0)</f>
        <v>-6.7984728957526396E-14</v>
      </c>
      <c r="CV105" s="14" t="e">
        <f t="shared" si="95"/>
        <v>#NUM!</v>
      </c>
      <c r="CW105" s="22" t="e">
        <f t="shared" si="67"/>
        <v>#NUM!</v>
      </c>
      <c r="CX105" s="60" t="e">
        <f t="shared" si="68"/>
        <v>#NUM!</v>
      </c>
      <c r="CY105" s="60">
        <f ca="1">AVERAGE(OFFSET($CX$3,0,0,'Données projet'!$E$13+1,1))-AVERAGE(OFFSET($H$3,0,0,'Données projet'!$E$13+1,1))</f>
        <v>232.73140429491525</v>
      </c>
      <c r="CZ105" s="60">
        <f t="shared" si="96"/>
        <v>201.02719152328638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1.0816312491391062</v>
      </c>
      <c r="DH105" s="23">
        <f>EXP(-LN(2)/2)*DH104+(1-EXP(-LN(2)/2))/(LN(2)/2)*DB105*DE105*VLOOKUP('Données projet'!$B$13,Paramètres!$A$1:$I$89,3,0)*0.475*44/12</f>
        <v>4.4802763896916089E-11</v>
      </c>
      <c r="DI105" s="24">
        <f t="shared" si="69"/>
        <v>1.0816312491839091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2.62820512820513</v>
      </c>
      <c r="DO105" s="13">
        <f>IF('Données projet'!$A$166&gt;35,DO104+DN105-DW104,IF(A105&lt;'Données projet'!$A$166,$DL$205^A105,IF(A105='Données projet'!$A$166,'Données projet'!$B$166,DO104+DN105-DW104)))</f>
        <v>200.76923076923066</v>
      </c>
      <c r="DP105" s="18">
        <f>DO105*VLOOKUP('Données projet'!$B$14,Paramètres!$A$1:$I$89,3,0)*VLOOKUP('Données projet'!$B$14,Paramètres!$A$1:$I$89,5,0)</f>
        <v>191.05199999999991</v>
      </c>
      <c r="DQ105" s="14">
        <f t="shared" si="97"/>
        <v>47.772460320394877</v>
      </c>
      <c r="DR105" s="22">
        <f t="shared" si="70"/>
        <v>415.95260172468755</v>
      </c>
      <c r="DS105" s="60">
        <f t="shared" si="71"/>
        <v>709.28593505802087</v>
      </c>
      <c r="DT105" s="60">
        <f ca="1">AVERAGE(OFFSET($DS$3,0,0,'Données projet'!$E$14+1,1))-AVERAGE(OFFSET($H$3,0,0,'Données projet'!$E$14+1,1))</f>
        <v>302.15577364214136</v>
      </c>
      <c r="DU105" s="60">
        <f t="shared" si="98"/>
        <v>197.15142751137051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3.2051282051282044</v>
      </c>
      <c r="EJ105" s="13">
        <f>IF('Données projet'!$A$192&gt;35,EJ104+EI105-ER104,IF(A105&lt;'Données projet'!$A$192,$EG$205^A105,IF(A105='Données projet'!$A$192,'Données projet'!$B$192,EJ104+EI105-ER104)))</f>
        <v>295.51282051282033</v>
      </c>
      <c r="EK105" s="18">
        <f>EJ105*VLOOKUP('Données projet'!$B$15,Paramètres!$A$1:$I$89,3,0)*VLOOKUP('Données projet'!$B$15,Paramètres!$A$1:$I$89,5,0)</f>
        <v>308.86999999999983</v>
      </c>
      <c r="EL105" s="14">
        <f t="shared" si="99"/>
        <v>73.032791063818379</v>
      </c>
      <c r="EM105" s="22">
        <f t="shared" si="73"/>
        <v>665.14736110281672</v>
      </c>
      <c r="EN105" s="60">
        <f t="shared" si="74"/>
        <v>958.48069443615009</v>
      </c>
      <c r="EO105" s="60">
        <f ca="1">AVERAGE(OFFSET($EN$3,0,0,'Données projet'!$E$15+1,1))-AVERAGE(OFFSET($H$3,0,0,'Données projet'!$E$15+1,1))</f>
        <v>493.70175665335978</v>
      </c>
      <c r="EP105" s="60">
        <f t="shared" si="100"/>
        <v>325.12357781685949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0" t="e">
        <f t="shared" si="77"/>
        <v>#N/A</v>
      </c>
      <c r="FJ105" s="60" t="e">
        <f ca="1">AVERAGE(OFFSET($FI$3,0,0,'Données projet'!$E$16+1,1))-AVERAGE(OFFSET($H$3,0,0,'Données projet'!$E$16+1,1))</f>
        <v>#N/A</v>
      </c>
      <c r="FK105" s="60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0" t="e">
        <f t="shared" si="80"/>
        <v>#N/A</v>
      </c>
      <c r="GE105" s="60" t="e">
        <f ca="1">AVERAGE(OFFSET($GD$3,0,0,'Données projet'!$E$17+1,1))-AVERAGE(OFFSET($H$3,0,0,'Données projet'!$E$17+1,1))</f>
        <v>#N/A</v>
      </c>
      <c r="GF105" s="60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5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8">
        <f t="shared" si="56"/>
        <v>256.66666666666669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0">
        <f t="shared" si="55"/>
        <v>293.3333333333353</v>
      </c>
      <c r="S106" s="60">
        <f ca="1">AVERAGE(OFFSET($R$3,0,0,'Données projet'!$E$9+1,1))-AVERAGE(OFFSET($H$3,0,0,'Données projet'!$E$9+1,1))</f>
        <v>260.02504691866199</v>
      </c>
      <c r="T106" s="60">
        <f t="shared" si="88"/>
        <v>270.11268336406368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2.3577510230053647</v>
      </c>
      <c r="AA106" s="23">
        <f>EXP(-LN(2)/25)*AA105+(1-EXP(-LN(2)/25))/(LN(2)/25)*Calculateur!V106*Calculateur!X106*VLOOKUP('Données projet'!$B$9,Paramètres!$A$1:$I$89,3,0)*0.475*44/12</f>
        <v>2.1716485117347859</v>
      </c>
      <c r="AB106" s="23">
        <f>EXP(-LN(2)/2)*AB105+(1-EXP(-LN(2)/2))/(LN(2)/2)*V106*Y106*VLOOKUP('Données projet'!$B$9,Paramètres!$A$1:$I$89,3,0)*0.475*44/12</f>
        <v>6.5236663465048015E-11</v>
      </c>
      <c r="AC106" s="24">
        <f t="shared" si="57"/>
        <v>4.5293995348053873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274.19999999999976</v>
      </c>
      <c r="AJ106" s="14">
        <f>AI106*VLOOKUP('Données projet'!$B$10,Paramètres!$A$1:$I$89,3,0)*VLOOKUP('Données projet'!$B$10,Paramètres!$A$1:$I$89,5,0)</f>
        <v>278.03879999999975</v>
      </c>
      <c r="AK106" s="14">
        <f t="shared" si="89"/>
        <v>66.552381547717744</v>
      </c>
      <c r="AL106" s="22">
        <f t="shared" si="58"/>
        <v>600.16297452894128</v>
      </c>
      <c r="AM106" s="60">
        <f t="shared" si="59"/>
        <v>893.49630786227453</v>
      </c>
      <c r="AN106" s="60">
        <f ca="1">AVERAGE(OFFSET($AM$3,0,0,'Données projet'!$E$10+1,1))-AVERAGE(OFFSET($H$3,0,0,'Données projet'!$E$10+1,1))</f>
        <v>475.47920969424894</v>
      </c>
      <c r="AO106" s="60">
        <f t="shared" si="90"/>
        <v>271.73544012419364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3.1</v>
      </c>
      <c r="BD106" s="13">
        <f>IF('Données projet'!$A$88&gt;35,BD105+BC106-BL105,IF(A106&lt;'Données projet'!$A$88,$BA$205^A106,IF(A106='Données projet'!$A$88,'Données projet'!$B$88,BD105+BC106-BL105)))</f>
        <v>211.29999999999995</v>
      </c>
      <c r="BE106" s="14">
        <f>BD106*VLOOKUP('Données projet'!$B$11,Paramètres!$A$1:$I$89,3,0)*VLOOKUP('Données projet'!$B$11,Paramètres!$A$1:$I$89,5,0)</f>
        <v>191.18423999999993</v>
      </c>
      <c r="BF106" s="14">
        <f t="shared" si="91"/>
        <v>47.80167674561666</v>
      </c>
      <c r="BG106" s="22">
        <f t="shared" si="61"/>
        <v>416.23380499861554</v>
      </c>
      <c r="BH106" s="60">
        <f t="shared" si="62"/>
        <v>709.56713833194885</v>
      </c>
      <c r="BI106" s="60">
        <f ca="1">AVERAGE(OFFSET($BH$3,0,0,'Données projet'!$E$11+1,1))-AVERAGE(OFFSET($H$3,0,0,'Données projet'!$E$11+1,1))</f>
        <v>325.2649384779973</v>
      </c>
      <c r="BJ106" s="60">
        <f t="shared" si="92"/>
        <v>146.70159365068315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1.0231815394945443E-12</v>
      </c>
      <c r="BZ106" s="14">
        <f>BY106*VLOOKUP('Données projet'!$B$12,Paramètres!$A$1:$I$89,3,0)*VLOOKUP('Données projet'!$B$12,Paramètres!$A$1:$I$89,5,0)</f>
        <v>4.5224624045658859E-13</v>
      </c>
      <c r="CA106" s="14">
        <f t="shared" si="93"/>
        <v>5.6995607121061449E-12</v>
      </c>
      <c r="CB106" s="22">
        <f t="shared" si="64"/>
        <v>1.0714397109046761E-11</v>
      </c>
      <c r="CC106" s="60">
        <f t="shared" si="65"/>
        <v>293.333333333344</v>
      </c>
      <c r="CD106" s="60">
        <f ca="1">AVERAGE(OFFSET($CC$3,0,0,'Données projet'!$E$12+1,1))-AVERAGE(OFFSET($H$3,0,0,'Données projet'!$E$12+1,1))</f>
        <v>401.84375324751227</v>
      </c>
      <c r="CE106" s="60">
        <f t="shared" si="94"/>
        <v>350.39368043404164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1.1010689729169549</v>
      </c>
      <c r="CM106" s="23">
        <f>EXP(-LN(2)/2)*CM105+(1-EXP(-LN(2)/2))/(LN(2)/2)*CG106*CJ106*VLOOKUP('Données projet'!$B$12,Paramètres!$A$1:$I$89,3,0)*0.475*44/12</f>
        <v>1.4337338396636445E-11</v>
      </c>
      <c r="CN106" s="24">
        <f t="shared" si="66"/>
        <v>1.1010689729312924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-1.1368683772161603E-13</v>
      </c>
      <c r="CU106" s="18">
        <f>CT106*VLOOKUP('Données projet'!$B$13,Paramètres!$A$1:$I$89,3,0)*VLOOKUP('Données projet'!$B$13,Paramètres!$A$1:$I$89,5,0)</f>
        <v>-6.7984728957526396E-14</v>
      </c>
      <c r="CV106" s="14" t="e">
        <f t="shared" si="95"/>
        <v>#NUM!</v>
      </c>
      <c r="CW106" s="22" t="e">
        <f t="shared" si="67"/>
        <v>#NUM!</v>
      </c>
      <c r="CX106" s="60" t="e">
        <f t="shared" si="68"/>
        <v>#NUM!</v>
      </c>
      <c r="CY106" s="60">
        <f ca="1">AVERAGE(OFFSET($CX$3,0,0,'Données projet'!$E$13+1,1))-AVERAGE(OFFSET($H$3,0,0,'Données projet'!$E$13+1,1))</f>
        <v>232.73140429491525</v>
      </c>
      <c r="CZ106" s="60">
        <f t="shared" si="96"/>
        <v>201.02719152328638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1.0520539857508822</v>
      </c>
      <c r="DH106" s="23">
        <f>EXP(-LN(2)/2)*DH105+(1-EXP(-LN(2)/2))/(LN(2)/2)*DB106*DE106*VLOOKUP('Données projet'!$B$13,Paramètres!$A$1:$I$89,3,0)*0.475*44/12</f>
        <v>3.1680338167409196E-11</v>
      </c>
      <c r="DI106" s="24">
        <f t="shared" si="69"/>
        <v>1.0520539857825626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2.62820512820513</v>
      </c>
      <c r="DO106" s="13">
        <f>IF('Données projet'!$A$166&gt;35,DO105+DN106-DW105,IF(A106&lt;'Données projet'!$A$166,$DL$205^A106,IF(A106='Données projet'!$A$166,'Données projet'!$B$166,DO105+DN106-DW105)))</f>
        <v>203.3974358974358</v>
      </c>
      <c r="DP106" s="18">
        <f>DO106*VLOOKUP('Données projet'!$B$14,Paramètres!$A$1:$I$89,3,0)*VLOOKUP('Données projet'!$B$14,Paramètres!$A$1:$I$89,5,0)</f>
        <v>193.55299999999991</v>
      </c>
      <c r="DQ106" s="14">
        <f t="shared" si="97"/>
        <v>48.324621685518494</v>
      </c>
      <c r="DR106" s="22">
        <f t="shared" si="70"/>
        <v>421.27019110227792</v>
      </c>
      <c r="DS106" s="60">
        <f t="shared" si="71"/>
        <v>714.60352443561123</v>
      </c>
      <c r="DT106" s="60">
        <f ca="1">AVERAGE(OFFSET($DS$3,0,0,'Données projet'!$E$14+1,1))-AVERAGE(OFFSET($H$3,0,0,'Données projet'!$E$14+1,1))</f>
        <v>302.15577364214136</v>
      </c>
      <c r="DU106" s="60">
        <f t="shared" si="98"/>
        <v>197.15142751137051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3.2051282051282044</v>
      </c>
      <c r="EJ106" s="13">
        <f>IF('Données projet'!$A$192&gt;35,EJ105+EI106-ER105,IF(A106&lt;'Données projet'!$A$192,$EG$205^A106,IF(A106='Données projet'!$A$192,'Données projet'!$B$192,EJ105+EI106-ER105)))</f>
        <v>298.7179487179485</v>
      </c>
      <c r="EK106" s="18">
        <f>EJ106*VLOOKUP('Données projet'!$B$15,Paramètres!$A$1:$I$89,3,0)*VLOOKUP('Données projet'!$B$15,Paramètres!$A$1:$I$89,5,0)</f>
        <v>312.2199999999998</v>
      </c>
      <c r="EL106" s="14">
        <f t="shared" si="99"/>
        <v>73.732261810577455</v>
      </c>
      <c r="EM106" s="22">
        <f t="shared" si="73"/>
        <v>672.20018932008873</v>
      </c>
      <c r="EN106" s="60">
        <f t="shared" si="74"/>
        <v>965.5335226534221</v>
      </c>
      <c r="EO106" s="60">
        <f ca="1">AVERAGE(OFFSET($EN$3,0,0,'Données projet'!$E$15+1,1))-AVERAGE(OFFSET($H$3,0,0,'Données projet'!$E$15+1,1))</f>
        <v>493.70175665335978</v>
      </c>
      <c r="EP106" s="60">
        <f t="shared" si="100"/>
        <v>325.12357781685949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0" t="e">
        <f t="shared" si="77"/>
        <v>#N/A</v>
      </c>
      <c r="FJ106" s="60" t="e">
        <f ca="1">AVERAGE(OFFSET($FI$3,0,0,'Données projet'!$E$16+1,1))-AVERAGE(OFFSET($H$3,0,0,'Données projet'!$E$16+1,1))</f>
        <v>#N/A</v>
      </c>
      <c r="FK106" s="60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0" t="e">
        <f t="shared" si="80"/>
        <v>#N/A</v>
      </c>
      <c r="GE106" s="60" t="e">
        <f ca="1">AVERAGE(OFFSET($GD$3,0,0,'Données projet'!$E$17+1,1))-AVERAGE(OFFSET($H$3,0,0,'Données projet'!$E$17+1,1))</f>
        <v>#N/A</v>
      </c>
      <c r="GF106" s="60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5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8">
        <f t="shared" si="56"/>
        <v>256.66666666666669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0">
        <f t="shared" si="55"/>
        <v>293.3333333333353</v>
      </c>
      <c r="S107" s="60">
        <f ca="1">AVERAGE(OFFSET($R$3,0,0,'Données projet'!$E$9+1,1))-AVERAGE(OFFSET($H$3,0,0,'Données projet'!$E$9+1,1))</f>
        <v>260.02504691866199</v>
      </c>
      <c r="T107" s="60">
        <f t="shared" si="88"/>
        <v>270.11268336406368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2.3115169635303543</v>
      </c>
      <c r="AA107" s="23">
        <f>EXP(-LN(2)/25)*AA106+(1-EXP(-LN(2)/25))/(LN(2)/25)*Calculateur!V107*Calculateur!X107*VLOOKUP('Données projet'!$B$9,Paramètres!$A$1:$I$89,3,0)*0.475*44/12</f>
        <v>2.1122646689793663</v>
      </c>
      <c r="AB107" s="23">
        <f>EXP(-LN(2)/2)*AB106+(1-EXP(-LN(2)/2))/(LN(2)/2)*V107*Y107*VLOOKUP('Données projet'!$B$9,Paramètres!$A$1:$I$89,3,0)*0.475*44/12</f>
        <v>4.6129287118120146E-11</v>
      </c>
      <c r="AC107" s="24">
        <f t="shared" si="57"/>
        <v>4.4237816325558503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278.59999999999974</v>
      </c>
      <c r="AJ107" s="14">
        <f>AI107*VLOOKUP('Données projet'!$B$10,Paramètres!$A$1:$I$89,3,0)*VLOOKUP('Données projet'!$B$10,Paramètres!$A$1:$I$89,5,0)</f>
        <v>282.50039999999973</v>
      </c>
      <c r="AK107" s="14">
        <f t="shared" si="89"/>
        <v>67.495141560894311</v>
      </c>
      <c r="AL107" s="22">
        <f t="shared" si="58"/>
        <v>609.57556821855712</v>
      </c>
      <c r="AM107" s="60">
        <f t="shared" si="59"/>
        <v>902.90890155189049</v>
      </c>
      <c r="AN107" s="60">
        <f ca="1">AVERAGE(OFFSET($AM$3,0,0,'Données projet'!$E$10+1,1))-AVERAGE(OFFSET($H$3,0,0,'Données projet'!$E$10+1,1))</f>
        <v>475.47920969424894</v>
      </c>
      <c r="AO107" s="60">
        <f t="shared" si="90"/>
        <v>271.73544012419364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3.1</v>
      </c>
      <c r="BD107" s="13">
        <f>IF('Données projet'!$A$88&gt;35,BD106+BC107-BL106,IF(A107&lt;'Données projet'!$A$88,$BA$205^A107,IF(A107='Données projet'!$A$88,'Données projet'!$B$88,BD106+BC107-BL106)))</f>
        <v>214.39999999999995</v>
      </c>
      <c r="BE107" s="14">
        <f>BD107*VLOOKUP('Données projet'!$B$11,Paramètres!$A$1:$I$89,3,0)*VLOOKUP('Données projet'!$B$11,Paramètres!$A$1:$I$89,5,0)</f>
        <v>193.98911999999996</v>
      </c>
      <c r="BF107" s="14">
        <f t="shared" si="91"/>
        <v>48.420821305775434</v>
      </c>
      <c r="BG107" s="22">
        <f t="shared" si="61"/>
        <v>422.19731444089211</v>
      </c>
      <c r="BH107" s="60">
        <f t="shared" si="62"/>
        <v>715.53064777422537</v>
      </c>
      <c r="BI107" s="60">
        <f ca="1">AVERAGE(OFFSET($BH$3,0,0,'Données projet'!$E$11+1,1))-AVERAGE(OFFSET($H$3,0,0,'Données projet'!$E$11+1,1))</f>
        <v>325.2649384779973</v>
      </c>
      <c r="BJ107" s="60">
        <f t="shared" si="92"/>
        <v>146.70159365068315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1.0231815394945443E-12</v>
      </c>
      <c r="BZ107" s="14">
        <f>BY107*VLOOKUP('Données projet'!$B$12,Paramètres!$A$1:$I$89,3,0)*VLOOKUP('Données projet'!$B$12,Paramètres!$A$1:$I$89,5,0)</f>
        <v>4.5224624045658859E-13</v>
      </c>
      <c r="CA107" s="14">
        <f t="shared" si="93"/>
        <v>5.6995607121061449E-12</v>
      </c>
      <c r="CB107" s="22">
        <f t="shared" si="64"/>
        <v>1.0714397109046761E-11</v>
      </c>
      <c r="CC107" s="60">
        <f t="shared" si="65"/>
        <v>293.333333333344</v>
      </c>
      <c r="CD107" s="60">
        <f ca="1">AVERAGE(OFFSET($CC$3,0,0,'Données projet'!$E$12+1,1))-AVERAGE(OFFSET($H$3,0,0,'Données projet'!$E$12+1,1))</f>
        <v>401.84375324751227</v>
      </c>
      <c r="CE107" s="60">
        <f t="shared" si="94"/>
        <v>350.39368043404164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1.0709601839498399</v>
      </c>
      <c r="CM107" s="23">
        <f>EXP(-LN(2)/2)*CM106+(1-EXP(-LN(2)/2))/(LN(2)/2)*CG107*CJ107*VLOOKUP('Données projet'!$B$12,Paramètres!$A$1:$I$89,3,0)*0.475*44/12</f>
        <v>1.0138029204427894E-11</v>
      </c>
      <c r="CN107" s="24">
        <f t="shared" si="66"/>
        <v>1.0709601839599781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-1.1368683772161603E-13</v>
      </c>
      <c r="CU107" s="18">
        <f>CT107*VLOOKUP('Données projet'!$B$13,Paramètres!$A$1:$I$89,3,0)*VLOOKUP('Données projet'!$B$13,Paramètres!$A$1:$I$89,5,0)</f>
        <v>-6.7984728957526396E-14</v>
      </c>
      <c r="CV107" s="14" t="e">
        <f t="shared" si="95"/>
        <v>#NUM!</v>
      </c>
      <c r="CW107" s="22" t="e">
        <f t="shared" si="67"/>
        <v>#NUM!</v>
      </c>
      <c r="CX107" s="60" t="e">
        <f t="shared" si="68"/>
        <v>#NUM!</v>
      </c>
      <c r="CY107" s="60">
        <f ca="1">AVERAGE(OFFSET($CX$3,0,0,'Données projet'!$E$13+1,1))-AVERAGE(OFFSET($H$3,0,0,'Données projet'!$E$13+1,1))</f>
        <v>232.73140429491525</v>
      </c>
      <c r="CZ107" s="60">
        <f t="shared" si="96"/>
        <v>201.02719152328638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1.0232855141854096</v>
      </c>
      <c r="DH107" s="23">
        <f>EXP(-LN(2)/2)*DH106+(1-EXP(-LN(2)/2))/(LN(2)/2)*DB107*DE107*VLOOKUP('Données projet'!$B$13,Paramètres!$A$1:$I$89,3,0)*0.475*44/12</f>
        <v>2.2401381948458044E-11</v>
      </c>
      <c r="DI107" s="24">
        <f t="shared" si="69"/>
        <v>1.023285514207811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2.62820512820513</v>
      </c>
      <c r="DO107" s="13">
        <f>IF('Données projet'!$A$166&gt;35,DO106+DN107-DW106,IF(A107&lt;'Données projet'!$A$166,$DL$205^A107,IF(A107='Données projet'!$A$166,'Données projet'!$B$166,DO106+DN107-DW106)))</f>
        <v>206.02564102564094</v>
      </c>
      <c r="DP107" s="18">
        <f>DO107*VLOOKUP('Données projet'!$B$14,Paramètres!$A$1:$I$89,3,0)*VLOOKUP('Données projet'!$B$14,Paramètres!$A$1:$I$89,5,0)</f>
        <v>196.05399999999992</v>
      </c>
      <c r="DQ107" s="14">
        <f t="shared" si="97"/>
        <v>48.875953163572923</v>
      </c>
      <c r="DR107" s="22">
        <f t="shared" si="70"/>
        <v>426.58633509322271</v>
      </c>
      <c r="DS107" s="60">
        <f t="shared" si="71"/>
        <v>719.91966842655597</v>
      </c>
      <c r="DT107" s="60">
        <f ca="1">AVERAGE(OFFSET($DS$3,0,0,'Données projet'!$E$14+1,1))-AVERAGE(OFFSET($H$3,0,0,'Données projet'!$E$14+1,1))</f>
        <v>302.15577364214136</v>
      </c>
      <c r="DU107" s="60">
        <f t="shared" si="98"/>
        <v>197.15142751137051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3.2051282051282044</v>
      </c>
      <c r="EJ107" s="13">
        <f>IF('Données projet'!$A$192&gt;35,EJ106+EI107-ER106,IF(A107&lt;'Données projet'!$A$192,$EG$205^A107,IF(A107='Données projet'!$A$192,'Données projet'!$B$192,EJ106+EI107-ER106)))</f>
        <v>301.92307692307668</v>
      </c>
      <c r="EK107" s="18">
        <f>EJ107*VLOOKUP('Données projet'!$B$15,Paramètres!$A$1:$I$89,3,0)*VLOOKUP('Données projet'!$B$15,Paramètres!$A$1:$I$89,5,0)</f>
        <v>315.56999999999977</v>
      </c>
      <c r="EL107" s="14">
        <f t="shared" si="99"/>
        <v>74.430859496988774</v>
      </c>
      <c r="EM107" s="22">
        <f t="shared" si="73"/>
        <v>679.25149695725497</v>
      </c>
      <c r="EN107" s="60">
        <f t="shared" si="74"/>
        <v>972.58483029058834</v>
      </c>
      <c r="EO107" s="60">
        <f ca="1">AVERAGE(OFFSET($EN$3,0,0,'Données projet'!$E$15+1,1))-AVERAGE(OFFSET($H$3,0,0,'Données projet'!$E$15+1,1))</f>
        <v>493.70175665335978</v>
      </c>
      <c r="EP107" s="60">
        <f t="shared" si="100"/>
        <v>325.12357781685949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0" t="e">
        <f t="shared" si="77"/>
        <v>#N/A</v>
      </c>
      <c r="FJ107" s="60" t="e">
        <f ca="1">AVERAGE(OFFSET($FI$3,0,0,'Données projet'!$E$16+1,1))-AVERAGE(OFFSET($H$3,0,0,'Données projet'!$E$16+1,1))</f>
        <v>#N/A</v>
      </c>
      <c r="FK107" s="60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0" t="e">
        <f t="shared" si="80"/>
        <v>#N/A</v>
      </c>
      <c r="GE107" s="60" t="e">
        <f ca="1">AVERAGE(OFFSET($GD$3,0,0,'Données projet'!$E$17+1,1))-AVERAGE(OFFSET($H$3,0,0,'Données projet'!$E$17+1,1))</f>
        <v>#N/A</v>
      </c>
      <c r="GF107" s="60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5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8">
        <f t="shared" si="56"/>
        <v>256.66666666666669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0">
        <f t="shared" si="55"/>
        <v>293.3333333333353</v>
      </c>
      <c r="S108" s="60">
        <f ca="1">AVERAGE(OFFSET($R$3,0,0,'Données projet'!$E$9+1,1))-AVERAGE(OFFSET($H$3,0,0,'Données projet'!$E$9+1,1))</f>
        <v>260.02504691866199</v>
      </c>
      <c r="T108" s="60">
        <f t="shared" si="88"/>
        <v>270.11268336406368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2.2661895257616571</v>
      </c>
      <c r="AA108" s="23">
        <f>EXP(-LN(2)/25)*AA107+(1-EXP(-LN(2)/25))/(LN(2)/25)*Calculateur!V108*Calculateur!X108*VLOOKUP('Données projet'!$B$9,Paramètres!$A$1:$I$89,3,0)*0.475*44/12</f>
        <v>2.054504680526954</v>
      </c>
      <c r="AB108" s="23">
        <f>EXP(-LN(2)/2)*AB107+(1-EXP(-LN(2)/2))/(LN(2)/2)*V108*Y108*VLOOKUP('Données projet'!$B$9,Paramètres!$A$1:$I$89,3,0)*0.475*44/12</f>
        <v>3.2618331732524008E-11</v>
      </c>
      <c r="AC108" s="24">
        <f t="shared" si="57"/>
        <v>4.320694206321229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282.99999999999972</v>
      </c>
      <c r="AJ108" s="14">
        <f>AI108*VLOOKUP('Données projet'!$B$10,Paramètres!$A$1:$I$89,3,0)*VLOOKUP('Données projet'!$B$10,Paramètres!$A$1:$I$89,5,0)</f>
        <v>286.9619999999997</v>
      </c>
      <c r="AK108" s="14">
        <f t="shared" si="89"/>
        <v>68.436169981717796</v>
      </c>
      <c r="AL108" s="22">
        <f t="shared" si="58"/>
        <v>618.98514605149137</v>
      </c>
      <c r="AM108" s="60">
        <f t="shared" si="59"/>
        <v>912.31847938482474</v>
      </c>
      <c r="AN108" s="60">
        <f ca="1">AVERAGE(OFFSET($AM$3,0,0,'Données projet'!$E$10+1,1))-AVERAGE(OFFSET($H$3,0,0,'Données projet'!$E$10+1,1))</f>
        <v>475.47920969424894</v>
      </c>
      <c r="AO108" s="60">
        <f t="shared" si="90"/>
        <v>271.73544012419364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3.1</v>
      </c>
      <c r="BD108" s="13">
        <f>IF('Données projet'!$A$88&gt;35,BD107+BC108-BL107,IF(A108&lt;'Données projet'!$A$88,$BA$205^A108,IF(A108='Données projet'!$A$88,'Données projet'!$B$88,BD107+BC108-BL107)))</f>
        <v>217.49999999999994</v>
      </c>
      <c r="BE108" s="14">
        <f>BD108*VLOOKUP('Données projet'!$B$11,Paramètres!$A$1:$I$89,3,0)*VLOOKUP('Données projet'!$B$11,Paramètres!$A$1:$I$89,5,0)</f>
        <v>196.79399999999995</v>
      </c>
      <c r="BF108" s="14">
        <f t="shared" si="91"/>
        <v>49.038924669809596</v>
      </c>
      <c r="BG108" s="22">
        <f t="shared" si="61"/>
        <v>428.15901046658496</v>
      </c>
      <c r="BH108" s="60">
        <f t="shared" si="62"/>
        <v>721.49234379991822</v>
      </c>
      <c r="BI108" s="60">
        <f ca="1">AVERAGE(OFFSET($BH$3,0,0,'Données projet'!$E$11+1,1))-AVERAGE(OFFSET($H$3,0,0,'Données projet'!$E$11+1,1))</f>
        <v>325.2649384779973</v>
      </c>
      <c r="BJ108" s="60">
        <f t="shared" si="92"/>
        <v>146.70159365068315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1.0231815394945443E-12</v>
      </c>
      <c r="BZ108" s="14">
        <f>BY108*VLOOKUP('Données projet'!$B$12,Paramètres!$A$1:$I$89,3,0)*VLOOKUP('Données projet'!$B$12,Paramètres!$A$1:$I$89,5,0)</f>
        <v>4.5224624045658859E-13</v>
      </c>
      <c r="CA108" s="14">
        <f t="shared" si="93"/>
        <v>5.6995607121061449E-12</v>
      </c>
      <c r="CB108" s="22">
        <f t="shared" si="64"/>
        <v>1.0714397109046761E-11</v>
      </c>
      <c r="CC108" s="60">
        <f t="shared" si="65"/>
        <v>293.333333333344</v>
      </c>
      <c r="CD108" s="60">
        <f ca="1">AVERAGE(OFFSET($CC$3,0,0,'Données projet'!$E$12+1,1))-AVERAGE(OFFSET($H$3,0,0,'Données projet'!$E$12+1,1))</f>
        <v>401.84375324751227</v>
      </c>
      <c r="CE108" s="60">
        <f t="shared" si="94"/>
        <v>350.39368043404164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1.0416747214003832</v>
      </c>
      <c r="CM108" s="23">
        <f>EXP(-LN(2)/2)*CM107+(1-EXP(-LN(2)/2))/(LN(2)/2)*CG108*CJ108*VLOOKUP('Données projet'!$B$12,Paramètres!$A$1:$I$89,3,0)*0.475*44/12</f>
        <v>7.1686691983182242E-12</v>
      </c>
      <c r="CN108" s="24">
        <f t="shared" si="66"/>
        <v>1.0416747214075519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-1.1368683772161603E-13</v>
      </c>
      <c r="CU108" s="18">
        <f>CT108*VLOOKUP('Données projet'!$B$13,Paramètres!$A$1:$I$89,3,0)*VLOOKUP('Données projet'!$B$13,Paramètres!$A$1:$I$89,5,0)</f>
        <v>-6.7984728957526396E-14</v>
      </c>
      <c r="CV108" s="14" t="e">
        <f t="shared" si="95"/>
        <v>#NUM!</v>
      </c>
      <c r="CW108" s="22" t="e">
        <f t="shared" si="67"/>
        <v>#NUM!</v>
      </c>
      <c r="CX108" s="60" t="e">
        <f t="shared" si="68"/>
        <v>#NUM!</v>
      </c>
      <c r="CY108" s="60">
        <f ca="1">AVERAGE(OFFSET($CX$3,0,0,'Données projet'!$E$13+1,1))-AVERAGE(OFFSET($H$3,0,0,'Données projet'!$E$13+1,1))</f>
        <v>232.73140429491525</v>
      </c>
      <c r="CZ108" s="60">
        <f t="shared" si="96"/>
        <v>201.02719152328638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0.99530371798776307</v>
      </c>
      <c r="DH108" s="23">
        <f>EXP(-LN(2)/2)*DH107+(1-EXP(-LN(2)/2))/(LN(2)/2)*DB108*DE108*VLOOKUP('Données projet'!$B$13,Paramètres!$A$1:$I$89,3,0)*0.475*44/12</f>
        <v>1.5840169083704598E-11</v>
      </c>
      <c r="DI108" s="24">
        <f t="shared" si="69"/>
        <v>0.99530371800360329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2.62820512820513</v>
      </c>
      <c r="DO108" s="13">
        <f>IF('Données projet'!$A$166&gt;35,DO107+DN108-DW107,IF(A108&lt;'Données projet'!$A$166,$DL$205^A108,IF(A108='Données projet'!$A$166,'Données projet'!$B$166,DO107+DN108-DW107)))</f>
        <v>208.65384615384608</v>
      </c>
      <c r="DP108" s="18">
        <f>DO108*VLOOKUP('Données projet'!$B$14,Paramètres!$A$1:$I$89,3,0)*VLOOKUP('Données projet'!$B$14,Paramètres!$A$1:$I$89,5,0)</f>
        <v>198.55499999999992</v>
      </c>
      <c r="DQ108" s="14">
        <f t="shared" si="97"/>
        <v>49.426466565325278</v>
      </c>
      <c r="DR108" s="22">
        <f t="shared" si="70"/>
        <v>431.90105426794139</v>
      </c>
      <c r="DS108" s="60">
        <f t="shared" si="71"/>
        <v>725.23438760127465</v>
      </c>
      <c r="DT108" s="60">
        <f ca="1">AVERAGE(OFFSET($DS$3,0,0,'Données projet'!$E$14+1,1))-AVERAGE(OFFSET($H$3,0,0,'Données projet'!$E$14+1,1))</f>
        <v>302.15577364214136</v>
      </c>
      <c r="DU108" s="60">
        <f t="shared" si="98"/>
        <v>197.15142751137051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3.2051282051282044</v>
      </c>
      <c r="EJ108" s="13">
        <f>IF('Données projet'!$A$192&gt;35,EJ107+EI108-ER107,IF(A108&lt;'Données projet'!$A$192,$EG$205^A108,IF(A108='Données projet'!$A$192,'Données projet'!$B$192,EJ107+EI108-ER107)))</f>
        <v>305.12820512820485</v>
      </c>
      <c r="EK108" s="18">
        <f>EJ108*VLOOKUP('Données projet'!$B$15,Paramètres!$A$1:$I$89,3,0)*VLOOKUP('Données projet'!$B$15,Paramètres!$A$1:$I$89,5,0)</f>
        <v>318.91999999999973</v>
      </c>
      <c r="EL108" s="14">
        <f t="shared" si="99"/>
        <v>75.128594464022456</v>
      </c>
      <c r="EM108" s="22">
        <f t="shared" si="73"/>
        <v>686.30130202483861</v>
      </c>
      <c r="EN108" s="60">
        <f t="shared" si="74"/>
        <v>979.63463535817186</v>
      </c>
      <c r="EO108" s="60">
        <f ca="1">AVERAGE(OFFSET($EN$3,0,0,'Données projet'!$E$15+1,1))-AVERAGE(OFFSET($H$3,0,0,'Données projet'!$E$15+1,1))</f>
        <v>493.70175665335978</v>
      </c>
      <c r="EP108" s="60">
        <f t="shared" si="100"/>
        <v>325.12357781685949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0" t="e">
        <f t="shared" si="77"/>
        <v>#N/A</v>
      </c>
      <c r="FJ108" s="60" t="e">
        <f ca="1">AVERAGE(OFFSET($FI$3,0,0,'Données projet'!$E$16+1,1))-AVERAGE(OFFSET($H$3,0,0,'Données projet'!$E$16+1,1))</f>
        <v>#N/A</v>
      </c>
      <c r="FK108" s="60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0" t="e">
        <f t="shared" si="80"/>
        <v>#N/A</v>
      </c>
      <c r="GE108" s="60" t="e">
        <f ca="1">AVERAGE(OFFSET($GD$3,0,0,'Données projet'!$E$17+1,1))-AVERAGE(OFFSET($H$3,0,0,'Données projet'!$E$17+1,1))</f>
        <v>#N/A</v>
      </c>
      <c r="GF108" s="60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5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8">
        <f t="shared" si="56"/>
        <v>256.66666666666669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0">
        <f t="shared" si="55"/>
        <v>293.3333333333353</v>
      </c>
      <c r="S109" s="60">
        <f ca="1">AVERAGE(OFFSET($R$3,0,0,'Données projet'!$E$9+1,1))-AVERAGE(OFFSET($H$3,0,0,'Données projet'!$E$9+1,1))</f>
        <v>260.02504691866199</v>
      </c>
      <c r="T109" s="60">
        <f t="shared" si="88"/>
        <v>270.11268336406368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2.2217509314005968</v>
      </c>
      <c r="AA109" s="23">
        <f>EXP(-LN(2)/25)*AA108+(1-EXP(-LN(2)/25))/(LN(2)/25)*Calculateur!V109*Calculateur!X109*VLOOKUP('Données projet'!$B$9,Paramètres!$A$1:$I$89,3,0)*0.475*44/12</f>
        <v>1.998324141996239</v>
      </c>
      <c r="AB109" s="23">
        <f>EXP(-LN(2)/2)*AB108+(1-EXP(-LN(2)/2))/(LN(2)/2)*V109*Y109*VLOOKUP('Données projet'!$B$9,Paramètres!$A$1:$I$89,3,0)*0.475*44/12</f>
        <v>2.3064643559060073E-11</v>
      </c>
      <c r="AC109" s="24">
        <f t="shared" si="57"/>
        <v>4.2200750734199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4.4000000000000004</v>
      </c>
      <c r="AI109" s="14">
        <f>IF('Données projet'!$A$62&gt;35,AI108+AH109-AQ108,IF(A109&lt;'Données projet'!$A$62,$AF$205^A109,IF(A109='Données projet'!$A$62,'Données projet'!$B$62,AI108+AH109-AQ108)))</f>
        <v>287.39999999999969</v>
      </c>
      <c r="AJ109" s="14">
        <f>AI109*VLOOKUP('Données projet'!$B$10,Paramètres!$A$1:$I$89,3,0)*VLOOKUP('Données projet'!$B$10,Paramètres!$A$1:$I$89,5,0)</f>
        <v>291.42359999999968</v>
      </c>
      <c r="AK109" s="14">
        <f t="shared" si="89"/>
        <v>69.375496841482104</v>
      </c>
      <c r="AL109" s="22">
        <f t="shared" si="58"/>
        <v>628.39176033224737</v>
      </c>
      <c r="AM109" s="60">
        <f t="shared" si="59"/>
        <v>921.72509366558074</v>
      </c>
      <c r="AN109" s="60">
        <f ca="1">AVERAGE(OFFSET($AM$3,0,0,'Données projet'!$E$10+1,1))-AVERAGE(OFFSET($H$3,0,0,'Données projet'!$E$10+1,1))</f>
        <v>475.47920969424894</v>
      </c>
      <c r="AO109" s="60">
        <f t="shared" si="90"/>
        <v>271.73544012419364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3.1</v>
      </c>
      <c r="BD109" s="13">
        <f>IF('Données projet'!$A$88&gt;35,BD108+BC109-BL108,IF(A109&lt;'Données projet'!$A$88,$BA$205^A109,IF(A109='Données projet'!$A$88,'Données projet'!$B$88,BD108+BC109-BL108)))</f>
        <v>220.59999999999994</v>
      </c>
      <c r="BE109" s="14">
        <f>BD109*VLOOKUP('Données projet'!$B$11,Paramètres!$A$1:$I$89,3,0)*VLOOKUP('Données projet'!$B$11,Paramètres!$A$1:$I$89,5,0)</f>
        <v>199.59887999999992</v>
      </c>
      <c r="BF109" s="14">
        <f t="shared" si="91"/>
        <v>49.656003392528994</v>
      </c>
      <c r="BG109" s="22">
        <f t="shared" si="61"/>
        <v>434.1189219086545</v>
      </c>
      <c r="BH109" s="60">
        <f t="shared" si="62"/>
        <v>727.45225524198781</v>
      </c>
      <c r="BI109" s="60">
        <f ca="1">AVERAGE(OFFSET($BH$3,0,0,'Données projet'!$E$11+1,1))-AVERAGE(OFFSET($H$3,0,0,'Données projet'!$E$11+1,1))</f>
        <v>325.2649384779973</v>
      </c>
      <c r="BJ109" s="60">
        <f t="shared" si="92"/>
        <v>146.70159365068315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1.0231815394945443E-12</v>
      </c>
      <c r="BZ109" s="14">
        <f>BY109*VLOOKUP('Données projet'!$B$12,Paramètres!$A$1:$I$89,3,0)*VLOOKUP('Données projet'!$B$12,Paramètres!$A$1:$I$89,5,0)</f>
        <v>4.5224624045658859E-13</v>
      </c>
      <c r="CA109" s="14">
        <f t="shared" si="93"/>
        <v>5.6995607121061449E-12</v>
      </c>
      <c r="CB109" s="22">
        <f t="shared" si="64"/>
        <v>1.0714397109046761E-11</v>
      </c>
      <c r="CC109" s="60">
        <f t="shared" si="65"/>
        <v>293.333333333344</v>
      </c>
      <c r="CD109" s="60">
        <f ca="1">AVERAGE(OFFSET($CC$3,0,0,'Données projet'!$E$12+1,1))-AVERAGE(OFFSET($H$3,0,0,'Données projet'!$E$12+1,1))</f>
        <v>401.84375324751227</v>
      </c>
      <c r="CE109" s="60">
        <f t="shared" si="94"/>
        <v>350.39368043404164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1.0131900713643969</v>
      </c>
      <c r="CM109" s="23">
        <f>EXP(-LN(2)/2)*CM108+(1-EXP(-LN(2)/2))/(LN(2)/2)*CG109*CJ109*VLOOKUP('Données projet'!$B$12,Paramètres!$A$1:$I$89,3,0)*0.475*44/12</f>
        <v>5.069014602213948E-12</v>
      </c>
      <c r="CN109" s="24">
        <f t="shared" si="66"/>
        <v>1.0131900713694659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-1.1368683772161603E-13</v>
      </c>
      <c r="CU109" s="18">
        <f>CT109*VLOOKUP('Données projet'!$B$13,Paramètres!$A$1:$I$89,3,0)*VLOOKUP('Données projet'!$B$13,Paramètres!$A$1:$I$89,5,0)</f>
        <v>-6.7984728957526396E-14</v>
      </c>
      <c r="CV109" s="14" t="e">
        <f t="shared" si="95"/>
        <v>#NUM!</v>
      </c>
      <c r="CW109" s="22" t="e">
        <f t="shared" si="67"/>
        <v>#NUM!</v>
      </c>
      <c r="CX109" s="60" t="e">
        <f t="shared" si="68"/>
        <v>#NUM!</v>
      </c>
      <c r="CY109" s="60">
        <f ca="1">AVERAGE(OFFSET($CX$3,0,0,'Données projet'!$E$13+1,1))-AVERAGE(OFFSET($H$3,0,0,'Données projet'!$E$13+1,1))</f>
        <v>232.73140429491525</v>
      </c>
      <c r="CZ109" s="60">
        <f t="shared" si="96"/>
        <v>201.02719152328638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0.96808708547863997</v>
      </c>
      <c r="DH109" s="23">
        <f>EXP(-LN(2)/2)*DH108+(1-EXP(-LN(2)/2))/(LN(2)/2)*DB109*DE109*VLOOKUP('Données projet'!$B$13,Paramètres!$A$1:$I$89,3,0)*0.475*44/12</f>
        <v>1.1200690974229022E-11</v>
      </c>
      <c r="DI109" s="24">
        <f t="shared" si="69"/>
        <v>0.96808708548984068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2.62820512820513</v>
      </c>
      <c r="DO109" s="13">
        <f>IF('Données projet'!$A$166&gt;35,DO108+DN109-DW108,IF(A109&lt;'Données projet'!$A$166,$DL$205^A109,IF(A109='Données projet'!$A$166,'Données projet'!$B$166,DO108+DN109-DW108)))</f>
        <v>211.28205128205121</v>
      </c>
      <c r="DP109" s="18">
        <f>DO109*VLOOKUP('Données projet'!$B$14,Paramètres!$A$1:$I$89,3,0)*VLOOKUP('Données projet'!$B$14,Paramètres!$A$1:$I$89,5,0)</f>
        <v>201.05599999999993</v>
      </c>
      <c r="DQ109" s="14">
        <f t="shared" si="97"/>
        <v>49.976173386895105</v>
      </c>
      <c r="DR109" s="22">
        <f t="shared" si="70"/>
        <v>437.21436864884214</v>
      </c>
      <c r="DS109" s="60">
        <f t="shared" si="71"/>
        <v>730.54770198217545</v>
      </c>
      <c r="DT109" s="60">
        <f ca="1">AVERAGE(OFFSET($DS$3,0,0,'Données projet'!$E$14+1,1))-AVERAGE(OFFSET($H$3,0,0,'Données projet'!$E$14+1,1))</f>
        <v>302.15577364214136</v>
      </c>
      <c r="DU109" s="60">
        <f t="shared" si="98"/>
        <v>197.15142751137051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3.2051282051282044</v>
      </c>
      <c r="EJ109" s="13">
        <f>IF('Données projet'!$A$192&gt;35,EJ108+EI109-ER108,IF(A109&lt;'Données projet'!$A$192,$EG$205^A109,IF(A109='Données projet'!$A$192,'Données projet'!$B$192,EJ108+EI109-ER108)))</f>
        <v>308.33333333333303</v>
      </c>
      <c r="EK109" s="18">
        <f>EJ109*VLOOKUP('Données projet'!$B$15,Paramètres!$A$1:$I$89,3,0)*VLOOKUP('Données projet'!$B$15,Paramètres!$A$1:$I$89,5,0)</f>
        <v>322.2699999999997</v>
      </c>
      <c r="EL109" s="14">
        <f t="shared" si="99"/>
        <v>75.825476822885705</v>
      </c>
      <c r="EM109" s="22">
        <f t="shared" si="73"/>
        <v>693.34962213319204</v>
      </c>
      <c r="EN109" s="60">
        <f t="shared" si="74"/>
        <v>986.6829554665253</v>
      </c>
      <c r="EO109" s="60">
        <f ca="1">AVERAGE(OFFSET($EN$3,0,0,'Données projet'!$E$15+1,1))-AVERAGE(OFFSET($H$3,0,0,'Données projet'!$E$15+1,1))</f>
        <v>493.70175665335978</v>
      </c>
      <c r="EP109" s="60">
        <f t="shared" si="100"/>
        <v>325.12357781685949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0" t="e">
        <f t="shared" si="77"/>
        <v>#N/A</v>
      </c>
      <c r="FJ109" s="60" t="e">
        <f ca="1">AVERAGE(OFFSET($FI$3,0,0,'Données projet'!$E$16+1,1))-AVERAGE(OFFSET($H$3,0,0,'Données projet'!$E$16+1,1))</f>
        <v>#N/A</v>
      </c>
      <c r="FK109" s="60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0" t="e">
        <f t="shared" si="80"/>
        <v>#N/A</v>
      </c>
      <c r="GE109" s="60" t="e">
        <f ca="1">AVERAGE(OFFSET($GD$3,0,0,'Données projet'!$E$17+1,1))-AVERAGE(OFFSET($H$3,0,0,'Données projet'!$E$17+1,1))</f>
        <v>#N/A</v>
      </c>
      <c r="GF109" s="60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5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8">
        <f t="shared" si="56"/>
        <v>256.66666666666669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0">
        <f t="shared" si="55"/>
        <v>293.3333333333353</v>
      </c>
      <c r="S110" s="60">
        <f ca="1">AVERAGE(OFFSET($R$3,0,0,'Données projet'!$E$9+1,1))-AVERAGE(OFFSET($H$3,0,0,'Données projet'!$E$9+1,1))</f>
        <v>260.02504691866199</v>
      </c>
      <c r="T110" s="60">
        <f t="shared" si="88"/>
        <v>270.11268336406368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2.1781837507700907</v>
      </c>
      <c r="AA110" s="23">
        <f>EXP(-LN(2)/25)*AA109+(1-EXP(-LN(2)/25))/(LN(2)/25)*Calculateur!V110*Calculateur!X110*VLOOKUP('Données projet'!$B$9,Paramètres!$A$1:$I$89,3,0)*0.475*44/12</f>
        <v>1.9436798632460524</v>
      </c>
      <c r="AB110" s="23">
        <f>EXP(-LN(2)/2)*AB109+(1-EXP(-LN(2)/2))/(LN(2)/2)*V110*Y110*VLOOKUP('Données projet'!$B$9,Paramètres!$A$1:$I$89,3,0)*0.475*44/12</f>
        <v>1.6309165866262004E-11</v>
      </c>
      <c r="AC110" s="24">
        <f t="shared" si="57"/>
        <v>4.1218636140324518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4.4000000000000004</v>
      </c>
      <c r="AI110" s="14">
        <f>IF('Données projet'!$A$62&gt;35,AI109+AH110-AQ109,IF(A110&lt;'Données projet'!$A$62,$AF$205^A110,IF(A110='Données projet'!$A$62,'Données projet'!$B$62,AI109+AH110-AQ109)))</f>
        <v>291.79999999999967</v>
      </c>
      <c r="AJ110" s="14">
        <f>AI110*VLOOKUP('Données projet'!$B$10,Paramètres!$A$1:$I$89,3,0)*VLOOKUP('Données projet'!$B$10,Paramètres!$A$1:$I$89,5,0)</f>
        <v>295.88519999999966</v>
      </c>
      <c r="AK110" s="14">
        <f t="shared" si="89"/>
        <v>70.313151199178748</v>
      </c>
      <c r="AL110" s="22">
        <f t="shared" si="58"/>
        <v>637.79546167190244</v>
      </c>
      <c r="AM110" s="60">
        <f t="shared" si="59"/>
        <v>931.12879500523582</v>
      </c>
      <c r="AN110" s="60">
        <f ca="1">AVERAGE(OFFSET($AM$3,0,0,'Données projet'!$E$10+1,1))-AVERAGE(OFFSET($H$3,0,0,'Données projet'!$E$10+1,1))</f>
        <v>475.47920969424894</v>
      </c>
      <c r="AO110" s="60">
        <f t="shared" si="90"/>
        <v>271.73544012419364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3.1</v>
      </c>
      <c r="BD110" s="13">
        <f>IF('Données projet'!$A$88&gt;35,BD109+BC110-BL109,IF(A110&lt;'Données projet'!$A$88,$BA$205^A110,IF(A110='Données projet'!$A$88,'Données projet'!$B$88,BD109+BC110-BL109)))</f>
        <v>223.69999999999993</v>
      </c>
      <c r="BE110" s="14">
        <f>BD110*VLOOKUP('Données projet'!$B$11,Paramètres!$A$1:$I$89,3,0)*VLOOKUP('Données projet'!$B$11,Paramètres!$A$1:$I$89,5,0)</f>
        <v>202.40375999999992</v>
      </c>
      <c r="BF110" s="14">
        <f t="shared" si="91"/>
        <v>50.272073536742994</v>
      </c>
      <c r="BG110" s="22">
        <f t="shared" si="61"/>
        <v>440.0770767431606</v>
      </c>
      <c r="BH110" s="60">
        <f t="shared" si="62"/>
        <v>733.41041007649392</v>
      </c>
      <c r="BI110" s="60">
        <f ca="1">AVERAGE(OFFSET($BH$3,0,0,'Données projet'!$E$11+1,1))-AVERAGE(OFFSET($H$3,0,0,'Données projet'!$E$11+1,1))</f>
        <v>325.2649384779973</v>
      </c>
      <c r="BJ110" s="60">
        <f t="shared" si="92"/>
        <v>146.70159365068315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1.0231815394945443E-12</v>
      </c>
      <c r="BZ110" s="14">
        <f>BY110*VLOOKUP('Données projet'!$B$12,Paramètres!$A$1:$I$89,3,0)*VLOOKUP('Données projet'!$B$12,Paramètres!$A$1:$I$89,5,0)</f>
        <v>4.5224624045658859E-13</v>
      </c>
      <c r="CA110" s="14">
        <f t="shared" si="93"/>
        <v>5.6995607121061449E-12</v>
      </c>
      <c r="CB110" s="22">
        <f t="shared" si="64"/>
        <v>1.0714397109046761E-11</v>
      </c>
      <c r="CC110" s="60">
        <f t="shared" si="65"/>
        <v>293.333333333344</v>
      </c>
      <c r="CD110" s="60">
        <f ca="1">AVERAGE(OFFSET($CC$3,0,0,'Données projet'!$E$12+1,1))-AVERAGE(OFFSET($H$3,0,0,'Données projet'!$E$12+1,1))</f>
        <v>401.84375324751227</v>
      </c>
      <c r="CE110" s="60">
        <f t="shared" si="94"/>
        <v>350.39368043404164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0.98548433558158721</v>
      </c>
      <c r="CM110" s="23">
        <f>EXP(-LN(2)/2)*CM109+(1-EXP(-LN(2)/2))/(LN(2)/2)*CG110*CJ110*VLOOKUP('Données projet'!$B$12,Paramètres!$A$1:$I$89,3,0)*0.475*44/12</f>
        <v>3.5843345991591125E-12</v>
      </c>
      <c r="CN110" s="24">
        <f t="shared" si="66"/>
        <v>0.98548433558517157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-1.1368683772161603E-13</v>
      </c>
      <c r="CU110" s="18">
        <f>CT110*VLOOKUP('Données projet'!$B$13,Paramètres!$A$1:$I$89,3,0)*VLOOKUP('Données projet'!$B$13,Paramètres!$A$1:$I$89,5,0)</f>
        <v>-6.7984728957526396E-14</v>
      </c>
      <c r="CV110" s="14" t="e">
        <f t="shared" si="95"/>
        <v>#NUM!</v>
      </c>
      <c r="CW110" s="22" t="e">
        <f t="shared" si="67"/>
        <v>#NUM!</v>
      </c>
      <c r="CX110" s="60" t="e">
        <f t="shared" si="68"/>
        <v>#NUM!</v>
      </c>
      <c r="CY110" s="60">
        <f ca="1">AVERAGE(OFFSET($CX$3,0,0,'Données projet'!$E$13+1,1))-AVERAGE(OFFSET($H$3,0,0,'Données projet'!$E$13+1,1))</f>
        <v>232.73140429491525</v>
      </c>
      <c r="CZ110" s="60">
        <f t="shared" si="96"/>
        <v>201.02719152328638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0.9416146932167393</v>
      </c>
      <c r="DH110" s="23">
        <f>EXP(-LN(2)/2)*DH109+(1-EXP(-LN(2)/2))/(LN(2)/2)*DB110*DE110*VLOOKUP('Données projet'!$B$13,Paramètres!$A$1:$I$89,3,0)*0.475*44/12</f>
        <v>7.920084541852299E-12</v>
      </c>
      <c r="DI110" s="24">
        <f t="shared" si="69"/>
        <v>0.9416146932246594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2.62820512820513</v>
      </c>
      <c r="DO110" s="13">
        <f>IF('Données projet'!$A$166&gt;35,DO109+DN110-DW109,IF(A110&lt;'Données projet'!$A$166,$DL$205^A110,IF(A110='Données projet'!$A$166,'Données projet'!$B$166,DO109+DN110-DW109)))</f>
        <v>213.91025641025635</v>
      </c>
      <c r="DP110" s="18">
        <f>DO110*VLOOKUP('Données projet'!$B$14,Paramètres!$A$1:$I$89,3,0)*VLOOKUP('Données projet'!$B$14,Paramètres!$A$1:$I$89,5,0)</f>
        <v>203.55699999999993</v>
      </c>
      <c r="DQ110" s="14">
        <f t="shared" si="97"/>
        <v>50.525084821943949</v>
      </c>
      <c r="DR110" s="22">
        <f t="shared" si="70"/>
        <v>442.52629773155223</v>
      </c>
      <c r="DS110" s="60">
        <f t="shared" si="71"/>
        <v>735.85963106488555</v>
      </c>
      <c r="DT110" s="60">
        <f ca="1">AVERAGE(OFFSET($DS$3,0,0,'Données projet'!$E$14+1,1))-AVERAGE(OFFSET($H$3,0,0,'Données projet'!$E$14+1,1))</f>
        <v>302.15577364214136</v>
      </c>
      <c r="DU110" s="60">
        <f t="shared" si="98"/>
        <v>197.15142751137051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3.2051282051282044</v>
      </c>
      <c r="EJ110" s="13">
        <f>IF('Données projet'!$A$192&gt;35,EJ109+EI110-ER109,IF(A110&lt;'Données projet'!$A$192,$EG$205^A110,IF(A110='Données projet'!$A$192,'Données projet'!$B$192,EJ109+EI110-ER109)))</f>
        <v>311.53846153846121</v>
      </c>
      <c r="EK110" s="18">
        <f>EJ110*VLOOKUP('Données projet'!$B$15,Paramètres!$A$1:$I$89,3,0)*VLOOKUP('Données projet'!$B$15,Paramètres!$A$1:$I$89,5,0)</f>
        <v>325.61999999999972</v>
      </c>
      <c r="EL110" s="14">
        <f t="shared" si="99"/>
        <v>76.521516462461591</v>
      </c>
      <c r="EM110" s="22">
        <f t="shared" si="73"/>
        <v>700.39647450545351</v>
      </c>
      <c r="EN110" s="60">
        <f t="shared" si="74"/>
        <v>993.72980783878688</v>
      </c>
      <c r="EO110" s="60">
        <f ca="1">AVERAGE(OFFSET($EN$3,0,0,'Données projet'!$E$15+1,1))-AVERAGE(OFFSET($H$3,0,0,'Données projet'!$E$15+1,1))</f>
        <v>493.70175665335978</v>
      </c>
      <c r="EP110" s="60">
        <f t="shared" si="100"/>
        <v>325.12357781685949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0" t="e">
        <f t="shared" si="77"/>
        <v>#N/A</v>
      </c>
      <c r="FJ110" s="60" t="e">
        <f ca="1">AVERAGE(OFFSET($FI$3,0,0,'Données projet'!$E$16+1,1))-AVERAGE(OFFSET($H$3,0,0,'Données projet'!$E$16+1,1))</f>
        <v>#N/A</v>
      </c>
      <c r="FK110" s="60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0" t="e">
        <f t="shared" si="80"/>
        <v>#N/A</v>
      </c>
      <c r="GE110" s="60" t="e">
        <f ca="1">AVERAGE(OFFSET($GD$3,0,0,'Données projet'!$E$17+1,1))-AVERAGE(OFFSET($H$3,0,0,'Données projet'!$E$17+1,1))</f>
        <v>#N/A</v>
      </c>
      <c r="GF110" s="60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5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8">
        <f t="shared" si="56"/>
        <v>256.66666666666669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0">
        <f t="shared" si="55"/>
        <v>293.3333333333353</v>
      </c>
      <c r="S111" s="60">
        <f ca="1">AVERAGE(OFFSET($R$3,0,0,'Données projet'!$E$9+1,1))-AVERAGE(OFFSET($H$3,0,0,'Données projet'!$E$9+1,1))</f>
        <v>260.02504691866199</v>
      </c>
      <c r="T111" s="60">
        <f t="shared" si="88"/>
        <v>270.11268336406368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2.1354708959783926</v>
      </c>
      <c r="AA111" s="23">
        <f>EXP(-LN(2)/25)*AA110+(1-EXP(-LN(2)/25))/(LN(2)/25)*Calculateur!V111*Calculateur!X111*VLOOKUP('Données projet'!$B$9,Paramètres!$A$1:$I$89,3,0)*0.475*44/12</f>
        <v>1.8905298351719073</v>
      </c>
      <c r="AB111" s="23">
        <f>EXP(-LN(2)/2)*AB110+(1-EXP(-LN(2)/2))/(LN(2)/2)*V111*Y111*VLOOKUP('Données projet'!$B$9,Paramètres!$A$1:$I$89,3,0)*0.475*44/12</f>
        <v>1.1532321779530037E-11</v>
      </c>
      <c r="AC111" s="24">
        <f t="shared" si="57"/>
        <v>4.0260007311618322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4.4000000000000004</v>
      </c>
      <c r="AI111" s="14">
        <f>IF('Données projet'!$A$62&gt;35,AI110+AH111-AQ110,IF(A111&lt;'Données projet'!$A$62,$AF$205^A111,IF(A111='Données projet'!$A$62,'Données projet'!$B$62,AI110+AH111-AQ110)))</f>
        <v>296.19999999999965</v>
      </c>
      <c r="AJ111" s="14">
        <f>AI111*VLOOKUP('Données projet'!$B$10,Paramètres!$A$1:$I$89,3,0)*VLOOKUP('Données projet'!$B$10,Paramètres!$A$1:$I$89,5,0)</f>
        <v>300.34679999999963</v>
      </c>
      <c r="AK111" s="14">
        <f t="shared" si="89"/>
        <v>71.249161187153291</v>
      </c>
      <c r="AL111" s="22">
        <f t="shared" si="58"/>
        <v>647.19629906762464</v>
      </c>
      <c r="AM111" s="60">
        <f t="shared" si="59"/>
        <v>940.52963240095801</v>
      </c>
      <c r="AN111" s="60">
        <f ca="1">AVERAGE(OFFSET($AM$3,0,0,'Données projet'!$E$10+1,1))-AVERAGE(OFFSET($H$3,0,0,'Données projet'!$E$10+1,1))</f>
        <v>475.47920969424894</v>
      </c>
      <c r="AO111" s="60">
        <f t="shared" si="90"/>
        <v>271.73544012419364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3.1</v>
      </c>
      <c r="BD111" s="13">
        <f>IF('Données projet'!$A$88&gt;35,BD110+BC111-BL110,IF(A111&lt;'Données projet'!$A$88,$BA$205^A111,IF(A111='Données projet'!$A$88,'Données projet'!$B$88,BD110+BC111-BL110)))</f>
        <v>226.79999999999993</v>
      </c>
      <c r="BE111" s="14">
        <f>BD111*VLOOKUP('Données projet'!$B$11,Paramètres!$A$1:$I$89,3,0)*VLOOKUP('Données projet'!$B$11,Paramètres!$A$1:$I$89,5,0)</f>
        <v>205.20863999999995</v>
      </c>
      <c r="BF111" s="14">
        <f t="shared" si="91"/>
        <v>50.887150694493549</v>
      </c>
      <c r="BG111" s="22">
        <f t="shared" si="61"/>
        <v>446.03350212624281</v>
      </c>
      <c r="BH111" s="60">
        <f t="shared" si="62"/>
        <v>739.36683545957612</v>
      </c>
      <c r="BI111" s="60">
        <f ca="1">AVERAGE(OFFSET($BH$3,0,0,'Données projet'!$E$11+1,1))-AVERAGE(OFFSET($H$3,0,0,'Données projet'!$E$11+1,1))</f>
        <v>325.2649384779973</v>
      </c>
      <c r="BJ111" s="60">
        <f t="shared" si="92"/>
        <v>146.70159365068315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1.0231815394945443E-12</v>
      </c>
      <c r="BZ111" s="14">
        <f>BY111*VLOOKUP('Données projet'!$B$12,Paramètres!$A$1:$I$89,3,0)*VLOOKUP('Données projet'!$B$12,Paramètres!$A$1:$I$89,5,0)</f>
        <v>4.5224624045658859E-13</v>
      </c>
      <c r="CA111" s="14">
        <f t="shared" si="93"/>
        <v>5.6995607121061449E-12</v>
      </c>
      <c r="CB111" s="22">
        <f t="shared" si="64"/>
        <v>1.0714397109046761E-11</v>
      </c>
      <c r="CC111" s="60">
        <f t="shared" si="65"/>
        <v>293.333333333344</v>
      </c>
      <c r="CD111" s="60">
        <f ca="1">AVERAGE(OFFSET($CC$3,0,0,'Données projet'!$E$12+1,1))-AVERAGE(OFFSET($H$3,0,0,'Données projet'!$E$12+1,1))</f>
        <v>401.84375324751227</v>
      </c>
      <c r="CE111" s="60">
        <f t="shared" si="94"/>
        <v>350.39368043404164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0.9585362146007399</v>
      </c>
      <c r="CM111" s="23">
        <f>EXP(-LN(2)/2)*CM110+(1-EXP(-LN(2)/2))/(LN(2)/2)*CG111*CJ111*VLOOKUP('Données projet'!$B$12,Paramètres!$A$1:$I$89,3,0)*0.475*44/12</f>
        <v>2.5345073011069744E-12</v>
      </c>
      <c r="CN111" s="24">
        <f t="shared" si="66"/>
        <v>0.95853621460327443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-1.1368683772161603E-13</v>
      </c>
      <c r="CU111" s="18">
        <f>CT111*VLOOKUP('Données projet'!$B$13,Paramètres!$A$1:$I$89,3,0)*VLOOKUP('Données projet'!$B$13,Paramètres!$A$1:$I$89,5,0)</f>
        <v>-6.7984728957526396E-14</v>
      </c>
      <c r="CV111" s="14" t="e">
        <f t="shared" si="95"/>
        <v>#NUM!</v>
      </c>
      <c r="CW111" s="22" t="e">
        <f t="shared" si="67"/>
        <v>#NUM!</v>
      </c>
      <c r="CX111" s="60" t="e">
        <f t="shared" si="68"/>
        <v>#NUM!</v>
      </c>
      <c r="CY111" s="60">
        <f ca="1">AVERAGE(OFFSET($CX$3,0,0,'Données projet'!$E$13+1,1))-AVERAGE(OFFSET($H$3,0,0,'Données projet'!$E$13+1,1))</f>
        <v>232.73140429491525</v>
      </c>
      <c r="CZ111" s="60">
        <f t="shared" si="96"/>
        <v>201.02719152328638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0.91586618991336288</v>
      </c>
      <c r="DH111" s="23">
        <f>EXP(-LN(2)/2)*DH110+(1-EXP(-LN(2)/2))/(LN(2)/2)*DB111*DE111*VLOOKUP('Données projet'!$B$13,Paramètres!$A$1:$I$89,3,0)*0.475*44/12</f>
        <v>5.6003454871145111E-12</v>
      </c>
      <c r="DI111" s="24">
        <f t="shared" si="69"/>
        <v>0.91586618991896318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2.62820512820513</v>
      </c>
      <c r="DO111" s="13">
        <f>IF('Données projet'!$A$166&gt;35,DO110+DN111-DW110,IF(A111&lt;'Données projet'!$A$166,$DL$205^A111,IF(A111='Données projet'!$A$166,'Données projet'!$B$166,DO110+DN111-DW110)))</f>
        <v>216.53846153846149</v>
      </c>
      <c r="DP111" s="18">
        <f>DO111*VLOOKUP('Données projet'!$B$14,Paramètres!$A$1:$I$89,3,0)*VLOOKUP('Données projet'!$B$14,Paramètres!$A$1:$I$89,5,0)</f>
        <v>206.05799999999994</v>
      </c>
      <c r="DQ111" s="14">
        <f t="shared" si="97"/>
        <v>51.073211773249817</v>
      </c>
      <c r="DR111" s="22">
        <f t="shared" si="70"/>
        <v>447.83686050507663</v>
      </c>
      <c r="DS111" s="60">
        <f t="shared" si="71"/>
        <v>741.17019383840989</v>
      </c>
      <c r="DT111" s="60">
        <f ca="1">AVERAGE(OFFSET($DS$3,0,0,'Données projet'!$E$14+1,1))-AVERAGE(OFFSET($H$3,0,0,'Données projet'!$E$14+1,1))</f>
        <v>302.15577364214136</v>
      </c>
      <c r="DU111" s="60">
        <f t="shared" si="98"/>
        <v>197.15142751137051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3.2051282051282044</v>
      </c>
      <c r="EJ111" s="13">
        <f>IF('Données projet'!$A$192&gt;35,EJ110+EI111-ER110,IF(A111&lt;'Données projet'!$A$192,$EG$205^A111,IF(A111='Données projet'!$A$192,'Données projet'!$B$192,EJ110+EI111-ER110)))</f>
        <v>314.74358974358938</v>
      </c>
      <c r="EK111" s="18">
        <f>EJ111*VLOOKUP('Données projet'!$B$15,Paramètres!$A$1:$I$89,3,0)*VLOOKUP('Données projet'!$B$15,Paramètres!$A$1:$I$89,5,0)</f>
        <v>328.96999999999969</v>
      </c>
      <c r="EL111" s="14">
        <f t="shared" si="99"/>
        <v>77.216723056433693</v>
      </c>
      <c r="EM111" s="22">
        <f t="shared" si="73"/>
        <v>707.44187598995484</v>
      </c>
      <c r="EN111" s="60">
        <f t="shared" si="74"/>
        <v>1000.7752093232882</v>
      </c>
      <c r="EO111" s="60">
        <f ca="1">AVERAGE(OFFSET($EN$3,0,0,'Données projet'!$E$15+1,1))-AVERAGE(OFFSET($H$3,0,0,'Données projet'!$E$15+1,1))</f>
        <v>493.70175665335978</v>
      </c>
      <c r="EP111" s="60">
        <f t="shared" si="100"/>
        <v>325.12357781685949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0" t="e">
        <f t="shared" si="77"/>
        <v>#N/A</v>
      </c>
      <c r="FJ111" s="60" t="e">
        <f ca="1">AVERAGE(OFFSET($FI$3,0,0,'Données projet'!$E$16+1,1))-AVERAGE(OFFSET($H$3,0,0,'Données projet'!$E$16+1,1))</f>
        <v>#N/A</v>
      </c>
      <c r="FK111" s="60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0" t="e">
        <f t="shared" si="80"/>
        <v>#N/A</v>
      </c>
      <c r="GE111" s="60" t="e">
        <f ca="1">AVERAGE(OFFSET($GD$3,0,0,'Données projet'!$E$17+1,1))-AVERAGE(OFFSET($H$3,0,0,'Données projet'!$E$17+1,1))</f>
        <v>#N/A</v>
      </c>
      <c r="GF111" s="60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5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8">
        <f t="shared" si="56"/>
        <v>256.66666666666669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0">
        <f t="shared" si="55"/>
        <v>293.3333333333353</v>
      </c>
      <c r="S112" s="60">
        <f ca="1">AVERAGE(OFFSET($R$3,0,0,'Données projet'!$E$9+1,1))-AVERAGE(OFFSET($H$3,0,0,'Données projet'!$E$9+1,1))</f>
        <v>260.02504691866199</v>
      </c>
      <c r="T112" s="60">
        <f t="shared" si="88"/>
        <v>270.11268336406368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2.0935956142168908</v>
      </c>
      <c r="AA112" s="23">
        <f>EXP(-LN(2)/25)*AA111+(1-EXP(-LN(2)/25))/(LN(2)/25)*Calculateur!V112*Calculateur!X112*VLOOKUP('Données projet'!$B$9,Paramètres!$A$1:$I$89,3,0)*0.475*44/12</f>
        <v>1.8388331974104883</v>
      </c>
      <c r="AB112" s="23">
        <f>EXP(-LN(2)/2)*AB111+(1-EXP(-LN(2)/2))/(LN(2)/2)*V112*Y112*VLOOKUP('Données projet'!$B$9,Paramètres!$A$1:$I$89,3,0)*0.475*44/12</f>
        <v>8.1545829331310019E-12</v>
      </c>
      <c r="AC112" s="24">
        <f t="shared" si="57"/>
        <v>3.9324288116355337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4.4000000000000004</v>
      </c>
      <c r="AI112" s="14">
        <f>IF('Données projet'!$A$62&gt;35,AI111+AH112-AQ111,IF(A112&lt;'Données projet'!$A$62,$AF$205^A112,IF(A112='Données projet'!$A$62,'Données projet'!$B$62,AI111+AH112-AQ111)))</f>
        <v>300.59999999999962</v>
      </c>
      <c r="AJ112" s="14">
        <f>AI112*VLOOKUP('Données projet'!$B$10,Paramètres!$A$1:$I$89,3,0)*VLOOKUP('Données projet'!$B$10,Paramètres!$A$1:$I$89,5,0)</f>
        <v>304.80839999999961</v>
      </c>
      <c r="AK112" s="14">
        <f t="shared" si="89"/>
        <v>72.183554053972728</v>
      </c>
      <c r="AL112" s="22">
        <f t="shared" si="58"/>
        <v>656.59431997733509</v>
      </c>
      <c r="AM112" s="60">
        <f t="shared" si="59"/>
        <v>949.92765331066835</v>
      </c>
      <c r="AN112" s="60">
        <f ca="1">AVERAGE(OFFSET($AM$3,0,0,'Données projet'!$E$10+1,1))-AVERAGE(OFFSET($H$3,0,0,'Données projet'!$E$10+1,1))</f>
        <v>475.47920969424894</v>
      </c>
      <c r="AO112" s="60">
        <f t="shared" si="90"/>
        <v>271.73544012419364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3.1</v>
      </c>
      <c r="BD112" s="13">
        <f>IF('Données projet'!$A$88&gt;35,BD111+BC112-BL111,IF(A112&lt;'Données projet'!$A$88,$BA$205^A112,IF(A112='Données projet'!$A$88,'Données projet'!$B$88,BD111+BC112-BL111)))</f>
        <v>229.89999999999992</v>
      </c>
      <c r="BE112" s="14">
        <f>BD112*VLOOKUP('Données projet'!$B$11,Paramètres!$A$1:$I$89,3,0)*VLOOKUP('Données projet'!$B$11,Paramètres!$A$1:$I$89,5,0)</f>
        <v>208.01351999999994</v>
      </c>
      <c r="BF112" s="14">
        <f t="shared" si="91"/>
        <v>51.501250007095145</v>
      </c>
      <c r="BG112" s="22">
        <f t="shared" si="61"/>
        <v>451.98822442902389</v>
      </c>
      <c r="BH112" s="60">
        <f t="shared" si="62"/>
        <v>745.3215577623572</v>
      </c>
      <c r="BI112" s="60">
        <f ca="1">AVERAGE(OFFSET($BH$3,0,0,'Données projet'!$E$11+1,1))-AVERAGE(OFFSET($H$3,0,0,'Données projet'!$E$11+1,1))</f>
        <v>325.2649384779973</v>
      </c>
      <c r="BJ112" s="60">
        <f t="shared" si="92"/>
        <v>146.70159365068315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1.0231815394945443E-12</v>
      </c>
      <c r="BZ112" s="14">
        <f>BY112*VLOOKUP('Données projet'!$B$12,Paramètres!$A$1:$I$89,3,0)*VLOOKUP('Données projet'!$B$12,Paramètres!$A$1:$I$89,5,0)</f>
        <v>4.5224624045658859E-13</v>
      </c>
      <c r="CA112" s="14">
        <f t="shared" si="93"/>
        <v>5.6995607121061449E-12</v>
      </c>
      <c r="CB112" s="22">
        <f t="shared" si="64"/>
        <v>1.0714397109046761E-11</v>
      </c>
      <c r="CC112" s="60">
        <f t="shared" si="65"/>
        <v>293.333333333344</v>
      </c>
      <c r="CD112" s="60">
        <f ca="1">AVERAGE(OFFSET($CC$3,0,0,'Données projet'!$E$12+1,1))-AVERAGE(OFFSET($H$3,0,0,'Données projet'!$E$12+1,1))</f>
        <v>401.84375324751227</v>
      </c>
      <c r="CE112" s="60">
        <f t="shared" si="94"/>
        <v>350.39368043404164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0.93232499140525393</v>
      </c>
      <c r="CM112" s="23">
        <f>EXP(-LN(2)/2)*CM111+(1-EXP(-LN(2)/2))/(LN(2)/2)*CG112*CJ112*VLOOKUP('Données projet'!$B$12,Paramètres!$A$1:$I$89,3,0)*0.475*44/12</f>
        <v>1.7921672995795567E-12</v>
      </c>
      <c r="CN112" s="24">
        <f t="shared" si="66"/>
        <v>0.93232499140704606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-1.1368683772161603E-13</v>
      </c>
      <c r="CU112" s="18">
        <f>CT112*VLOOKUP('Données projet'!$B$13,Paramètres!$A$1:$I$89,3,0)*VLOOKUP('Données projet'!$B$13,Paramètres!$A$1:$I$89,5,0)</f>
        <v>-6.7984728957526396E-14</v>
      </c>
      <c r="CV112" s="14" t="e">
        <f t="shared" si="95"/>
        <v>#NUM!</v>
      </c>
      <c r="CW112" s="22" t="e">
        <f t="shared" si="67"/>
        <v>#NUM!</v>
      </c>
      <c r="CX112" s="60" t="e">
        <f t="shared" si="68"/>
        <v>#NUM!</v>
      </c>
      <c r="CY112" s="60">
        <f ca="1">AVERAGE(OFFSET($CX$3,0,0,'Données projet'!$E$13+1,1))-AVERAGE(OFFSET($H$3,0,0,'Données projet'!$E$13+1,1))</f>
        <v>232.73140429491525</v>
      </c>
      <c r="CZ112" s="60">
        <f t="shared" si="96"/>
        <v>201.02719152328638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0.89082178078687224</v>
      </c>
      <c r="DH112" s="23">
        <f>EXP(-LN(2)/2)*DH111+(1-EXP(-LN(2)/2))/(LN(2)/2)*DB112*DE112*VLOOKUP('Données projet'!$B$13,Paramètres!$A$1:$I$89,3,0)*0.475*44/12</f>
        <v>3.9600422709261495E-12</v>
      </c>
      <c r="DI112" s="24">
        <f t="shared" si="69"/>
        <v>0.8908217807908323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2.62820512820513</v>
      </c>
      <c r="DO112" s="13">
        <f>IF('Données projet'!$A$166&gt;35,DO111+DN112-DW111,IF(A112&lt;'Données projet'!$A$166,$DL$205^A112,IF(A112='Données projet'!$A$166,'Données projet'!$B$166,DO111+DN112-DW111)))</f>
        <v>219.16666666666663</v>
      </c>
      <c r="DP112" s="18">
        <f>DO112*VLOOKUP('Données projet'!$B$14,Paramètres!$A$1:$I$89,3,0)*VLOOKUP('Données projet'!$B$14,Paramètres!$A$1:$I$89,5,0)</f>
        <v>208.55899999999997</v>
      </c>
      <c r="DQ112" s="14">
        <f t="shared" si="97"/>
        <v>51.62056486370254</v>
      </c>
      <c r="DR112" s="22">
        <f t="shared" si="70"/>
        <v>453.14607547094852</v>
      </c>
      <c r="DS112" s="60">
        <f t="shared" si="71"/>
        <v>746.47940880428177</v>
      </c>
      <c r="DT112" s="60">
        <f ca="1">AVERAGE(OFFSET($DS$3,0,0,'Données projet'!$E$14+1,1))-AVERAGE(OFFSET($H$3,0,0,'Données projet'!$E$14+1,1))</f>
        <v>302.15577364214136</v>
      </c>
      <c r="DU112" s="60">
        <f t="shared" si="98"/>
        <v>197.15142751137051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3.2051282051282044</v>
      </c>
      <c r="EJ112" s="13">
        <f>IF('Données projet'!$A$192&gt;35,EJ111+EI112-ER111,IF(A112&lt;'Données projet'!$A$192,$EG$205^A112,IF(A112='Données projet'!$A$192,'Données projet'!$B$192,EJ111+EI112-ER111)))</f>
        <v>317.94871794871756</v>
      </c>
      <c r="EK112" s="18">
        <f>EJ112*VLOOKUP('Données projet'!$B$15,Paramètres!$A$1:$I$89,3,0)*VLOOKUP('Données projet'!$B$15,Paramètres!$A$1:$I$89,5,0)</f>
        <v>332.3199999999996</v>
      </c>
      <c r="EL112" s="14">
        <f t="shared" si="99"/>
        <v>77.911106070111614</v>
      </c>
      <c r="EM112" s="22">
        <f t="shared" si="73"/>
        <v>714.48584307211024</v>
      </c>
      <c r="EN112" s="60">
        <f t="shared" si="74"/>
        <v>1007.8191764054436</v>
      </c>
      <c r="EO112" s="60">
        <f ca="1">AVERAGE(OFFSET($EN$3,0,0,'Données projet'!$E$15+1,1))-AVERAGE(OFFSET($H$3,0,0,'Données projet'!$E$15+1,1))</f>
        <v>493.70175665335978</v>
      </c>
      <c r="EP112" s="60">
        <f t="shared" si="100"/>
        <v>325.12357781685949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0" t="e">
        <f t="shared" si="77"/>
        <v>#N/A</v>
      </c>
      <c r="FJ112" s="60" t="e">
        <f ca="1">AVERAGE(OFFSET($FI$3,0,0,'Données projet'!$E$16+1,1))-AVERAGE(OFFSET($H$3,0,0,'Données projet'!$E$16+1,1))</f>
        <v>#N/A</v>
      </c>
      <c r="FK112" s="60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0" t="e">
        <f t="shared" si="80"/>
        <v>#N/A</v>
      </c>
      <c r="GE112" s="60" t="e">
        <f ca="1">AVERAGE(OFFSET($GD$3,0,0,'Données projet'!$E$17+1,1))-AVERAGE(OFFSET($H$3,0,0,'Données projet'!$E$17+1,1))</f>
        <v>#N/A</v>
      </c>
      <c r="GF112" s="60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5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8">
        <f t="shared" si="56"/>
        <v>256.66666666666669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0">
        <f t="shared" si="55"/>
        <v>293.3333333333353</v>
      </c>
      <c r="S113" s="60">
        <f ca="1">AVERAGE(OFFSET($R$3,0,0,'Données projet'!$E$9+1,1))-AVERAGE(OFFSET($H$3,0,0,'Données projet'!$E$9+1,1))</f>
        <v>260.02504691866199</v>
      </c>
      <c r="T113" s="60">
        <f t="shared" si="88"/>
        <v>270.11268336406368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2.0525414811893321</v>
      </c>
      <c r="AA113" s="23">
        <f>EXP(-LN(2)/25)*AA112+(1-EXP(-LN(2)/25))/(LN(2)/25)*Calculateur!V113*Calculateur!X113*VLOOKUP('Données projet'!$B$9,Paramètres!$A$1:$I$89,3,0)*0.475*44/12</f>
        <v>1.7885502069272634</v>
      </c>
      <c r="AB113" s="23">
        <f>EXP(-LN(2)/2)*AB112+(1-EXP(-LN(2)/2))/(LN(2)/2)*V113*Y113*VLOOKUP('Données projet'!$B$9,Paramètres!$A$1:$I$89,3,0)*0.475*44/12</f>
        <v>5.7661608897650183E-12</v>
      </c>
      <c r="AC113" s="24">
        <f t="shared" si="57"/>
        <v>3.8410916881223613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4.4000000000000004</v>
      </c>
      <c r="AH113" s="13">
        <f t="array" ref="AH113">INDEX(AG:AG,MIN(IF(ISNUMBER(AG113:AG309),ROW(AG113:AG309),"")))</f>
        <v>4.4000000000000004</v>
      </c>
      <c r="AI113" s="14">
        <f>IF('Données projet'!$A$62&gt;35,AI112+AH113-AQ112,IF(A113&lt;'Données projet'!$A$62,$AF$205^A113,IF(A113='Données projet'!$A$62,'Données projet'!$B$62,AI112+AH113-AQ112)))</f>
        <v>304.9999999999996</v>
      </c>
      <c r="AJ113" s="14">
        <f>AI113*VLOOKUP('Données projet'!$B$10,Paramètres!$A$1:$I$89,3,0)*VLOOKUP('Données projet'!$B$10,Paramètres!$A$1:$I$89,5,0)</f>
        <v>309.26999999999958</v>
      </c>
      <c r="AK113" s="14">
        <f t="shared" si="89"/>
        <v>73.116356204710968</v>
      </c>
      <c r="AL113" s="22">
        <f t="shared" si="58"/>
        <v>665.98957038987078</v>
      </c>
      <c r="AM113" s="60">
        <f t="shared" si="59"/>
        <v>959.32290372320404</v>
      </c>
      <c r="AN113" s="60">
        <f ca="1">AVERAGE(OFFSET($AM$3,0,0,'Données projet'!$E$10+1,1))-AVERAGE(OFFSET($H$3,0,0,'Données projet'!$E$10+1,1))</f>
        <v>475.47920969424894</v>
      </c>
      <c r="AO113" s="60">
        <f t="shared" si="90"/>
        <v>271.73544012419364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39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233</v>
      </c>
      <c r="BB113" s="13">
        <f>VLOOKUP(A113,'Données projet'!$A$87:$I$107,9,0)</f>
        <v>3.1</v>
      </c>
      <c r="BC113" s="13">
        <f t="array" ref="BC113">INDEX(BB:BB,MIN(IF(ISNUMBER(BB113:BB309),ROW(BB113:BB309),"")))</f>
        <v>3.1</v>
      </c>
      <c r="BD113" s="13">
        <f>IF('Données projet'!$A$88&gt;35,BD112+BC113-BL112,IF(A113&lt;'Données projet'!$A$88,$BA$205^A113,IF(A113='Données projet'!$A$88,'Données projet'!$B$88,BD112+BC113-BL112)))</f>
        <v>232.99999999999991</v>
      </c>
      <c r="BE113" s="14">
        <f>BD113*VLOOKUP('Données projet'!$B$11,Paramètres!$A$1:$I$89,3,0)*VLOOKUP('Données projet'!$B$11,Paramètres!$A$1:$I$89,5,0)</f>
        <v>210.81839999999988</v>
      </c>
      <c r="BF113" s="14">
        <f t="shared" si="91"/>
        <v>52.114386184062155</v>
      </c>
      <c r="BG113" s="22">
        <f t="shared" si="61"/>
        <v>457.94126927057465</v>
      </c>
      <c r="BH113" s="60">
        <f t="shared" si="62"/>
        <v>751.27460260390797</v>
      </c>
      <c r="BI113" s="60">
        <f ca="1">AVERAGE(OFFSET($BH$3,0,0,'Données projet'!$E$11+1,1))-AVERAGE(OFFSET($H$3,0,0,'Données projet'!$E$11+1,1))</f>
        <v>325.2649384779973</v>
      </c>
      <c r="BJ113" s="60">
        <f t="shared" si="92"/>
        <v>146.70159365068315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27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1.0231815394945443E-12</v>
      </c>
      <c r="BZ113" s="14">
        <f>BY113*VLOOKUP('Données projet'!$B$12,Paramètres!$A$1:$I$89,3,0)*VLOOKUP('Données projet'!$B$12,Paramètres!$A$1:$I$89,5,0)</f>
        <v>4.5224624045658859E-13</v>
      </c>
      <c r="CA113" s="14">
        <f t="shared" si="93"/>
        <v>5.6995607121061449E-12</v>
      </c>
      <c r="CB113" s="22">
        <f t="shared" si="64"/>
        <v>1.0714397109046761E-11</v>
      </c>
      <c r="CC113" s="60">
        <f t="shared" si="65"/>
        <v>293.333333333344</v>
      </c>
      <c r="CD113" s="60">
        <f ca="1">AVERAGE(OFFSET($CC$3,0,0,'Données projet'!$E$12+1,1))-AVERAGE(OFFSET($H$3,0,0,'Données projet'!$E$12+1,1))</f>
        <v>401.84375324751227</v>
      </c>
      <c r="CE113" s="60">
        <f t="shared" si="94"/>
        <v>350.39368043404164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0.90683051548643678</v>
      </c>
      <c r="CM113" s="23">
        <f>EXP(-LN(2)/2)*CM112+(1-EXP(-LN(2)/2))/(LN(2)/2)*CG113*CJ113*VLOOKUP('Données projet'!$B$12,Paramètres!$A$1:$I$89,3,0)*0.475*44/12</f>
        <v>1.2672536505534874E-12</v>
      </c>
      <c r="CN113" s="24">
        <f t="shared" si="66"/>
        <v>0.90683051548770399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-1.1368683772161603E-13</v>
      </c>
      <c r="CU113" s="18">
        <f>CT113*VLOOKUP('Données projet'!$B$13,Paramètres!$A$1:$I$89,3,0)*VLOOKUP('Données projet'!$B$13,Paramètres!$A$1:$I$89,5,0)</f>
        <v>-6.7984728957526396E-14</v>
      </c>
      <c r="CV113" s="14" t="e">
        <f t="shared" si="95"/>
        <v>#NUM!</v>
      </c>
      <c r="CW113" s="22" t="e">
        <f t="shared" si="67"/>
        <v>#NUM!</v>
      </c>
      <c r="CX113" s="60" t="e">
        <f t="shared" si="68"/>
        <v>#NUM!</v>
      </c>
      <c r="CY113" s="60">
        <f ca="1">AVERAGE(OFFSET($CX$3,0,0,'Données projet'!$E$13+1,1))-AVERAGE(OFFSET($H$3,0,0,'Données projet'!$E$13+1,1))</f>
        <v>232.73140429491525</v>
      </c>
      <c r="CZ113" s="60">
        <f t="shared" si="96"/>
        <v>201.02719152328638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0.86646221234497378</v>
      </c>
      <c r="DH113" s="23">
        <f>EXP(-LN(2)/2)*DH112+(1-EXP(-LN(2)/2))/(LN(2)/2)*DB113*DE113*VLOOKUP('Données projet'!$B$13,Paramètres!$A$1:$I$89,3,0)*0.475*44/12</f>
        <v>2.8001727435572555E-12</v>
      </c>
      <c r="DI113" s="24">
        <f t="shared" si="69"/>
        <v>0.86646221234777399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221.7948717948718</v>
      </c>
      <c r="DM113" s="13">
        <f>VLOOKUP(A113,'Données projet'!$A$165:$I$185,9,0)</f>
        <v>2.62820512820513</v>
      </c>
      <c r="DN113" s="13">
        <f t="array" ref="DN113">INDEX(DM:DM,MIN(IF(ISNUMBER(DM113:DM309),ROW(DM113:DM309),"")))</f>
        <v>2.62820512820513</v>
      </c>
      <c r="DO113" s="13">
        <f>IF('Données projet'!$A$166&gt;35,DO112+DN113-DW112,IF(A113&lt;'Données projet'!$A$166,$DL$205^A113,IF(A113='Données projet'!$A$166,'Données projet'!$B$166,DO112+DN113-DW112)))</f>
        <v>221.79487179487177</v>
      </c>
      <c r="DP113" s="18">
        <f>DO113*VLOOKUP('Données projet'!$B$14,Paramètres!$A$1:$I$89,3,0)*VLOOKUP('Données projet'!$B$14,Paramètres!$A$1:$I$89,5,0)</f>
        <v>211.05999999999997</v>
      </c>
      <c r="DQ113" s="14">
        <f t="shared" si="97"/>
        <v>52.167154446757792</v>
      </c>
      <c r="DR113" s="22">
        <f t="shared" si="70"/>
        <v>458.45396066143644</v>
      </c>
      <c r="DS113" s="60">
        <f t="shared" si="71"/>
        <v>751.7872939947697</v>
      </c>
      <c r="DT113" s="60">
        <f ca="1">AVERAGE(OFFSET($DS$3,0,0,'Données projet'!$E$14+1,1))-AVERAGE(OFFSET($H$3,0,0,'Données projet'!$E$14+1,1))</f>
        <v>302.15577364214136</v>
      </c>
      <c r="DU113" s="60">
        <f t="shared" si="98"/>
        <v>197.15142751137051</v>
      </c>
      <c r="DV113" s="16">
        <f>IF(ISNA(VLOOKUP(A113,'Données projet'!$A$165:$I$185,3,0)),0,VLOOKUP(A113,'Données projet'!$A$165:$I$185,3,0))</f>
        <v>9</v>
      </c>
      <c r="DW113" s="16">
        <f>IF(ISNA(VLOOKUP(A113,'Données projet'!$A$165:$I$185,4,0)),0,VLOOKUP(A113,'Données projet'!$A$165:$I$185,4,0))</f>
        <v>28.846153846153847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321.15384615384613</v>
      </c>
      <c r="EH113" s="13">
        <f>VLOOKUP(A113,'Données projet'!$A$191:$I$211,9,0)</f>
        <v>3.2051282051282044</v>
      </c>
      <c r="EI113" s="13">
        <f t="array" ref="EI113">INDEX(EH:EH,MIN(IF(ISNUMBER(EH113:EH309),ROW(EH113:EH309),"")))</f>
        <v>3.2051282051282044</v>
      </c>
      <c r="EJ113" s="13">
        <f>IF('Données projet'!$A$192&gt;35,EJ112+EI113-ER112,IF(A113&lt;'Données projet'!$A$192,$EG$205^A113,IF(A113='Données projet'!$A$192,'Données projet'!$B$192,EJ112+EI113-ER112)))</f>
        <v>321.15384615384573</v>
      </c>
      <c r="EK113" s="18">
        <f>EJ113*VLOOKUP('Données projet'!$B$15,Paramètres!$A$1:$I$89,3,0)*VLOOKUP('Données projet'!$B$15,Paramètres!$A$1:$I$89,5,0)</f>
        <v>335.66999999999956</v>
      </c>
      <c r="EL113" s="14">
        <f t="shared" si="99"/>
        <v>78.604674766974242</v>
      </c>
      <c r="EM113" s="22">
        <f t="shared" si="73"/>
        <v>721.52839188581265</v>
      </c>
      <c r="EN113" s="60">
        <f t="shared" si="74"/>
        <v>1014.8617252191459</v>
      </c>
      <c r="EO113" s="60">
        <f ca="1">AVERAGE(OFFSET($EN$3,0,0,'Données projet'!$E$15+1,1))-AVERAGE(OFFSET($H$3,0,0,'Données projet'!$E$15+1,1))</f>
        <v>493.70175665335978</v>
      </c>
      <c r="EP113" s="60">
        <f t="shared" si="100"/>
        <v>325.12357781685949</v>
      </c>
      <c r="EQ113" s="16">
        <f>IF(ISNA(VLOOKUP(A113,'Données projet'!$A$191:$I$211,3,0)),0,VLOOKUP(A113,'Données projet'!$A$191:$I$211,3,0))</f>
        <v>9</v>
      </c>
      <c r="ER113" s="16">
        <f>IF(ISNA(VLOOKUP(A113,'Données projet'!$A$191:$I$211,4,0)),0,VLOOKUP(A113,'Données projet'!$A$191:$I$211,4,0))</f>
        <v>19.23076923076923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0" t="e">
        <f t="shared" si="77"/>
        <v>#N/A</v>
      </c>
      <c r="FJ113" s="60" t="e">
        <f ca="1">AVERAGE(OFFSET($FI$3,0,0,'Données projet'!$E$16+1,1))-AVERAGE(OFFSET($H$3,0,0,'Données projet'!$E$16+1,1))</f>
        <v>#N/A</v>
      </c>
      <c r="FK113" s="60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0" t="e">
        <f t="shared" si="80"/>
        <v>#N/A</v>
      </c>
      <c r="GE113" s="60" t="e">
        <f ca="1">AVERAGE(OFFSET($GD$3,0,0,'Données projet'!$E$17+1,1))-AVERAGE(OFFSET($H$3,0,0,'Données projet'!$E$17+1,1))</f>
        <v>#N/A</v>
      </c>
      <c r="GF113" s="60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5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8">
        <f t="shared" si="56"/>
        <v>256.66666666666669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0">
        <f t="shared" si="55"/>
        <v>293.3333333333353</v>
      </c>
      <c r="S114" s="60">
        <f ca="1">AVERAGE(OFFSET($R$3,0,0,'Données projet'!$E$9+1,1))-AVERAGE(OFFSET($H$3,0,0,'Données projet'!$E$9+1,1))</f>
        <v>260.02504691866199</v>
      </c>
      <c r="T114" s="60">
        <f t="shared" si="88"/>
        <v>270.11268336406368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2.0122923946698954</v>
      </c>
      <c r="AA114" s="23">
        <f>EXP(-LN(2)/25)*AA113+(1-EXP(-LN(2)/25))/(LN(2)/25)*Calculateur!V114*Calculateur!X114*VLOOKUP('Données projet'!$B$9,Paramètres!$A$1:$I$89,3,0)*0.475*44/12</f>
        <v>1.7396422074630697</v>
      </c>
      <c r="AB114" s="23">
        <f>EXP(-LN(2)/2)*AB113+(1-EXP(-LN(2)/2))/(LN(2)/2)*V114*Y114*VLOOKUP('Données projet'!$B$9,Paramètres!$A$1:$I$89,3,0)*0.475*44/12</f>
        <v>4.0772914665655009E-12</v>
      </c>
      <c r="AC114" s="24">
        <f t="shared" si="57"/>
        <v>3.7519346021370423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3.7</v>
      </c>
      <c r="AI114" s="14">
        <f>IF('Données projet'!$A$62&gt;35,AI113+AH114-AQ113,IF(A114&lt;'Données projet'!$A$62,$AF$205^A114,IF(A114='Données projet'!$A$62,'Données projet'!$B$62,AI113+AH114-AQ113)))</f>
        <v>269.69999999999959</v>
      </c>
      <c r="AJ114" s="14">
        <f>AI114*VLOOKUP('Données projet'!$B$10,Paramètres!$A$1:$I$89,3,0)*VLOOKUP('Données projet'!$B$10,Paramètres!$A$1:$I$89,5,0)</f>
        <v>273.47579999999959</v>
      </c>
      <c r="AK114" s="14">
        <f t="shared" si="89"/>
        <v>65.586371730977532</v>
      </c>
      <c r="AL114" s="22">
        <f t="shared" si="58"/>
        <v>590.53328243145177</v>
      </c>
      <c r="AM114" s="60">
        <f t="shared" si="59"/>
        <v>883.86661576478514</v>
      </c>
      <c r="AN114" s="60">
        <f ca="1">AVERAGE(OFFSET($AM$3,0,0,'Données projet'!$E$10+1,1))-AVERAGE(OFFSET($H$3,0,0,'Données projet'!$E$10+1,1))</f>
        <v>475.47920969424894</v>
      </c>
      <c r="AO114" s="60">
        <f t="shared" si="90"/>
        <v>271.73544012419364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2.8</v>
      </c>
      <c r="BD114" s="13">
        <f>IF('Données projet'!$A$88&gt;35,BD113+BC114-BL113,IF(A114&lt;'Données projet'!$A$88,$BA$205^A114,IF(A114='Données projet'!$A$88,'Données projet'!$B$88,BD113+BC114-BL113)))</f>
        <v>208.79999999999993</v>
      </c>
      <c r="BE114" s="14">
        <f>BD114*VLOOKUP('Données projet'!$B$11,Paramètres!$A$1:$I$89,3,0)*VLOOKUP('Données projet'!$B$11,Paramètres!$A$1:$I$89,5,0)</f>
        <v>188.9222399999999</v>
      </c>
      <c r="BF114" s="14">
        <f t="shared" si="91"/>
        <v>47.301596587245974</v>
      </c>
      <c r="BG114" s="22">
        <f t="shared" si="61"/>
        <v>411.42318205611986</v>
      </c>
      <c r="BH114" s="60">
        <f t="shared" si="62"/>
        <v>704.75651538945317</v>
      </c>
      <c r="BI114" s="60">
        <f ca="1">AVERAGE(OFFSET($BH$3,0,0,'Données projet'!$E$11+1,1))-AVERAGE(OFFSET($H$3,0,0,'Données projet'!$E$11+1,1))</f>
        <v>325.2649384779973</v>
      </c>
      <c r="BJ114" s="60">
        <f t="shared" si="92"/>
        <v>146.70159365068315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1.0231815394945443E-12</v>
      </c>
      <c r="BZ114" s="14">
        <f>BY114*VLOOKUP('Données projet'!$B$12,Paramètres!$A$1:$I$89,3,0)*VLOOKUP('Données projet'!$B$12,Paramètres!$A$1:$I$89,5,0)</f>
        <v>4.5224624045658859E-13</v>
      </c>
      <c r="CA114" s="14">
        <f t="shared" si="93"/>
        <v>5.6995607121061449E-12</v>
      </c>
      <c r="CB114" s="22">
        <f t="shared" si="64"/>
        <v>1.0714397109046761E-11</v>
      </c>
      <c r="CC114" s="60">
        <f t="shared" si="65"/>
        <v>293.333333333344</v>
      </c>
      <c r="CD114" s="60">
        <f ca="1">AVERAGE(OFFSET($CC$3,0,0,'Données projet'!$E$12+1,1))-AVERAGE(OFFSET($H$3,0,0,'Données projet'!$E$12+1,1))</f>
        <v>401.84375324751227</v>
      </c>
      <c r="CE114" s="60">
        <f t="shared" si="94"/>
        <v>350.39368043404164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0.88203318735231595</v>
      </c>
      <c r="CM114" s="23">
        <f>EXP(-LN(2)/2)*CM113+(1-EXP(-LN(2)/2))/(LN(2)/2)*CG114*CJ114*VLOOKUP('Données projet'!$B$12,Paramètres!$A$1:$I$89,3,0)*0.475*44/12</f>
        <v>8.9608364978977843E-13</v>
      </c>
      <c r="CN114" s="24">
        <f t="shared" si="66"/>
        <v>0.88203318735321201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-1.1368683772161603E-13</v>
      </c>
      <c r="CU114" s="18">
        <f>CT114*VLOOKUP('Données projet'!$B$13,Paramètres!$A$1:$I$89,3,0)*VLOOKUP('Données projet'!$B$13,Paramètres!$A$1:$I$89,5,0)</f>
        <v>-6.7984728957526396E-14</v>
      </c>
      <c r="CV114" s="14" t="e">
        <f t="shared" si="95"/>
        <v>#NUM!</v>
      </c>
      <c r="CW114" s="22" t="e">
        <f t="shared" si="67"/>
        <v>#NUM!</v>
      </c>
      <c r="CX114" s="60" t="e">
        <f t="shared" si="68"/>
        <v>#NUM!</v>
      </c>
      <c r="CY114" s="60">
        <f ca="1">AVERAGE(OFFSET($CX$3,0,0,'Données projet'!$E$13+1,1))-AVERAGE(OFFSET($H$3,0,0,'Données projet'!$E$13+1,1))</f>
        <v>232.73140429491525</v>
      </c>
      <c r="CZ114" s="60">
        <f t="shared" si="96"/>
        <v>201.02719152328638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0.84276875758313308</v>
      </c>
      <c r="DH114" s="23">
        <f>EXP(-LN(2)/2)*DH113+(1-EXP(-LN(2)/2))/(LN(2)/2)*DB114*DE114*VLOOKUP('Données projet'!$B$13,Paramètres!$A$1:$I$89,3,0)*0.475*44/12</f>
        <v>1.9800211354630747E-12</v>
      </c>
      <c r="DI114" s="24">
        <f t="shared" si="69"/>
        <v>0.84276875758511305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2.4999999999999973</v>
      </c>
      <c r="DO114" s="13">
        <f>IF('Données projet'!$A$166&gt;35,DO113+DN114-DW113,IF(A114&lt;'Données projet'!$A$166,$DL$205^A114,IF(A114='Données projet'!$A$166,'Données projet'!$B$166,DO113+DN114-DW113)))</f>
        <v>195.44871794871793</v>
      </c>
      <c r="DP114" s="18">
        <f>DO114*VLOOKUP('Données projet'!$B$14,Paramètres!$A$1:$I$89,3,0)*VLOOKUP('Données projet'!$B$14,Paramètres!$A$1:$I$89,5,0)</f>
        <v>185.98899999999998</v>
      </c>
      <c r="DQ114" s="14">
        <f t="shared" si="97"/>
        <v>46.652079523297466</v>
      </c>
      <c r="DR114" s="22">
        <f t="shared" si="70"/>
        <v>405.18321350307633</v>
      </c>
      <c r="DS114" s="60">
        <f t="shared" si="71"/>
        <v>698.51654683640959</v>
      </c>
      <c r="DT114" s="60">
        <f ca="1">AVERAGE(OFFSET($DS$3,0,0,'Données projet'!$E$14+1,1))-AVERAGE(OFFSET($H$3,0,0,'Données projet'!$E$14+1,1))</f>
        <v>302.15577364214136</v>
      </c>
      <c r="DU114" s="60">
        <f t="shared" si="98"/>
        <v>197.15142751137051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2.8846153846153868</v>
      </c>
      <c r="EJ114" s="13">
        <f>IF('Données projet'!$A$192&gt;35,EJ113+EI114-ER113,IF(A114&lt;'Données projet'!$A$192,$EG$205^A114,IF(A114='Données projet'!$A$192,'Données projet'!$B$192,EJ113+EI114-ER113)))</f>
        <v>304.80769230769187</v>
      </c>
      <c r="EK114" s="18">
        <f>EJ114*VLOOKUP('Données projet'!$B$15,Paramètres!$A$1:$I$89,3,0)*VLOOKUP('Données projet'!$B$15,Paramètres!$A$1:$I$89,5,0)</f>
        <v>318.58499999999958</v>
      </c>
      <c r="EL114" s="14">
        <f t="shared" si="99"/>
        <v>75.058859499755215</v>
      </c>
      <c r="EM114" s="22">
        <f t="shared" si="73"/>
        <v>685.59638862873953</v>
      </c>
      <c r="EN114" s="60">
        <f t="shared" si="74"/>
        <v>978.92972196207279</v>
      </c>
      <c r="EO114" s="60">
        <f ca="1">AVERAGE(OFFSET($EN$3,0,0,'Données projet'!$E$15+1,1))-AVERAGE(OFFSET($H$3,0,0,'Données projet'!$E$15+1,1))</f>
        <v>493.70175665335978</v>
      </c>
      <c r="EP114" s="60">
        <f t="shared" si="100"/>
        <v>325.12357781685949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0" t="e">
        <f t="shared" si="77"/>
        <v>#N/A</v>
      </c>
      <c r="FJ114" s="60" t="e">
        <f ca="1">AVERAGE(OFFSET($FI$3,0,0,'Données projet'!$E$16+1,1))-AVERAGE(OFFSET($H$3,0,0,'Données projet'!$E$16+1,1))</f>
        <v>#N/A</v>
      </c>
      <c r="FK114" s="60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0" t="e">
        <f t="shared" si="80"/>
        <v>#N/A</v>
      </c>
      <c r="GE114" s="60" t="e">
        <f ca="1">AVERAGE(OFFSET($GD$3,0,0,'Données projet'!$E$17+1,1))-AVERAGE(OFFSET($H$3,0,0,'Données projet'!$E$17+1,1))</f>
        <v>#N/A</v>
      </c>
      <c r="GF114" s="60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5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8">
        <f t="shared" si="56"/>
        <v>256.66666666666669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0">
        <f t="shared" si="55"/>
        <v>293.3333333333353</v>
      </c>
      <c r="S115" s="60">
        <f ca="1">AVERAGE(OFFSET($R$3,0,0,'Données projet'!$E$9+1,1))-AVERAGE(OFFSET($H$3,0,0,'Données projet'!$E$9+1,1))</f>
        <v>260.02504691866199</v>
      </c>
      <c r="T115" s="60">
        <f t="shared" si="88"/>
        <v>270.11268336406368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1.972832568187586</v>
      </c>
      <c r="AA115" s="23">
        <f>EXP(-LN(2)/25)*AA114+(1-EXP(-LN(2)/25))/(LN(2)/25)*Calculateur!V115*Calculateur!X115*VLOOKUP('Données projet'!$B$9,Paramètres!$A$1:$I$89,3,0)*0.475*44/12</f>
        <v>1.6920715998161844</v>
      </c>
      <c r="AB115" s="23">
        <f>EXP(-LN(2)/2)*AB114+(1-EXP(-LN(2)/2))/(LN(2)/2)*V115*Y115*VLOOKUP('Données projet'!$B$9,Paramètres!$A$1:$I$89,3,0)*0.475*44/12</f>
        <v>2.8830804448825091E-12</v>
      </c>
      <c r="AC115" s="24">
        <f t="shared" si="57"/>
        <v>3.6649041680066534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3.7</v>
      </c>
      <c r="AI115" s="14">
        <f>IF('Données projet'!$A$62&gt;35,AI114+AH115-AQ114,IF(A115&lt;'Données projet'!$A$62,$AF$205^A115,IF(A115='Données projet'!$A$62,'Données projet'!$B$62,AI114+AH115-AQ114)))</f>
        <v>273.39999999999958</v>
      </c>
      <c r="AJ115" s="14">
        <f>AI115*VLOOKUP('Données projet'!$B$10,Paramètres!$A$1:$I$89,3,0)*VLOOKUP('Données projet'!$B$10,Paramètres!$A$1:$I$89,5,0)</f>
        <v>277.2275999999996</v>
      </c>
      <c r="AK115" s="14">
        <f t="shared" si="89"/>
        <v>66.380782187895392</v>
      </c>
      <c r="AL115" s="22">
        <f t="shared" si="58"/>
        <v>598.45126564391705</v>
      </c>
      <c r="AM115" s="60">
        <f t="shared" si="59"/>
        <v>891.78459897725043</v>
      </c>
      <c r="AN115" s="60">
        <f ca="1">AVERAGE(OFFSET($AM$3,0,0,'Données projet'!$E$10+1,1))-AVERAGE(OFFSET($H$3,0,0,'Données projet'!$E$10+1,1))</f>
        <v>475.47920969424894</v>
      </c>
      <c r="AO115" s="60">
        <f t="shared" si="90"/>
        <v>271.73544012419364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2.8</v>
      </c>
      <c r="BD115" s="13">
        <f>IF('Données projet'!$A$88&gt;35,BD114+BC115-BL114,IF(A115&lt;'Données projet'!$A$88,$BA$205^A115,IF(A115='Données projet'!$A$88,'Données projet'!$B$88,BD114+BC115-BL114)))</f>
        <v>211.59999999999994</v>
      </c>
      <c r="BE115" s="14">
        <f>BD115*VLOOKUP('Données projet'!$B$11,Paramètres!$A$1:$I$89,3,0)*VLOOKUP('Données projet'!$B$11,Paramètres!$A$1:$I$89,5,0)</f>
        <v>191.45567999999994</v>
      </c>
      <c r="BF115" s="14">
        <f t="shared" si="91"/>
        <v>47.861639935303188</v>
      </c>
      <c r="BG115" s="22">
        <f t="shared" si="61"/>
        <v>416.81099888731961</v>
      </c>
      <c r="BH115" s="60">
        <f t="shared" si="62"/>
        <v>710.14433222065293</v>
      </c>
      <c r="BI115" s="60">
        <f ca="1">AVERAGE(OFFSET($BH$3,0,0,'Données projet'!$E$11+1,1))-AVERAGE(OFFSET($H$3,0,0,'Données projet'!$E$11+1,1))</f>
        <v>325.2649384779973</v>
      </c>
      <c r="BJ115" s="60">
        <f t="shared" si="92"/>
        <v>146.70159365068315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1.0231815394945443E-12</v>
      </c>
      <c r="BZ115" s="14">
        <f>BY115*VLOOKUP('Données projet'!$B$12,Paramètres!$A$1:$I$89,3,0)*VLOOKUP('Données projet'!$B$12,Paramètres!$A$1:$I$89,5,0)</f>
        <v>4.5224624045658859E-13</v>
      </c>
      <c r="CA115" s="14">
        <f t="shared" si="93"/>
        <v>5.6995607121061449E-12</v>
      </c>
      <c r="CB115" s="22">
        <f t="shared" si="64"/>
        <v>1.0714397109046761E-11</v>
      </c>
      <c r="CC115" s="60">
        <f t="shared" si="65"/>
        <v>293.333333333344</v>
      </c>
      <c r="CD115" s="60">
        <f ca="1">AVERAGE(OFFSET($CC$3,0,0,'Données projet'!$E$12+1,1))-AVERAGE(OFFSET($H$3,0,0,'Données projet'!$E$12+1,1))</f>
        <v>401.84375324751227</v>
      </c>
      <c r="CE115" s="60">
        <f t="shared" si="94"/>
        <v>350.39368043404164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0.85791394346005745</v>
      </c>
      <c r="CM115" s="23">
        <f>EXP(-LN(2)/2)*CM114+(1-EXP(-LN(2)/2))/(LN(2)/2)*CG115*CJ115*VLOOKUP('Données projet'!$B$12,Paramètres!$A$1:$I$89,3,0)*0.475*44/12</f>
        <v>6.336268252767438E-13</v>
      </c>
      <c r="CN115" s="24">
        <f t="shared" si="66"/>
        <v>0.85791394346069105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-1.1368683772161603E-13</v>
      </c>
      <c r="CU115" s="18">
        <f>CT115*VLOOKUP('Données projet'!$B$13,Paramètres!$A$1:$I$89,3,0)*VLOOKUP('Données projet'!$B$13,Paramètres!$A$1:$I$89,5,0)</f>
        <v>-6.7984728957526396E-14</v>
      </c>
      <c r="CV115" s="14" t="e">
        <f t="shared" si="95"/>
        <v>#NUM!</v>
      </c>
      <c r="CW115" s="22" t="e">
        <f t="shared" si="67"/>
        <v>#NUM!</v>
      </c>
      <c r="CX115" s="60" t="e">
        <f t="shared" si="68"/>
        <v>#NUM!</v>
      </c>
      <c r="CY115" s="60">
        <f ca="1">AVERAGE(OFFSET($CX$3,0,0,'Données projet'!$E$13+1,1))-AVERAGE(OFFSET($H$3,0,0,'Données projet'!$E$13+1,1))</f>
        <v>232.73140429491525</v>
      </c>
      <c r="CZ115" s="60">
        <f t="shared" si="96"/>
        <v>201.02719152328638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0.81972320158773948</v>
      </c>
      <c r="DH115" s="23">
        <f>EXP(-LN(2)/2)*DH114+(1-EXP(-LN(2)/2))/(LN(2)/2)*DB115*DE115*VLOOKUP('Données projet'!$B$13,Paramètres!$A$1:$I$89,3,0)*0.475*44/12</f>
        <v>1.4000863717786278E-12</v>
      </c>
      <c r="DI115" s="24">
        <f t="shared" si="69"/>
        <v>0.81972320158913958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2.4999999999999973</v>
      </c>
      <c r="DO115" s="13">
        <f>IF('Données projet'!$A$166&gt;35,DO114+DN115-DW114,IF(A115&lt;'Données projet'!$A$166,$DL$205^A115,IF(A115='Données projet'!$A$166,'Données projet'!$B$166,DO114+DN115-DW114)))</f>
        <v>197.94871794871793</v>
      </c>
      <c r="DP115" s="18">
        <f>DO115*VLOOKUP('Données projet'!$B$14,Paramètres!$A$1:$I$89,3,0)*VLOOKUP('Données projet'!$B$14,Paramètres!$A$1:$I$89,5,0)</f>
        <v>188.36799999999999</v>
      </c>
      <c r="DQ115" s="14">
        <f t="shared" si="97"/>
        <v>47.17895987093894</v>
      </c>
      <c r="DR115" s="22">
        <f t="shared" si="70"/>
        <v>410.24428844188532</v>
      </c>
      <c r="DS115" s="60">
        <f t="shared" si="71"/>
        <v>703.57762177521863</v>
      </c>
      <c r="DT115" s="60">
        <f ca="1">AVERAGE(OFFSET($DS$3,0,0,'Données projet'!$E$14+1,1))-AVERAGE(OFFSET($H$3,0,0,'Données projet'!$E$14+1,1))</f>
        <v>302.15577364214136</v>
      </c>
      <c r="DU115" s="60">
        <f t="shared" si="98"/>
        <v>197.15142751137051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2.8846153846153868</v>
      </c>
      <c r="EJ115" s="13">
        <f>IF('Données projet'!$A$192&gt;35,EJ114+EI115-ER114,IF(A115&lt;'Données projet'!$A$192,$EG$205^A115,IF(A115='Données projet'!$A$192,'Données projet'!$B$192,EJ114+EI115-ER114)))</f>
        <v>307.69230769230728</v>
      </c>
      <c r="EK115" s="18">
        <f>EJ115*VLOOKUP('Données projet'!$B$15,Paramètres!$A$1:$I$89,3,0)*VLOOKUP('Données projet'!$B$15,Paramètres!$A$1:$I$89,5,0)</f>
        <v>321.59999999999962</v>
      </c>
      <c r="EL115" s="14">
        <f t="shared" si="99"/>
        <v>75.686168081957248</v>
      </c>
      <c r="EM115" s="22">
        <f t="shared" si="73"/>
        <v>691.94007607607489</v>
      </c>
      <c r="EN115" s="60">
        <f t="shared" si="74"/>
        <v>985.27340940940826</v>
      </c>
      <c r="EO115" s="60">
        <f ca="1">AVERAGE(OFFSET($EN$3,0,0,'Données projet'!$E$15+1,1))-AVERAGE(OFFSET($H$3,0,0,'Données projet'!$E$15+1,1))</f>
        <v>493.70175665335978</v>
      </c>
      <c r="EP115" s="60">
        <f t="shared" si="100"/>
        <v>325.12357781685949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0" t="e">
        <f t="shared" si="77"/>
        <v>#N/A</v>
      </c>
      <c r="FJ115" s="60" t="e">
        <f ca="1">AVERAGE(OFFSET($FI$3,0,0,'Données projet'!$E$16+1,1))-AVERAGE(OFFSET($H$3,0,0,'Données projet'!$E$16+1,1))</f>
        <v>#N/A</v>
      </c>
      <c r="FK115" s="60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0" t="e">
        <f t="shared" si="80"/>
        <v>#N/A</v>
      </c>
      <c r="GE115" s="60" t="e">
        <f ca="1">AVERAGE(OFFSET($GD$3,0,0,'Données projet'!$E$17+1,1))-AVERAGE(OFFSET($H$3,0,0,'Données projet'!$E$17+1,1))</f>
        <v>#N/A</v>
      </c>
      <c r="GF115" s="60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5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8">
        <f t="shared" si="56"/>
        <v>256.66666666666669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0">
        <f t="shared" si="55"/>
        <v>293.3333333333353</v>
      </c>
      <c r="S116" s="60">
        <f ca="1">AVERAGE(OFFSET($R$3,0,0,'Données projet'!$E$9+1,1))-AVERAGE(OFFSET($H$3,0,0,'Données projet'!$E$9+1,1))</f>
        <v>260.02504691866199</v>
      </c>
      <c r="T116" s="60">
        <f t="shared" si="88"/>
        <v>270.11268336406368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1.9341465248344771</v>
      </c>
      <c r="AA116" s="23">
        <f>EXP(-LN(2)/25)*AA115+(1-EXP(-LN(2)/25))/(LN(2)/25)*Calculateur!V116*Calculateur!X116*VLOOKUP('Données projet'!$B$9,Paramètres!$A$1:$I$89,3,0)*0.475*44/12</f>
        <v>1.6458018129370326</v>
      </c>
      <c r="AB116" s="23">
        <f>EXP(-LN(2)/2)*AB115+(1-EXP(-LN(2)/2))/(LN(2)/2)*V116*Y116*VLOOKUP('Données projet'!$B$9,Paramètres!$A$1:$I$89,3,0)*0.475*44/12</f>
        <v>2.0386457332827505E-12</v>
      </c>
      <c r="AC116" s="24">
        <f t="shared" si="57"/>
        <v>3.5799483377735486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3.7</v>
      </c>
      <c r="AI116" s="14">
        <f>IF('Données projet'!$A$62&gt;35,AI115+AH116-AQ115,IF(A116&lt;'Données projet'!$A$62,$AF$205^A116,IF(A116='Données projet'!$A$62,'Données projet'!$B$62,AI115+AH116-AQ115)))</f>
        <v>277.09999999999957</v>
      </c>
      <c r="AJ116" s="14">
        <f>AI116*VLOOKUP('Données projet'!$B$10,Paramètres!$A$1:$I$89,3,0)*VLOOKUP('Données projet'!$B$10,Paramètres!$A$1:$I$89,5,0)</f>
        <v>280.9793999999996</v>
      </c>
      <c r="AK116" s="14">
        <f t="shared" si="89"/>
        <v>67.173942175199358</v>
      </c>
      <c r="AL116" s="22">
        <f t="shared" si="58"/>
        <v>606.36707095513827</v>
      </c>
      <c r="AM116" s="60">
        <f t="shared" si="59"/>
        <v>899.70040428847165</v>
      </c>
      <c r="AN116" s="60">
        <f ca="1">AVERAGE(OFFSET($AM$3,0,0,'Données projet'!$E$10+1,1))-AVERAGE(OFFSET($H$3,0,0,'Données projet'!$E$10+1,1))</f>
        <v>475.47920969424894</v>
      </c>
      <c r="AO116" s="60">
        <f t="shared" si="90"/>
        <v>271.73544012419364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2.8</v>
      </c>
      <c r="BD116" s="13">
        <f>IF('Données projet'!$A$88&gt;35,BD115+BC116-BL115,IF(A116&lt;'Données projet'!$A$88,$BA$205^A116,IF(A116='Données projet'!$A$88,'Données projet'!$B$88,BD115+BC116-BL115)))</f>
        <v>214.39999999999995</v>
      </c>
      <c r="BE116" s="14">
        <f>BD116*VLOOKUP('Données projet'!$B$11,Paramètres!$A$1:$I$89,3,0)*VLOOKUP('Données projet'!$B$11,Paramètres!$A$1:$I$89,5,0)</f>
        <v>193.98911999999996</v>
      </c>
      <c r="BF116" s="14">
        <f t="shared" si="91"/>
        <v>48.420821305775434</v>
      </c>
      <c r="BG116" s="22">
        <f t="shared" si="61"/>
        <v>422.19731444089211</v>
      </c>
      <c r="BH116" s="60">
        <f t="shared" si="62"/>
        <v>715.53064777422537</v>
      </c>
      <c r="BI116" s="60">
        <f ca="1">AVERAGE(OFFSET($BH$3,0,0,'Données projet'!$E$11+1,1))-AVERAGE(OFFSET($H$3,0,0,'Données projet'!$E$11+1,1))</f>
        <v>325.2649384779973</v>
      </c>
      <c r="BJ116" s="60">
        <f t="shared" si="92"/>
        <v>146.70159365068315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1.0231815394945443E-12</v>
      </c>
      <c r="BZ116" s="14">
        <f>BY116*VLOOKUP('Données projet'!$B$12,Paramètres!$A$1:$I$89,3,0)*VLOOKUP('Données projet'!$B$12,Paramètres!$A$1:$I$89,5,0)</f>
        <v>4.5224624045658859E-13</v>
      </c>
      <c r="CA116" s="14">
        <f t="shared" si="93"/>
        <v>5.6995607121061449E-12</v>
      </c>
      <c r="CB116" s="22">
        <f t="shared" si="64"/>
        <v>1.0714397109046761E-11</v>
      </c>
      <c r="CC116" s="60">
        <f t="shared" si="65"/>
        <v>293.333333333344</v>
      </c>
      <c r="CD116" s="60">
        <f ca="1">AVERAGE(OFFSET($CC$3,0,0,'Données projet'!$E$12+1,1))-AVERAGE(OFFSET($H$3,0,0,'Données projet'!$E$12+1,1))</f>
        <v>401.84375324751227</v>
      </c>
      <c r="CE116" s="60">
        <f t="shared" si="94"/>
        <v>350.39368043404164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0.8344542415604087</v>
      </c>
      <c r="CM116" s="23">
        <f>EXP(-LN(2)/2)*CM115+(1-EXP(-LN(2)/2))/(LN(2)/2)*CG116*CJ116*VLOOKUP('Données projet'!$B$12,Paramètres!$A$1:$I$89,3,0)*0.475*44/12</f>
        <v>4.4804182489488927E-13</v>
      </c>
      <c r="CN116" s="24">
        <f t="shared" si="66"/>
        <v>0.83445424156085679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-1.1368683772161603E-13</v>
      </c>
      <c r="CU116" s="18">
        <f>CT116*VLOOKUP('Données projet'!$B$13,Paramètres!$A$1:$I$89,3,0)*VLOOKUP('Données projet'!$B$13,Paramètres!$A$1:$I$89,5,0)</f>
        <v>-6.7984728957526396E-14</v>
      </c>
      <c r="CV116" s="14" t="e">
        <f t="shared" si="95"/>
        <v>#NUM!</v>
      </c>
      <c r="CW116" s="22" t="e">
        <f t="shared" si="67"/>
        <v>#NUM!</v>
      </c>
      <c r="CX116" s="60" t="e">
        <f t="shared" si="68"/>
        <v>#NUM!</v>
      </c>
      <c r="CY116" s="60">
        <f ca="1">AVERAGE(OFFSET($CX$3,0,0,'Données projet'!$E$13+1,1))-AVERAGE(OFFSET($H$3,0,0,'Données projet'!$E$13+1,1))</f>
        <v>232.73140429491525</v>
      </c>
      <c r="CZ116" s="60">
        <f t="shared" si="96"/>
        <v>201.02719152328638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0.79730782753295304</v>
      </c>
      <c r="DH116" s="23">
        <f>EXP(-LN(2)/2)*DH115+(1-EXP(-LN(2)/2))/(LN(2)/2)*DB116*DE116*VLOOKUP('Données projet'!$B$13,Paramètres!$A$1:$I$89,3,0)*0.475*44/12</f>
        <v>9.9001056773153737E-13</v>
      </c>
      <c r="DI116" s="24">
        <f t="shared" si="69"/>
        <v>0.79730782753394303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2.4999999999999973</v>
      </c>
      <c r="DO116" s="13">
        <f>IF('Données projet'!$A$166&gt;35,DO115+DN116-DW115,IF(A116&lt;'Données projet'!$A$166,$DL$205^A116,IF(A116='Données projet'!$A$166,'Données projet'!$B$166,DO115+DN116-DW115)))</f>
        <v>200.44871794871793</v>
      </c>
      <c r="DP116" s="18">
        <f>DO116*VLOOKUP('Données projet'!$B$14,Paramètres!$A$1:$I$89,3,0)*VLOOKUP('Données projet'!$B$14,Paramètres!$A$1:$I$89,5,0)</f>
        <v>190.74699999999999</v>
      </c>
      <c r="DQ116" s="14">
        <f t="shared" si="97"/>
        <v>47.705066210810621</v>
      </c>
      <c r="DR116" s="22">
        <f t="shared" si="70"/>
        <v>415.30401531716183</v>
      </c>
      <c r="DS116" s="60">
        <f t="shared" si="71"/>
        <v>708.63734865049514</v>
      </c>
      <c r="DT116" s="60">
        <f ca="1">AVERAGE(OFFSET($DS$3,0,0,'Données projet'!$E$14+1,1))-AVERAGE(OFFSET($H$3,0,0,'Données projet'!$E$14+1,1))</f>
        <v>302.15577364214136</v>
      </c>
      <c r="DU116" s="60">
        <f t="shared" si="98"/>
        <v>197.15142751137051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2.8846153846153868</v>
      </c>
      <c r="EJ116" s="13">
        <f>IF('Données projet'!$A$192&gt;35,EJ115+EI116-ER115,IF(A116&lt;'Données projet'!$A$192,$EG$205^A116,IF(A116='Données projet'!$A$192,'Données projet'!$B$192,EJ115+EI116-ER115)))</f>
        <v>310.57692307692264</v>
      </c>
      <c r="EK116" s="18">
        <f>EJ116*VLOOKUP('Données projet'!$B$15,Paramètres!$A$1:$I$89,3,0)*VLOOKUP('Données projet'!$B$15,Paramètres!$A$1:$I$89,5,0)</f>
        <v>324.61499999999955</v>
      </c>
      <c r="EL116" s="14">
        <f t="shared" si="99"/>
        <v>76.312792476440805</v>
      </c>
      <c r="EM116" s="22">
        <f t="shared" si="73"/>
        <v>698.28257189646683</v>
      </c>
      <c r="EN116" s="60">
        <f t="shared" si="74"/>
        <v>991.61590522980009</v>
      </c>
      <c r="EO116" s="60">
        <f ca="1">AVERAGE(OFFSET($EN$3,0,0,'Données projet'!$E$15+1,1))-AVERAGE(OFFSET($H$3,0,0,'Données projet'!$E$15+1,1))</f>
        <v>493.70175665335978</v>
      </c>
      <c r="EP116" s="60">
        <f t="shared" si="100"/>
        <v>325.12357781685949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0" t="e">
        <f t="shared" si="77"/>
        <v>#N/A</v>
      </c>
      <c r="FJ116" s="60" t="e">
        <f ca="1">AVERAGE(OFFSET($FI$3,0,0,'Données projet'!$E$16+1,1))-AVERAGE(OFFSET($H$3,0,0,'Données projet'!$E$16+1,1))</f>
        <v>#N/A</v>
      </c>
      <c r="FK116" s="60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0" t="e">
        <f t="shared" si="80"/>
        <v>#N/A</v>
      </c>
      <c r="GE116" s="60" t="e">
        <f ca="1">AVERAGE(OFFSET($GD$3,0,0,'Données projet'!$E$17+1,1))-AVERAGE(OFFSET($H$3,0,0,'Données projet'!$E$17+1,1))</f>
        <v>#N/A</v>
      </c>
      <c r="GF116" s="60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5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8">
        <f t="shared" si="56"/>
        <v>256.66666666666669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0">
        <f t="shared" si="55"/>
        <v>293.3333333333353</v>
      </c>
      <c r="S117" s="60">
        <f ca="1">AVERAGE(OFFSET($R$3,0,0,'Données projet'!$E$9+1,1))-AVERAGE(OFFSET($H$3,0,0,'Données projet'!$E$9+1,1))</f>
        <v>260.02504691866199</v>
      </c>
      <c r="T117" s="60">
        <f t="shared" si="88"/>
        <v>270.11268336406368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1.8962190911953662</v>
      </c>
      <c r="AA117" s="23">
        <f>EXP(-LN(2)/25)*AA116+(1-EXP(-LN(2)/25))/(LN(2)/25)*Calculateur!V117*Calculateur!X117*VLOOKUP('Données projet'!$B$9,Paramètres!$A$1:$I$89,3,0)*0.475*44/12</f>
        <v>1.6007972758133138</v>
      </c>
      <c r="AB117" s="23">
        <f>EXP(-LN(2)/2)*AB116+(1-EXP(-LN(2)/2))/(LN(2)/2)*V117*Y117*VLOOKUP('Données projet'!$B$9,Paramètres!$A$1:$I$89,3,0)*0.475*44/12</f>
        <v>1.4415402224412546E-12</v>
      </c>
      <c r="AC117" s="24">
        <f t="shared" si="57"/>
        <v>3.4970163670101213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3.7</v>
      </c>
      <c r="AI117" s="14">
        <f>IF('Données projet'!$A$62&gt;35,AI116+AH117-AQ116,IF(A117&lt;'Données projet'!$A$62,$AF$205^A117,IF(A117='Données projet'!$A$62,'Données projet'!$B$62,AI116+AH117-AQ116)))</f>
        <v>280.79999999999956</v>
      </c>
      <c r="AJ117" s="14">
        <f>AI117*VLOOKUP('Données projet'!$B$10,Paramètres!$A$1:$I$89,3,0)*VLOOKUP('Données projet'!$B$10,Paramètres!$A$1:$I$89,5,0)</f>
        <v>284.7311999999996</v>
      </c>
      <c r="AK117" s="14">
        <f t="shared" si="89"/>
        <v>67.965870320050882</v>
      </c>
      <c r="AL117" s="22">
        <f t="shared" si="58"/>
        <v>614.28073080742126</v>
      </c>
      <c r="AM117" s="60">
        <f t="shared" si="59"/>
        <v>907.61406414075464</v>
      </c>
      <c r="AN117" s="60">
        <f ca="1">AVERAGE(OFFSET($AM$3,0,0,'Données projet'!$E$10+1,1))-AVERAGE(OFFSET($H$3,0,0,'Données projet'!$E$10+1,1))</f>
        <v>475.47920969424894</v>
      </c>
      <c r="AO117" s="60">
        <f t="shared" si="90"/>
        <v>271.73544012419364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2.8</v>
      </c>
      <c r="BD117" s="13">
        <f>IF('Données projet'!$A$88&gt;35,BD116+BC117-BL116,IF(A117&lt;'Données projet'!$A$88,$BA$205^A117,IF(A117='Données projet'!$A$88,'Données projet'!$B$88,BD116+BC117-BL116)))</f>
        <v>217.19999999999996</v>
      </c>
      <c r="BE117" s="14">
        <f>BD117*VLOOKUP('Données projet'!$B$11,Paramètres!$A$1:$I$89,3,0)*VLOOKUP('Données projet'!$B$11,Paramètres!$A$1:$I$89,5,0)</f>
        <v>196.52255999999997</v>
      </c>
      <c r="BF117" s="14">
        <f t="shared" si="91"/>
        <v>48.979153257338155</v>
      </c>
      <c r="BG117" s="22">
        <f t="shared" si="61"/>
        <v>427.58215058986383</v>
      </c>
      <c r="BH117" s="60">
        <f t="shared" si="62"/>
        <v>720.91548392319714</v>
      </c>
      <c r="BI117" s="60">
        <f ca="1">AVERAGE(OFFSET($BH$3,0,0,'Données projet'!$E$11+1,1))-AVERAGE(OFFSET($H$3,0,0,'Données projet'!$E$11+1,1))</f>
        <v>325.2649384779973</v>
      </c>
      <c r="BJ117" s="60">
        <f t="shared" si="92"/>
        <v>146.70159365068315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1.0231815394945443E-12</v>
      </c>
      <c r="BZ117" s="14">
        <f>BY117*VLOOKUP('Données projet'!$B$12,Paramètres!$A$1:$I$89,3,0)*VLOOKUP('Données projet'!$B$12,Paramètres!$A$1:$I$89,5,0)</f>
        <v>4.5224624045658859E-13</v>
      </c>
      <c r="CA117" s="14">
        <f t="shared" si="93"/>
        <v>5.6995607121061449E-12</v>
      </c>
      <c r="CB117" s="22">
        <f t="shared" si="64"/>
        <v>1.0714397109046761E-11</v>
      </c>
      <c r="CC117" s="60">
        <f t="shared" si="65"/>
        <v>293.333333333344</v>
      </c>
      <c r="CD117" s="60">
        <f ca="1">AVERAGE(OFFSET($CC$3,0,0,'Données projet'!$E$12+1,1))-AVERAGE(OFFSET($H$3,0,0,'Données projet'!$E$12+1,1))</f>
        <v>401.84375324751227</v>
      </c>
      <c r="CE117" s="60">
        <f t="shared" si="94"/>
        <v>350.39368043404164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0.81163604644289788</v>
      </c>
      <c r="CM117" s="23">
        <f>EXP(-LN(2)/2)*CM116+(1-EXP(-LN(2)/2))/(LN(2)/2)*CG117*CJ117*VLOOKUP('Données projet'!$B$12,Paramètres!$A$1:$I$89,3,0)*0.475*44/12</f>
        <v>3.1681341263837195E-13</v>
      </c>
      <c r="CN117" s="24">
        <f t="shared" si="66"/>
        <v>0.81163604644321474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-1.1368683772161603E-13</v>
      </c>
      <c r="CU117" s="18">
        <f>CT117*VLOOKUP('Données projet'!$B$13,Paramètres!$A$1:$I$89,3,0)*VLOOKUP('Données projet'!$B$13,Paramètres!$A$1:$I$89,5,0)</f>
        <v>-6.7984728957526396E-14</v>
      </c>
      <c r="CV117" s="14" t="e">
        <f t="shared" si="95"/>
        <v>#NUM!</v>
      </c>
      <c r="CW117" s="22" t="e">
        <f t="shared" si="67"/>
        <v>#NUM!</v>
      </c>
      <c r="CX117" s="60" t="e">
        <f t="shared" si="68"/>
        <v>#NUM!</v>
      </c>
      <c r="CY117" s="60">
        <f ca="1">AVERAGE(OFFSET($CX$3,0,0,'Données projet'!$E$13+1,1))-AVERAGE(OFFSET($H$3,0,0,'Données projet'!$E$13+1,1))</f>
        <v>232.73140429491525</v>
      </c>
      <c r="CZ117" s="60">
        <f t="shared" si="96"/>
        <v>201.02719152328638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0.77550540306046811</v>
      </c>
      <c r="DH117" s="23">
        <f>EXP(-LN(2)/2)*DH116+(1-EXP(-LN(2)/2))/(LN(2)/2)*DB117*DE117*VLOOKUP('Données projet'!$B$13,Paramètres!$A$1:$I$89,3,0)*0.475*44/12</f>
        <v>7.0004318588931389E-13</v>
      </c>
      <c r="DI117" s="24">
        <f t="shared" si="69"/>
        <v>0.77550540306116811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2.4999999999999973</v>
      </c>
      <c r="DO117" s="13">
        <f>IF('Données projet'!$A$166&gt;35,DO116+DN117-DW116,IF(A117&lt;'Données projet'!$A$166,$DL$205^A117,IF(A117='Données projet'!$A$166,'Données projet'!$B$166,DO116+DN117-DW116)))</f>
        <v>202.94871794871793</v>
      </c>
      <c r="DP117" s="18">
        <f>DO117*VLOOKUP('Données projet'!$B$14,Paramètres!$A$1:$I$89,3,0)*VLOOKUP('Données projet'!$B$14,Paramètres!$A$1:$I$89,5,0)</f>
        <v>193.12599999999998</v>
      </c>
      <c r="DQ117" s="14">
        <f t="shared" si="97"/>
        <v>48.230409312753999</v>
      </c>
      <c r="DR117" s="22">
        <f t="shared" si="70"/>
        <v>420.36241288637984</v>
      </c>
      <c r="DS117" s="60">
        <f t="shared" si="71"/>
        <v>713.6957462197131</v>
      </c>
      <c r="DT117" s="60">
        <f ca="1">AVERAGE(OFFSET($DS$3,0,0,'Données projet'!$E$14+1,1))-AVERAGE(OFFSET($H$3,0,0,'Données projet'!$E$14+1,1))</f>
        <v>302.15577364214136</v>
      </c>
      <c r="DU117" s="60">
        <f t="shared" si="98"/>
        <v>197.15142751137051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2.8846153846153868</v>
      </c>
      <c r="EJ117" s="13">
        <f>IF('Données projet'!$A$192&gt;35,EJ116+EI117-ER116,IF(A117&lt;'Données projet'!$A$192,$EG$205^A117,IF(A117='Données projet'!$A$192,'Données projet'!$B$192,EJ116+EI117-ER116)))</f>
        <v>313.461538461538</v>
      </c>
      <c r="EK117" s="18">
        <f>EJ117*VLOOKUP('Données projet'!$B$15,Paramètres!$A$1:$I$89,3,0)*VLOOKUP('Données projet'!$B$15,Paramètres!$A$1:$I$89,5,0)</f>
        <v>327.62999999999954</v>
      </c>
      <c r="EL117" s="14">
        <f t="shared" si="99"/>
        <v>76.938739773947404</v>
      </c>
      <c r="EM117" s="22">
        <f t="shared" si="73"/>
        <v>704.62388843962435</v>
      </c>
      <c r="EN117" s="60">
        <f t="shared" si="74"/>
        <v>997.95722177295761</v>
      </c>
      <c r="EO117" s="60">
        <f ca="1">AVERAGE(OFFSET($EN$3,0,0,'Données projet'!$E$15+1,1))-AVERAGE(OFFSET($H$3,0,0,'Données projet'!$E$15+1,1))</f>
        <v>493.70175665335978</v>
      </c>
      <c r="EP117" s="60">
        <f t="shared" si="100"/>
        <v>325.12357781685949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0" t="e">
        <f t="shared" si="77"/>
        <v>#N/A</v>
      </c>
      <c r="FJ117" s="60" t="e">
        <f ca="1">AVERAGE(OFFSET($FI$3,0,0,'Données projet'!$E$16+1,1))-AVERAGE(OFFSET($H$3,0,0,'Données projet'!$E$16+1,1))</f>
        <v>#N/A</v>
      </c>
      <c r="FK117" s="60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0" t="e">
        <f t="shared" si="80"/>
        <v>#N/A</v>
      </c>
      <c r="GE117" s="60" t="e">
        <f ca="1">AVERAGE(OFFSET($GD$3,0,0,'Données projet'!$E$17+1,1))-AVERAGE(OFFSET($H$3,0,0,'Données projet'!$E$17+1,1))</f>
        <v>#N/A</v>
      </c>
      <c r="GF117" s="60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5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8">
        <f t="shared" si="56"/>
        <v>256.66666666666669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0">
        <f t="shared" si="55"/>
        <v>293.3333333333353</v>
      </c>
      <c r="S118" s="60">
        <f ca="1">AVERAGE(OFFSET($R$3,0,0,'Données projet'!$E$9+1,1))-AVERAGE(OFFSET($H$3,0,0,'Données projet'!$E$9+1,1))</f>
        <v>260.02504691866199</v>
      </c>
      <c r="T118" s="60">
        <f t="shared" si="88"/>
        <v>270.11268336406368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1.8590353913964681</v>
      </c>
      <c r="AA118" s="23">
        <f>EXP(-LN(2)/25)*AA117+(1-EXP(-LN(2)/25))/(LN(2)/25)*Calculateur!V118*Calculateur!X118*VLOOKUP('Données projet'!$B$9,Paramètres!$A$1:$I$89,3,0)*0.475*44/12</f>
        <v>1.5570233901239285</v>
      </c>
      <c r="AB118" s="23">
        <f>EXP(-LN(2)/2)*AB117+(1-EXP(-LN(2)/2))/(LN(2)/2)*V118*Y118*VLOOKUP('Données projet'!$B$9,Paramètres!$A$1:$I$89,3,0)*0.475*44/12</f>
        <v>1.0193228666413752E-12</v>
      </c>
      <c r="AC118" s="24">
        <f t="shared" si="57"/>
        <v>3.4160587815214156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3.7</v>
      </c>
      <c r="AI118" s="14">
        <f>IF('Données projet'!$A$62&gt;35,AI117+AH118-AQ117,IF(A118&lt;'Données projet'!$A$62,$AF$205^A118,IF(A118='Données projet'!$A$62,'Données projet'!$B$62,AI117+AH118-AQ117)))</f>
        <v>284.49999999999955</v>
      </c>
      <c r="AJ118" s="14">
        <f>AI118*VLOOKUP('Données projet'!$B$10,Paramètres!$A$1:$I$89,3,0)*VLOOKUP('Données projet'!$B$10,Paramètres!$A$1:$I$89,5,0)</f>
        <v>288.48299999999955</v>
      </c>
      <c r="AK118" s="14">
        <f t="shared" si="89"/>
        <v>68.756584730508635</v>
      </c>
      <c r="AL118" s="22">
        <f t="shared" si="58"/>
        <v>622.19227673896842</v>
      </c>
      <c r="AM118" s="60">
        <f t="shared" si="59"/>
        <v>915.52561007230179</v>
      </c>
      <c r="AN118" s="60">
        <f ca="1">AVERAGE(OFFSET($AM$3,0,0,'Données projet'!$E$10+1,1))-AVERAGE(OFFSET($H$3,0,0,'Données projet'!$E$10+1,1))</f>
        <v>475.47920969424894</v>
      </c>
      <c r="AO118" s="60">
        <f t="shared" si="90"/>
        <v>271.73544012419364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2.8</v>
      </c>
      <c r="BD118" s="13">
        <f>IF('Données projet'!$A$88&gt;35,BD117+BC118-BL117,IF(A118&lt;'Données projet'!$A$88,$BA$205^A118,IF(A118='Données projet'!$A$88,'Données projet'!$B$88,BD117+BC118-BL117)))</f>
        <v>219.99999999999997</v>
      </c>
      <c r="BE118" s="14">
        <f>BD118*VLOOKUP('Données projet'!$B$11,Paramètres!$A$1:$I$89,3,0)*VLOOKUP('Données projet'!$B$11,Paramètres!$A$1:$I$89,5,0)</f>
        <v>199.05599999999998</v>
      </c>
      <c r="BF118" s="14">
        <f t="shared" si="91"/>
        <v>49.536648006253934</v>
      </c>
      <c r="BG118" s="22">
        <f t="shared" si="61"/>
        <v>432.96552861089225</v>
      </c>
      <c r="BH118" s="60">
        <f t="shared" si="62"/>
        <v>726.29886194422556</v>
      </c>
      <c r="BI118" s="60">
        <f ca="1">AVERAGE(OFFSET($BH$3,0,0,'Données projet'!$E$11+1,1))-AVERAGE(OFFSET($H$3,0,0,'Données projet'!$E$11+1,1))</f>
        <v>325.2649384779973</v>
      </c>
      <c r="BJ118" s="60">
        <f t="shared" si="92"/>
        <v>146.70159365068315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1.0231815394945443E-12</v>
      </c>
      <c r="BZ118" s="14">
        <f>BY118*VLOOKUP('Données projet'!$B$12,Paramètres!$A$1:$I$89,3,0)*VLOOKUP('Données projet'!$B$12,Paramètres!$A$1:$I$89,5,0)</f>
        <v>4.5224624045658859E-13</v>
      </c>
      <c r="CA118" s="14">
        <f t="shared" si="93"/>
        <v>5.6995607121061449E-12</v>
      </c>
      <c r="CB118" s="22">
        <f t="shared" si="64"/>
        <v>1.0714397109046761E-11</v>
      </c>
      <c r="CC118" s="60">
        <f t="shared" si="65"/>
        <v>293.333333333344</v>
      </c>
      <c r="CD118" s="60">
        <f ca="1">AVERAGE(OFFSET($CC$3,0,0,'Données projet'!$E$12+1,1))-AVERAGE(OFFSET($H$3,0,0,'Données projet'!$E$12+1,1))</f>
        <v>401.84375324751227</v>
      </c>
      <c r="CE118" s="60">
        <f t="shared" si="94"/>
        <v>350.39368043404164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0.78944181607083219</v>
      </c>
      <c r="CM118" s="23">
        <f>EXP(-LN(2)/2)*CM117+(1-EXP(-LN(2)/2))/(LN(2)/2)*CG118*CJ118*VLOOKUP('Données projet'!$B$12,Paramètres!$A$1:$I$89,3,0)*0.475*44/12</f>
        <v>2.2402091244744468E-13</v>
      </c>
      <c r="CN118" s="24">
        <f t="shared" si="66"/>
        <v>0.78944181607105623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-1.1368683772161603E-13</v>
      </c>
      <c r="CU118" s="18">
        <f>CT118*VLOOKUP('Données projet'!$B$13,Paramètres!$A$1:$I$89,3,0)*VLOOKUP('Données projet'!$B$13,Paramètres!$A$1:$I$89,5,0)</f>
        <v>-6.7984728957526396E-14</v>
      </c>
      <c r="CV118" s="14" t="e">
        <f t="shared" si="95"/>
        <v>#NUM!</v>
      </c>
      <c r="CW118" s="22" t="e">
        <f t="shared" si="67"/>
        <v>#NUM!</v>
      </c>
      <c r="CX118" s="60" t="e">
        <f t="shared" si="68"/>
        <v>#NUM!</v>
      </c>
      <c r="CY118" s="60">
        <f ca="1">AVERAGE(OFFSET($CX$3,0,0,'Données projet'!$E$13+1,1))-AVERAGE(OFFSET($H$3,0,0,'Données projet'!$E$13+1,1))</f>
        <v>232.73140429491525</v>
      </c>
      <c r="CZ118" s="60">
        <f t="shared" si="96"/>
        <v>201.02719152328638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0.75429916703172295</v>
      </c>
      <c r="DH118" s="23">
        <f>EXP(-LN(2)/2)*DH117+(1-EXP(-LN(2)/2))/(LN(2)/2)*DB118*DE118*VLOOKUP('Données projet'!$B$13,Paramètres!$A$1:$I$89,3,0)*0.475*44/12</f>
        <v>4.9500528386576868E-13</v>
      </c>
      <c r="DI118" s="24">
        <f t="shared" si="69"/>
        <v>0.754299167032218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2.4999999999999973</v>
      </c>
      <c r="DO118" s="13">
        <f>IF('Données projet'!$A$166&gt;35,DO117+DN118-DW117,IF(A118&lt;'Données projet'!$A$166,$DL$205^A118,IF(A118='Données projet'!$A$166,'Données projet'!$B$166,DO117+DN118-DW117)))</f>
        <v>205.44871794871793</v>
      </c>
      <c r="DP118" s="18">
        <f>DO118*VLOOKUP('Données projet'!$B$14,Paramètres!$A$1:$I$89,3,0)*VLOOKUP('Données projet'!$B$14,Paramètres!$A$1:$I$89,5,0)</f>
        <v>195.50499999999997</v>
      </c>
      <c r="DQ118" s="14">
        <f t="shared" si="97"/>
        <v>48.754999666014307</v>
      </c>
      <c r="DR118" s="22">
        <f t="shared" si="70"/>
        <v>425.41949941830813</v>
      </c>
      <c r="DS118" s="60">
        <f t="shared" si="71"/>
        <v>718.75283275164145</v>
      </c>
      <c r="DT118" s="60">
        <f ca="1">AVERAGE(OFFSET($DS$3,0,0,'Données projet'!$E$14+1,1))-AVERAGE(OFFSET($H$3,0,0,'Données projet'!$E$14+1,1))</f>
        <v>302.15577364214136</v>
      </c>
      <c r="DU118" s="60">
        <f t="shared" si="98"/>
        <v>197.15142751137051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2.8846153846153868</v>
      </c>
      <c r="EJ118" s="13">
        <f>IF('Données projet'!$A$192&gt;35,EJ117+EI118-ER117,IF(A118&lt;'Données projet'!$A$192,$EG$205^A118,IF(A118='Données projet'!$A$192,'Données projet'!$B$192,EJ117+EI118-ER117)))</f>
        <v>316.34615384615336</v>
      </c>
      <c r="EK118" s="18">
        <f>EJ118*VLOOKUP('Données projet'!$B$15,Paramètres!$A$1:$I$89,3,0)*VLOOKUP('Données projet'!$B$15,Paramètres!$A$1:$I$89,5,0)</f>
        <v>330.64499999999953</v>
      </c>
      <c r="EL118" s="14">
        <f t="shared" si="99"/>
        <v>77.564016927186358</v>
      </c>
      <c r="EM118" s="22">
        <f t="shared" si="73"/>
        <v>710.96403781484867</v>
      </c>
      <c r="EN118" s="60">
        <f t="shared" si="74"/>
        <v>1004.297371148182</v>
      </c>
      <c r="EO118" s="60">
        <f ca="1">AVERAGE(OFFSET($EN$3,0,0,'Données projet'!$E$15+1,1))-AVERAGE(OFFSET($H$3,0,0,'Données projet'!$E$15+1,1))</f>
        <v>493.70175665335978</v>
      </c>
      <c r="EP118" s="60">
        <f t="shared" si="100"/>
        <v>325.12357781685949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0" t="e">
        <f t="shared" si="77"/>
        <v>#N/A</v>
      </c>
      <c r="FJ118" s="60" t="e">
        <f ca="1">AVERAGE(OFFSET($FI$3,0,0,'Données projet'!$E$16+1,1))-AVERAGE(OFFSET($H$3,0,0,'Données projet'!$E$16+1,1))</f>
        <v>#N/A</v>
      </c>
      <c r="FK118" s="60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0" t="e">
        <f t="shared" si="80"/>
        <v>#N/A</v>
      </c>
      <c r="GE118" s="60" t="e">
        <f ca="1">AVERAGE(OFFSET($GD$3,0,0,'Données projet'!$E$17+1,1))-AVERAGE(OFFSET($H$3,0,0,'Données projet'!$E$17+1,1))</f>
        <v>#N/A</v>
      </c>
      <c r="GF118" s="60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5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8">
        <f t="shared" si="56"/>
        <v>256.66666666666669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0">
        <f t="shared" si="55"/>
        <v>293.3333333333353</v>
      </c>
      <c r="S119" s="60">
        <f ca="1">AVERAGE(OFFSET($R$3,0,0,'Données projet'!$E$9+1,1))-AVERAGE(OFFSET($H$3,0,0,'Données projet'!$E$9+1,1))</f>
        <v>260.02504691866199</v>
      </c>
      <c r="T119" s="60">
        <f t="shared" si="88"/>
        <v>270.11268336406368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1.8225808412708089</v>
      </c>
      <c r="AA119" s="23">
        <f>EXP(-LN(2)/25)*AA118+(1-EXP(-LN(2)/25))/(LN(2)/25)*Calculateur!V119*Calculateur!X119*VLOOKUP('Données projet'!$B$9,Paramètres!$A$1:$I$89,3,0)*0.475*44/12</f>
        <v>1.5144465036406882</v>
      </c>
      <c r="AB119" s="23">
        <f>EXP(-LN(2)/2)*AB118+(1-EXP(-LN(2)/2))/(LN(2)/2)*V119*Y119*VLOOKUP('Données projet'!$B$9,Paramètres!$A$1:$I$89,3,0)*0.475*44/12</f>
        <v>7.2077011122062728E-13</v>
      </c>
      <c r="AC119" s="24">
        <f t="shared" si="57"/>
        <v>3.3370273449122179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3.7</v>
      </c>
      <c r="AI119" s="14">
        <f>IF('Données projet'!$A$62&gt;35,AI118+AH119-AQ118,IF(A119&lt;'Données projet'!$A$62,$AF$205^A119,IF(A119='Données projet'!$A$62,'Données projet'!$B$62,AI118+AH119-AQ118)))</f>
        <v>288.19999999999953</v>
      </c>
      <c r="AJ119" s="14">
        <f>AI119*VLOOKUP('Données projet'!$B$10,Paramètres!$A$1:$I$89,3,0)*VLOOKUP('Données projet'!$B$10,Paramètres!$A$1:$I$89,5,0)</f>
        <v>292.23479999999955</v>
      </c>
      <c r="AK119" s="14">
        <f t="shared" si="89"/>
        <v>69.546103016553644</v>
      </c>
      <c r="AL119" s="22">
        <f t="shared" si="58"/>
        <v>630.10173942049676</v>
      </c>
      <c r="AM119" s="60">
        <f t="shared" si="59"/>
        <v>923.43507275383013</v>
      </c>
      <c r="AN119" s="60">
        <f ca="1">AVERAGE(OFFSET($AM$3,0,0,'Données projet'!$E$10+1,1))-AVERAGE(OFFSET($H$3,0,0,'Données projet'!$E$10+1,1))</f>
        <v>475.47920969424894</v>
      </c>
      <c r="AO119" s="60">
        <f t="shared" si="90"/>
        <v>271.73544012419364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2.8</v>
      </c>
      <c r="BD119" s="13">
        <f>IF('Données projet'!$A$88&gt;35,BD118+BC119-BL118,IF(A119&lt;'Données projet'!$A$88,$BA$205^A119,IF(A119='Données projet'!$A$88,'Données projet'!$B$88,BD118+BC119-BL118)))</f>
        <v>222.79999999999998</v>
      </c>
      <c r="BE119" s="14">
        <f>BD119*VLOOKUP('Données projet'!$B$11,Paramètres!$A$1:$I$89,3,0)*VLOOKUP('Données projet'!$B$11,Paramètres!$A$1:$I$89,5,0)</f>
        <v>201.58944</v>
      </c>
      <c r="BF119" s="14">
        <f t="shared" si="91"/>
        <v>50.093317439945402</v>
      </c>
      <c r="BG119" s="22">
        <f t="shared" si="61"/>
        <v>438.34746920790485</v>
      </c>
      <c r="BH119" s="60">
        <f t="shared" si="62"/>
        <v>731.68080254123811</v>
      </c>
      <c r="BI119" s="60">
        <f ca="1">AVERAGE(OFFSET($BH$3,0,0,'Données projet'!$E$11+1,1))-AVERAGE(OFFSET($H$3,0,0,'Données projet'!$E$11+1,1))</f>
        <v>325.2649384779973</v>
      </c>
      <c r="BJ119" s="60">
        <f t="shared" si="92"/>
        <v>146.70159365068315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1.0231815394945443E-12</v>
      </c>
      <c r="BZ119" s="14">
        <f>BY119*VLOOKUP('Données projet'!$B$12,Paramètres!$A$1:$I$89,3,0)*VLOOKUP('Données projet'!$B$12,Paramètres!$A$1:$I$89,5,0)</f>
        <v>4.5224624045658859E-13</v>
      </c>
      <c r="CA119" s="14">
        <f t="shared" si="93"/>
        <v>5.6995607121061449E-12</v>
      </c>
      <c r="CB119" s="22">
        <f t="shared" si="64"/>
        <v>1.0714397109046761E-11</v>
      </c>
      <c r="CC119" s="60">
        <f t="shared" si="65"/>
        <v>293.333333333344</v>
      </c>
      <c r="CD119" s="60">
        <f ca="1">AVERAGE(OFFSET($CC$3,0,0,'Données projet'!$E$12+1,1))-AVERAGE(OFFSET($H$3,0,0,'Données projet'!$E$12+1,1))</f>
        <v>401.84375324751227</v>
      </c>
      <c r="CE119" s="60">
        <f t="shared" si="94"/>
        <v>350.39368043404164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0.76785448809543444</v>
      </c>
      <c r="CM119" s="23">
        <f>EXP(-LN(2)/2)*CM118+(1-EXP(-LN(2)/2))/(LN(2)/2)*CG119*CJ119*VLOOKUP('Données projet'!$B$12,Paramètres!$A$1:$I$89,3,0)*0.475*44/12</f>
        <v>1.58406706319186E-13</v>
      </c>
      <c r="CN119" s="24">
        <f t="shared" si="66"/>
        <v>0.76785448809559287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-1.1368683772161603E-13</v>
      </c>
      <c r="CU119" s="18">
        <f>CT119*VLOOKUP('Données projet'!$B$13,Paramètres!$A$1:$I$89,3,0)*VLOOKUP('Données projet'!$B$13,Paramètres!$A$1:$I$89,5,0)</f>
        <v>-6.7984728957526396E-14</v>
      </c>
      <c r="CV119" s="14" t="e">
        <f t="shared" si="95"/>
        <v>#NUM!</v>
      </c>
      <c r="CW119" s="22" t="e">
        <f t="shared" si="67"/>
        <v>#NUM!</v>
      </c>
      <c r="CX119" s="60" t="e">
        <f t="shared" si="68"/>
        <v>#NUM!</v>
      </c>
      <c r="CY119" s="60">
        <f ca="1">AVERAGE(OFFSET($CX$3,0,0,'Données projet'!$E$13+1,1))-AVERAGE(OFFSET($H$3,0,0,'Données projet'!$E$13+1,1))</f>
        <v>232.73140429491525</v>
      </c>
      <c r="CZ119" s="60">
        <f t="shared" si="96"/>
        <v>201.02719152328638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0.73367281664237127</v>
      </c>
      <c r="DH119" s="23">
        <f>EXP(-LN(2)/2)*DH118+(1-EXP(-LN(2)/2))/(LN(2)/2)*DB119*DE119*VLOOKUP('Données projet'!$B$13,Paramètres!$A$1:$I$89,3,0)*0.475*44/12</f>
        <v>3.5002159294465694E-13</v>
      </c>
      <c r="DI119" s="24">
        <f t="shared" si="69"/>
        <v>0.73367281664272133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2.4999999999999973</v>
      </c>
      <c r="DO119" s="13">
        <f>IF('Données projet'!$A$166&gt;35,DO118+DN119-DW118,IF(A119&lt;'Données projet'!$A$166,$DL$205^A119,IF(A119='Données projet'!$A$166,'Données projet'!$B$166,DO118+DN119-DW118)))</f>
        <v>207.94871794871793</v>
      </c>
      <c r="DP119" s="18">
        <f>DO119*VLOOKUP('Données projet'!$B$14,Paramètres!$A$1:$I$89,3,0)*VLOOKUP('Données projet'!$B$14,Paramètres!$A$1:$I$89,5,0)</f>
        <v>197.88399999999999</v>
      </c>
      <c r="DQ119" s="14">
        <f t="shared" si="97"/>
        <v>49.278847489874487</v>
      </c>
      <c r="DR119" s="22">
        <f t="shared" si="70"/>
        <v>430.47529271153138</v>
      </c>
      <c r="DS119" s="60">
        <f t="shared" si="71"/>
        <v>723.8086260448647</v>
      </c>
      <c r="DT119" s="60">
        <f ca="1">AVERAGE(OFFSET($DS$3,0,0,'Données projet'!$E$14+1,1))-AVERAGE(OFFSET($H$3,0,0,'Données projet'!$E$14+1,1))</f>
        <v>302.15577364214136</v>
      </c>
      <c r="DU119" s="60">
        <f t="shared" si="98"/>
        <v>197.15142751137051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2.8846153846153868</v>
      </c>
      <c r="EJ119" s="13">
        <f>IF('Données projet'!$A$192&gt;35,EJ118+EI119-ER118,IF(A119&lt;'Données projet'!$A$192,$EG$205^A119,IF(A119='Données projet'!$A$192,'Données projet'!$B$192,EJ118+EI119-ER118)))</f>
        <v>319.23076923076871</v>
      </c>
      <c r="EK119" s="18">
        <f>EJ119*VLOOKUP('Données projet'!$B$15,Paramètres!$A$1:$I$89,3,0)*VLOOKUP('Données projet'!$B$15,Paramètres!$A$1:$I$89,5,0)</f>
        <v>333.65999999999946</v>
      </c>
      <c r="EL119" s="14">
        <f t="shared" si="99"/>
        <v>78.188630754756275</v>
      </c>
      <c r="EM119" s="22">
        <f t="shared" si="73"/>
        <v>717.30303189786616</v>
      </c>
      <c r="EN119" s="60">
        <f t="shared" si="74"/>
        <v>1010.6363652311995</v>
      </c>
      <c r="EO119" s="60">
        <f ca="1">AVERAGE(OFFSET($EN$3,0,0,'Données projet'!$E$15+1,1))-AVERAGE(OFFSET($H$3,0,0,'Données projet'!$E$15+1,1))</f>
        <v>493.70175665335978</v>
      </c>
      <c r="EP119" s="60">
        <f t="shared" si="100"/>
        <v>325.12357781685949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0" t="e">
        <f t="shared" si="77"/>
        <v>#N/A</v>
      </c>
      <c r="FJ119" s="60" t="e">
        <f ca="1">AVERAGE(OFFSET($FI$3,0,0,'Données projet'!$E$16+1,1))-AVERAGE(OFFSET($H$3,0,0,'Données projet'!$E$16+1,1))</f>
        <v>#N/A</v>
      </c>
      <c r="FK119" s="60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0" t="e">
        <f t="shared" si="80"/>
        <v>#N/A</v>
      </c>
      <c r="GE119" s="60" t="e">
        <f ca="1">AVERAGE(OFFSET($GD$3,0,0,'Données projet'!$E$17+1,1))-AVERAGE(OFFSET($H$3,0,0,'Données projet'!$E$17+1,1))</f>
        <v>#N/A</v>
      </c>
      <c r="GF119" s="60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5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8">
        <f t="shared" si="56"/>
        <v>256.66666666666669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0">
        <f t="shared" si="55"/>
        <v>293.3333333333353</v>
      </c>
      <c r="S120" s="60">
        <f ca="1">AVERAGE(OFFSET($R$3,0,0,'Données projet'!$E$9+1,1))-AVERAGE(OFFSET($H$3,0,0,'Données projet'!$E$9+1,1))</f>
        <v>260.02504691866199</v>
      </c>
      <c r="T120" s="60">
        <f t="shared" si="88"/>
        <v>270.11268336406368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1.7868411426380337</v>
      </c>
      <c r="AA120" s="23">
        <f>EXP(-LN(2)/25)*AA119+(1-EXP(-LN(2)/25))/(LN(2)/25)*Calculateur!V120*Calculateur!X120*VLOOKUP('Données projet'!$B$9,Paramètres!$A$1:$I$89,3,0)*0.475*44/12</f>
        <v>1.4730338843573534</v>
      </c>
      <c r="AB120" s="23">
        <f>EXP(-LN(2)/2)*AB119+(1-EXP(-LN(2)/2))/(LN(2)/2)*V120*Y120*VLOOKUP('Données projet'!$B$9,Paramètres!$A$1:$I$89,3,0)*0.475*44/12</f>
        <v>5.0966143332068762E-13</v>
      </c>
      <c r="AC120" s="24">
        <f t="shared" si="57"/>
        <v>3.2598750269958972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3.7</v>
      </c>
      <c r="AI120" s="14">
        <f>IF('Données projet'!$A$62&gt;35,AI119+AH120-AQ119,IF(A120&lt;'Données projet'!$A$62,$AF$205^A120,IF(A120='Données projet'!$A$62,'Données projet'!$B$62,AI119+AH120-AQ119)))</f>
        <v>291.89999999999952</v>
      </c>
      <c r="AJ120" s="14">
        <f>AI120*VLOOKUP('Données projet'!$B$10,Paramètres!$A$1:$I$89,3,0)*VLOOKUP('Données projet'!$B$10,Paramètres!$A$1:$I$89,5,0)</f>
        <v>295.98659999999956</v>
      </c>
      <c r="AK120" s="14">
        <f t="shared" si="89"/>
        <v>70.334442310004661</v>
      </c>
      <c r="AL120" s="22">
        <f t="shared" si="58"/>
        <v>638.00914868992402</v>
      </c>
      <c r="AM120" s="60">
        <f t="shared" si="59"/>
        <v>931.34248202325739</v>
      </c>
      <c r="AN120" s="60">
        <f ca="1">AVERAGE(OFFSET($AM$3,0,0,'Données projet'!$E$10+1,1))-AVERAGE(OFFSET($H$3,0,0,'Données projet'!$E$10+1,1))</f>
        <v>475.47920969424894</v>
      </c>
      <c r="AO120" s="60">
        <f t="shared" si="90"/>
        <v>271.73544012419364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2.8</v>
      </c>
      <c r="BD120" s="13">
        <f>IF('Données projet'!$A$88&gt;35,BD119+BC120-BL119,IF(A120&lt;'Données projet'!$A$88,$BA$205^A120,IF(A120='Données projet'!$A$88,'Données projet'!$B$88,BD119+BC120-BL119)))</f>
        <v>225.6</v>
      </c>
      <c r="BE120" s="14">
        <f>BD120*VLOOKUP('Données projet'!$B$11,Paramètres!$A$1:$I$89,3,0)*VLOOKUP('Données projet'!$B$11,Paramètres!$A$1:$I$89,5,0)</f>
        <v>204.12287999999998</v>
      </c>
      <c r="BF120" s="14">
        <f t="shared" si="91"/>
        <v>50.649173129865886</v>
      </c>
      <c r="BG120" s="22">
        <f t="shared" si="61"/>
        <v>443.72799253451632</v>
      </c>
      <c r="BH120" s="60">
        <f t="shared" si="62"/>
        <v>737.06132586784963</v>
      </c>
      <c r="BI120" s="60">
        <f ca="1">AVERAGE(OFFSET($BH$3,0,0,'Données projet'!$E$11+1,1))-AVERAGE(OFFSET($H$3,0,0,'Données projet'!$E$11+1,1))</f>
        <v>325.2649384779973</v>
      </c>
      <c r="BJ120" s="60">
        <f t="shared" si="92"/>
        <v>146.70159365068315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1.0231815394945443E-12</v>
      </c>
      <c r="BZ120" s="14">
        <f>BY120*VLOOKUP('Données projet'!$B$12,Paramètres!$A$1:$I$89,3,0)*VLOOKUP('Données projet'!$B$12,Paramètres!$A$1:$I$89,5,0)</f>
        <v>4.5224624045658859E-13</v>
      </c>
      <c r="CA120" s="14">
        <f t="shared" si="93"/>
        <v>5.6995607121061449E-12</v>
      </c>
      <c r="CB120" s="22">
        <f t="shared" si="64"/>
        <v>1.0714397109046761E-11</v>
      </c>
      <c r="CC120" s="60">
        <f t="shared" si="65"/>
        <v>293.333333333344</v>
      </c>
      <c r="CD120" s="60">
        <f ca="1">AVERAGE(OFFSET($CC$3,0,0,'Données projet'!$E$12+1,1))-AVERAGE(OFFSET($H$3,0,0,'Données projet'!$E$12+1,1))</f>
        <v>401.84375324751227</v>
      </c>
      <c r="CE120" s="60">
        <f t="shared" si="94"/>
        <v>350.39368043404164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0.7468574667387522</v>
      </c>
      <c r="CM120" s="23">
        <f>EXP(-LN(2)/2)*CM119+(1-EXP(-LN(2)/2))/(LN(2)/2)*CG120*CJ120*VLOOKUP('Données projet'!$B$12,Paramètres!$A$1:$I$89,3,0)*0.475*44/12</f>
        <v>1.1201045622372235E-13</v>
      </c>
      <c r="CN120" s="24">
        <f t="shared" si="66"/>
        <v>0.74685746673886422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-1.1368683772161603E-13</v>
      </c>
      <c r="CU120" s="18">
        <f>CT120*VLOOKUP('Données projet'!$B$13,Paramètres!$A$1:$I$89,3,0)*VLOOKUP('Données projet'!$B$13,Paramètres!$A$1:$I$89,5,0)</f>
        <v>-6.7984728957526396E-14</v>
      </c>
      <c r="CV120" s="14" t="e">
        <f t="shared" si="95"/>
        <v>#NUM!</v>
      </c>
      <c r="CW120" s="22" t="e">
        <f t="shared" si="67"/>
        <v>#NUM!</v>
      </c>
      <c r="CX120" s="60" t="e">
        <f t="shared" si="68"/>
        <v>#NUM!</v>
      </c>
      <c r="CY120" s="60">
        <f ca="1">AVERAGE(OFFSET($CX$3,0,0,'Données projet'!$E$13+1,1))-AVERAGE(OFFSET($H$3,0,0,'Données projet'!$E$13+1,1))</f>
        <v>232.73140429491525</v>
      </c>
      <c r="CZ120" s="60">
        <f t="shared" si="96"/>
        <v>201.02719152328638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0.71361049488910899</v>
      </c>
      <c r="DH120" s="23">
        <f>EXP(-LN(2)/2)*DH119+(1-EXP(-LN(2)/2))/(LN(2)/2)*DB120*DE120*VLOOKUP('Données projet'!$B$13,Paramètres!$A$1:$I$89,3,0)*0.475*44/12</f>
        <v>2.4750264193288434E-13</v>
      </c>
      <c r="DI120" s="24">
        <f t="shared" si="69"/>
        <v>0.71361049488935646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2.4999999999999973</v>
      </c>
      <c r="DO120" s="13">
        <f>IF('Données projet'!$A$166&gt;35,DO119+DN120-DW119,IF(A120&lt;'Données projet'!$A$166,$DL$205^A120,IF(A120='Données projet'!$A$166,'Données projet'!$B$166,DO119+DN120-DW119)))</f>
        <v>210.44871794871793</v>
      </c>
      <c r="DP120" s="18">
        <f>DO120*VLOOKUP('Données projet'!$B$14,Paramètres!$A$1:$I$89,3,0)*VLOOKUP('Données projet'!$B$14,Paramètres!$A$1:$I$89,5,0)</f>
        <v>200.26300000000001</v>
      </c>
      <c r="DQ120" s="14">
        <f t="shared" si="97"/>
        <v>49.801962743763681</v>
      </c>
      <c r="DR120" s="22">
        <f t="shared" si="70"/>
        <v>435.52981011205503</v>
      </c>
      <c r="DS120" s="60">
        <f t="shared" si="71"/>
        <v>728.86314344538835</v>
      </c>
      <c r="DT120" s="60">
        <f ca="1">AVERAGE(OFFSET($DS$3,0,0,'Données projet'!$E$14+1,1))-AVERAGE(OFFSET($H$3,0,0,'Données projet'!$E$14+1,1))</f>
        <v>302.15577364214136</v>
      </c>
      <c r="DU120" s="60">
        <f t="shared" si="98"/>
        <v>197.15142751137051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2.8846153846153868</v>
      </c>
      <c r="EJ120" s="13">
        <f>IF('Données projet'!$A$192&gt;35,EJ119+EI120-ER119,IF(A120&lt;'Données projet'!$A$192,$EG$205^A120,IF(A120='Données projet'!$A$192,'Données projet'!$B$192,EJ119+EI120-ER119)))</f>
        <v>322.11538461538407</v>
      </c>
      <c r="EK120" s="18">
        <f>EJ120*VLOOKUP('Données projet'!$B$15,Paramètres!$A$1:$I$89,3,0)*VLOOKUP('Données projet'!$B$15,Paramètres!$A$1:$I$89,5,0)</f>
        <v>336.67499999999944</v>
      </c>
      <c r="EL120" s="14">
        <f t="shared" si="99"/>
        <v>78.8125879449194</v>
      </c>
      <c r="EM120" s="22">
        <f t="shared" si="73"/>
        <v>723.64088233740028</v>
      </c>
      <c r="EN120" s="60">
        <f t="shared" si="74"/>
        <v>1016.9742156707337</v>
      </c>
      <c r="EO120" s="60">
        <f ca="1">AVERAGE(OFFSET($EN$3,0,0,'Données projet'!$E$15+1,1))-AVERAGE(OFFSET($H$3,0,0,'Données projet'!$E$15+1,1))</f>
        <v>493.70175665335978</v>
      </c>
      <c r="EP120" s="60">
        <f t="shared" si="100"/>
        <v>325.12357781685949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0" t="e">
        <f t="shared" si="77"/>
        <v>#N/A</v>
      </c>
      <c r="FJ120" s="60" t="e">
        <f ca="1">AVERAGE(OFFSET($FI$3,0,0,'Données projet'!$E$16+1,1))-AVERAGE(OFFSET($H$3,0,0,'Données projet'!$E$16+1,1))</f>
        <v>#N/A</v>
      </c>
      <c r="FK120" s="60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0" t="e">
        <f t="shared" si="80"/>
        <v>#N/A</v>
      </c>
      <c r="GE120" s="60" t="e">
        <f ca="1">AVERAGE(OFFSET($GD$3,0,0,'Données projet'!$E$17+1,1))-AVERAGE(OFFSET($H$3,0,0,'Données projet'!$E$17+1,1))</f>
        <v>#N/A</v>
      </c>
      <c r="GF120" s="60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5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8">
        <f t="shared" si="56"/>
        <v>256.66666666666669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0">
        <f t="shared" si="55"/>
        <v>293.3333333333353</v>
      </c>
      <c r="S121" s="60">
        <f ca="1">AVERAGE(OFFSET($R$3,0,0,'Données projet'!$E$9+1,1))-AVERAGE(OFFSET($H$3,0,0,'Données projet'!$E$9+1,1))</f>
        <v>260.02504691866199</v>
      </c>
      <c r="T121" s="60">
        <f t="shared" si="88"/>
        <v>270.11268336406368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1.7518022776963835</v>
      </c>
      <c r="AA121" s="23">
        <f>EXP(-LN(2)/25)*AA120+(1-EXP(-LN(2)/25))/(LN(2)/25)*Calculateur!V121*Calculateur!X121*VLOOKUP('Données projet'!$B$9,Paramètres!$A$1:$I$89,3,0)*0.475*44/12</f>
        <v>1.4327536953261162</v>
      </c>
      <c r="AB121" s="23">
        <f>EXP(-LN(2)/2)*AB120+(1-EXP(-LN(2)/2))/(LN(2)/2)*V121*Y121*VLOOKUP('Données projet'!$B$9,Paramètres!$A$1:$I$89,3,0)*0.475*44/12</f>
        <v>3.6038505561031364E-13</v>
      </c>
      <c r="AC121" s="24">
        <f t="shared" si="57"/>
        <v>3.1845559730228601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3.7</v>
      </c>
      <c r="AI121" s="14">
        <f>IF('Données projet'!$A$62&gt;35,AI120+AH121-AQ120,IF(A121&lt;'Données projet'!$A$62,$AF$205^A121,IF(A121='Données projet'!$A$62,'Données projet'!$B$62,AI120+AH121-AQ120)))</f>
        <v>295.59999999999951</v>
      </c>
      <c r="AJ121" s="14">
        <f>AI121*VLOOKUP('Données projet'!$B$10,Paramètres!$A$1:$I$89,3,0)*VLOOKUP('Données projet'!$B$10,Paramètres!$A$1:$I$89,5,0)</f>
        <v>299.73839999999956</v>
      </c>
      <c r="AK121" s="14">
        <f t="shared" si="89"/>
        <v>71.121619283394352</v>
      </c>
      <c r="AL121" s="22">
        <f t="shared" si="58"/>
        <v>645.91453358524438</v>
      </c>
      <c r="AM121" s="60">
        <f t="shared" si="59"/>
        <v>939.24786691857776</v>
      </c>
      <c r="AN121" s="60">
        <f ca="1">AVERAGE(OFFSET($AM$3,0,0,'Données projet'!$E$10+1,1))-AVERAGE(OFFSET($H$3,0,0,'Données projet'!$E$10+1,1))</f>
        <v>475.47920969424894</v>
      </c>
      <c r="AO121" s="60">
        <f t="shared" si="90"/>
        <v>271.73544012419364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2.8</v>
      </c>
      <c r="BD121" s="13">
        <f>IF('Données projet'!$A$88&gt;35,BD120+BC121-BL120,IF(A121&lt;'Données projet'!$A$88,$BA$205^A121,IF(A121='Données projet'!$A$88,'Données projet'!$B$88,BD120+BC121-BL120)))</f>
        <v>228.4</v>
      </c>
      <c r="BE121" s="14">
        <f>BD121*VLOOKUP('Données projet'!$B$11,Paramètres!$A$1:$I$89,3,0)*VLOOKUP('Données projet'!$B$11,Paramètres!$A$1:$I$89,5,0)</f>
        <v>206.65631999999997</v>
      </c>
      <c r="BF121" s="14">
        <f t="shared" si="91"/>
        <v>51.20422634371338</v>
      </c>
      <c r="BG121" s="22">
        <f t="shared" si="61"/>
        <v>449.10711821530072</v>
      </c>
      <c r="BH121" s="60">
        <f t="shared" si="62"/>
        <v>742.44045154863397</v>
      </c>
      <c r="BI121" s="60">
        <f ca="1">AVERAGE(OFFSET($BH$3,0,0,'Données projet'!$E$11+1,1))-AVERAGE(OFFSET($H$3,0,0,'Données projet'!$E$11+1,1))</f>
        <v>325.2649384779973</v>
      </c>
      <c r="BJ121" s="60">
        <f t="shared" si="92"/>
        <v>146.70159365068315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1.0231815394945443E-12</v>
      </c>
      <c r="BZ121" s="14">
        <f>BY121*VLOOKUP('Données projet'!$B$12,Paramètres!$A$1:$I$89,3,0)*VLOOKUP('Données projet'!$B$12,Paramètres!$A$1:$I$89,5,0)</f>
        <v>4.5224624045658859E-13</v>
      </c>
      <c r="CA121" s="14">
        <f t="shared" si="93"/>
        <v>5.6995607121061449E-12</v>
      </c>
      <c r="CB121" s="22">
        <f t="shared" si="64"/>
        <v>1.0714397109046761E-11</v>
      </c>
      <c r="CC121" s="60">
        <f t="shared" si="65"/>
        <v>293.333333333344</v>
      </c>
      <c r="CD121" s="60">
        <f ca="1">AVERAGE(OFFSET($CC$3,0,0,'Données projet'!$E$12+1,1))-AVERAGE(OFFSET($H$3,0,0,'Données projet'!$E$12+1,1))</f>
        <v>401.84375324751227</v>
      </c>
      <c r="CE121" s="60">
        <f t="shared" si="94"/>
        <v>350.39368043404164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0.72643461003525378</v>
      </c>
      <c r="CM121" s="23">
        <f>EXP(-LN(2)/2)*CM120+(1-EXP(-LN(2)/2))/(LN(2)/2)*CG121*CJ121*VLOOKUP('Données projet'!$B$12,Paramètres!$A$1:$I$89,3,0)*0.475*44/12</f>
        <v>7.9203353159593013E-14</v>
      </c>
      <c r="CN121" s="24">
        <f t="shared" si="66"/>
        <v>0.72643461003533294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-1.1368683772161603E-13</v>
      </c>
      <c r="CU121" s="18">
        <f>CT121*VLOOKUP('Données projet'!$B$13,Paramètres!$A$1:$I$89,3,0)*VLOOKUP('Données projet'!$B$13,Paramètres!$A$1:$I$89,5,0)</f>
        <v>-6.7984728957526396E-14</v>
      </c>
      <c r="CV121" s="14" t="e">
        <f t="shared" si="95"/>
        <v>#NUM!</v>
      </c>
      <c r="CW121" s="22" t="e">
        <f t="shared" si="67"/>
        <v>#NUM!</v>
      </c>
      <c r="CX121" s="60" t="e">
        <f t="shared" si="68"/>
        <v>#NUM!</v>
      </c>
      <c r="CY121" s="60">
        <f ca="1">AVERAGE(OFFSET($CX$3,0,0,'Données projet'!$E$13+1,1))-AVERAGE(OFFSET($H$3,0,0,'Données projet'!$E$13+1,1))</f>
        <v>232.73140429491525</v>
      </c>
      <c r="CZ121" s="60">
        <f t="shared" si="96"/>
        <v>201.02719152328638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0.69409677837922135</v>
      </c>
      <c r="DH121" s="23">
        <f>EXP(-LN(2)/2)*DH120+(1-EXP(-LN(2)/2))/(LN(2)/2)*DB121*DE121*VLOOKUP('Données projet'!$B$13,Paramètres!$A$1:$I$89,3,0)*0.475*44/12</f>
        <v>1.7501079647232847E-13</v>
      </c>
      <c r="DI121" s="24">
        <f t="shared" si="69"/>
        <v>0.69409677837939632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2.4999999999999973</v>
      </c>
      <c r="DO121" s="13">
        <f>IF('Données projet'!$A$166&gt;35,DO120+DN121-DW120,IF(A121&lt;'Données projet'!$A$166,$DL$205^A121,IF(A121='Données projet'!$A$166,'Données projet'!$B$166,DO120+DN121-DW120)))</f>
        <v>212.94871794871793</v>
      </c>
      <c r="DP121" s="18">
        <f>DO121*VLOOKUP('Données projet'!$B$14,Paramètres!$A$1:$I$89,3,0)*VLOOKUP('Données projet'!$B$14,Paramètres!$A$1:$I$89,5,0)</f>
        <v>202.642</v>
      </c>
      <c r="DQ121" s="14">
        <f t="shared" si="97"/>
        <v>50.324355136871226</v>
      </c>
      <c r="DR121" s="22">
        <f t="shared" si="70"/>
        <v>440.5830685300507</v>
      </c>
      <c r="DS121" s="60">
        <f t="shared" si="71"/>
        <v>733.91640186338395</v>
      </c>
      <c r="DT121" s="60">
        <f ca="1">AVERAGE(OFFSET($DS$3,0,0,'Données projet'!$E$14+1,1))-AVERAGE(OFFSET($H$3,0,0,'Données projet'!$E$14+1,1))</f>
        <v>302.15577364214136</v>
      </c>
      <c r="DU121" s="60">
        <f t="shared" si="98"/>
        <v>197.15142751137051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2.8846153846153868</v>
      </c>
      <c r="EJ121" s="13">
        <f>IF('Données projet'!$A$192&gt;35,EJ120+EI121-ER120,IF(A121&lt;'Données projet'!$A$192,$EG$205^A121,IF(A121='Données projet'!$A$192,'Données projet'!$B$192,EJ120+EI121-ER120)))</f>
        <v>324.99999999999943</v>
      </c>
      <c r="EK121" s="18">
        <f>EJ121*VLOOKUP('Données projet'!$B$15,Paramètres!$A$1:$I$89,3,0)*VLOOKUP('Données projet'!$B$15,Paramètres!$A$1:$I$89,5,0)</f>
        <v>339.68999999999943</v>
      </c>
      <c r="EL121" s="14">
        <f t="shared" si="99"/>
        <v>79.435895059237467</v>
      </c>
      <c r="EM121" s="22">
        <f t="shared" si="73"/>
        <v>729.97760056150412</v>
      </c>
      <c r="EN121" s="60">
        <f t="shared" si="74"/>
        <v>1023.3109338948375</v>
      </c>
      <c r="EO121" s="60">
        <f ca="1">AVERAGE(OFFSET($EN$3,0,0,'Données projet'!$E$15+1,1))-AVERAGE(OFFSET($H$3,0,0,'Données projet'!$E$15+1,1))</f>
        <v>493.70175665335978</v>
      </c>
      <c r="EP121" s="60">
        <f t="shared" si="100"/>
        <v>325.12357781685949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0" t="e">
        <f t="shared" si="77"/>
        <v>#N/A</v>
      </c>
      <c r="FJ121" s="60" t="e">
        <f ca="1">AVERAGE(OFFSET($FI$3,0,0,'Données projet'!$E$16+1,1))-AVERAGE(OFFSET($H$3,0,0,'Données projet'!$E$16+1,1))</f>
        <v>#N/A</v>
      </c>
      <c r="FK121" s="60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0" t="e">
        <f t="shared" si="80"/>
        <v>#N/A</v>
      </c>
      <c r="GE121" s="60" t="e">
        <f ca="1">AVERAGE(OFFSET($GD$3,0,0,'Données projet'!$E$17+1,1))-AVERAGE(OFFSET($H$3,0,0,'Données projet'!$E$17+1,1))</f>
        <v>#N/A</v>
      </c>
      <c r="GF121" s="60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5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8">
        <f t="shared" si="56"/>
        <v>256.66666666666669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0">
        <f t="shared" si="55"/>
        <v>293.3333333333353</v>
      </c>
      <c r="S122" s="60">
        <f ca="1">AVERAGE(OFFSET($R$3,0,0,'Données projet'!$E$9+1,1))-AVERAGE(OFFSET($H$3,0,0,'Données projet'!$E$9+1,1))</f>
        <v>260.02504691866199</v>
      </c>
      <c r="T122" s="60">
        <f t="shared" si="88"/>
        <v>270.11268336406368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1.7174505035246419</v>
      </c>
      <c r="AA122" s="23">
        <f>EXP(-LN(2)/25)*AA121+(1-EXP(-LN(2)/25))/(LN(2)/25)*Calculateur!V122*Calculateur!X122*VLOOKUP('Données projet'!$B$9,Paramètres!$A$1:$I$89,3,0)*0.475*44/12</f>
        <v>1.3935749701821813</v>
      </c>
      <c r="AB122" s="23">
        <f>EXP(-LN(2)/2)*AB121+(1-EXP(-LN(2)/2))/(LN(2)/2)*V122*Y122*VLOOKUP('Données projet'!$B$9,Paramètres!$A$1:$I$89,3,0)*0.475*44/12</f>
        <v>2.5483071666034381E-13</v>
      </c>
      <c r="AC122" s="24">
        <f t="shared" si="57"/>
        <v>3.1110254737070782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3.7</v>
      </c>
      <c r="AI122" s="14">
        <f>IF('Données projet'!$A$62&gt;35,AI121+AH122-AQ121,IF(A122&lt;'Données projet'!$A$62,$AF$205^A122,IF(A122='Données projet'!$A$62,'Données projet'!$B$62,AI121+AH122-AQ121)))</f>
        <v>299.2999999999995</v>
      </c>
      <c r="AJ122" s="14">
        <f>AI122*VLOOKUP('Données projet'!$B$10,Paramètres!$A$1:$I$89,3,0)*VLOOKUP('Données projet'!$B$10,Paramètres!$A$1:$I$89,5,0)</f>
        <v>303.4901999999995</v>
      </c>
      <c r="AK122" s="14">
        <f t="shared" si="89"/>
        <v>71.907650167874138</v>
      </c>
      <c r="AL122" s="22">
        <f t="shared" si="58"/>
        <v>653.81792237571324</v>
      </c>
      <c r="AM122" s="60">
        <f t="shared" si="59"/>
        <v>947.15125570904661</v>
      </c>
      <c r="AN122" s="60">
        <f ca="1">AVERAGE(OFFSET($AM$3,0,0,'Données projet'!$E$10+1,1))-AVERAGE(OFFSET($H$3,0,0,'Données projet'!$E$10+1,1))</f>
        <v>475.47920969424894</v>
      </c>
      <c r="AO122" s="60">
        <f t="shared" si="90"/>
        <v>271.73544012419364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2.8</v>
      </c>
      <c r="BD122" s="13">
        <f>IF('Données projet'!$A$88&gt;35,BD121+BC122-BL121,IF(A122&lt;'Données projet'!$A$88,$BA$205^A122,IF(A122='Données projet'!$A$88,'Données projet'!$B$88,BD121+BC122-BL121)))</f>
        <v>231.20000000000002</v>
      </c>
      <c r="BE122" s="14">
        <f>BD122*VLOOKUP('Données projet'!$B$11,Paramètres!$A$1:$I$89,3,0)*VLOOKUP('Données projet'!$B$11,Paramètres!$A$1:$I$89,5,0)</f>
        <v>209.18976000000001</v>
      </c>
      <c r="BF122" s="14">
        <f t="shared" si="91"/>
        <v>51.758488057028018</v>
      </c>
      <c r="BG122" s="22">
        <f t="shared" si="61"/>
        <v>454.4848653659904</v>
      </c>
      <c r="BH122" s="60">
        <f t="shared" si="62"/>
        <v>747.81819869932372</v>
      </c>
      <c r="BI122" s="60">
        <f ca="1">AVERAGE(OFFSET($BH$3,0,0,'Données projet'!$E$11+1,1))-AVERAGE(OFFSET($H$3,0,0,'Données projet'!$E$11+1,1))</f>
        <v>325.2649384779973</v>
      </c>
      <c r="BJ122" s="60">
        <f t="shared" si="92"/>
        <v>146.70159365068315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1.0231815394945443E-12</v>
      </c>
      <c r="BZ122" s="14">
        <f>BY122*VLOOKUP('Données projet'!$B$12,Paramètres!$A$1:$I$89,3,0)*VLOOKUP('Données projet'!$B$12,Paramètres!$A$1:$I$89,5,0)</f>
        <v>4.5224624045658859E-13</v>
      </c>
      <c r="CA122" s="14">
        <f t="shared" si="93"/>
        <v>5.6995607121061449E-12</v>
      </c>
      <c r="CB122" s="22">
        <f t="shared" si="64"/>
        <v>1.0714397109046761E-11</v>
      </c>
      <c r="CC122" s="60">
        <f t="shared" si="65"/>
        <v>293.333333333344</v>
      </c>
      <c r="CD122" s="60">
        <f ca="1">AVERAGE(OFFSET($CC$3,0,0,'Données projet'!$E$12+1,1))-AVERAGE(OFFSET($H$3,0,0,'Données projet'!$E$12+1,1))</f>
        <v>401.84375324751227</v>
      </c>
      <c r="CE122" s="60">
        <f t="shared" si="94"/>
        <v>350.39368043404164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0.70657021742230386</v>
      </c>
      <c r="CM122" s="23">
        <f>EXP(-LN(2)/2)*CM121+(1-EXP(-LN(2)/2))/(LN(2)/2)*CG122*CJ122*VLOOKUP('Données projet'!$B$12,Paramètres!$A$1:$I$89,3,0)*0.475*44/12</f>
        <v>5.600522811186119E-14</v>
      </c>
      <c r="CN122" s="24">
        <f t="shared" si="66"/>
        <v>0.70657021742235981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-1.1368683772161603E-13</v>
      </c>
      <c r="CU122" s="18">
        <f>CT122*VLOOKUP('Données projet'!$B$13,Paramètres!$A$1:$I$89,3,0)*VLOOKUP('Données projet'!$B$13,Paramètres!$A$1:$I$89,5,0)</f>
        <v>-6.7984728957526396E-14</v>
      </c>
      <c r="CV122" s="14" t="e">
        <f t="shared" si="95"/>
        <v>#NUM!</v>
      </c>
      <c r="CW122" s="22" t="e">
        <f t="shared" si="67"/>
        <v>#NUM!</v>
      </c>
      <c r="CX122" s="60" t="e">
        <f t="shared" si="68"/>
        <v>#NUM!</v>
      </c>
      <c r="CY122" s="60">
        <f ca="1">AVERAGE(OFFSET($CX$3,0,0,'Données projet'!$E$13+1,1))-AVERAGE(OFFSET($H$3,0,0,'Données projet'!$E$13+1,1))</f>
        <v>232.73140429491525</v>
      </c>
      <c r="CZ122" s="60">
        <f t="shared" si="96"/>
        <v>201.02719152328638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0.67511666547347837</v>
      </c>
      <c r="DH122" s="23">
        <f>EXP(-LN(2)/2)*DH121+(1-EXP(-LN(2)/2))/(LN(2)/2)*DB122*DE122*VLOOKUP('Données projet'!$B$13,Paramètres!$A$1:$I$89,3,0)*0.475*44/12</f>
        <v>1.2375132096644217E-13</v>
      </c>
      <c r="DI122" s="24">
        <f t="shared" si="69"/>
        <v>0.67511666547360216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2.4999999999999973</v>
      </c>
      <c r="DO122" s="13">
        <f>IF('Données projet'!$A$166&gt;35,DO121+DN122-DW121,IF(A122&lt;'Données projet'!$A$166,$DL$205^A122,IF(A122='Données projet'!$A$166,'Données projet'!$B$166,DO121+DN122-DW121)))</f>
        <v>215.44871794871793</v>
      </c>
      <c r="DP122" s="18">
        <f>DO122*VLOOKUP('Données projet'!$B$14,Paramètres!$A$1:$I$89,3,0)*VLOOKUP('Données projet'!$B$14,Paramètres!$A$1:$I$89,5,0)</f>
        <v>205.02099999999996</v>
      </c>
      <c r="DQ122" s="14">
        <f t="shared" si="97"/>
        <v>50.846034137296975</v>
      </c>
      <c r="DR122" s="22">
        <f t="shared" si="70"/>
        <v>445.63508445579214</v>
      </c>
      <c r="DS122" s="60">
        <f t="shared" si="71"/>
        <v>738.9684177891254</v>
      </c>
      <c r="DT122" s="60">
        <f ca="1">AVERAGE(OFFSET($DS$3,0,0,'Données projet'!$E$14+1,1))-AVERAGE(OFFSET($H$3,0,0,'Données projet'!$E$14+1,1))</f>
        <v>302.15577364214136</v>
      </c>
      <c r="DU122" s="60">
        <f t="shared" si="98"/>
        <v>197.15142751137051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2.8846153846153868</v>
      </c>
      <c r="EJ122" s="13">
        <f>IF('Données projet'!$A$192&gt;35,EJ121+EI122-ER121,IF(A122&lt;'Données projet'!$A$192,$EG$205^A122,IF(A122='Données projet'!$A$192,'Données projet'!$B$192,EJ121+EI122-ER121)))</f>
        <v>327.88461538461479</v>
      </c>
      <c r="EK122" s="18">
        <f>EJ122*VLOOKUP('Données projet'!$B$15,Paramètres!$A$1:$I$89,3,0)*VLOOKUP('Données projet'!$B$15,Paramètres!$A$1:$I$89,5,0)</f>
        <v>342.70499999999942</v>
      </c>
      <c r="EL122" s="14">
        <f t="shared" si="99"/>
        <v>80.058558536074614</v>
      </c>
      <c r="EM122" s="22">
        <f t="shared" si="73"/>
        <v>736.31319778366208</v>
      </c>
      <c r="EN122" s="60">
        <f t="shared" si="74"/>
        <v>1029.6465311169954</v>
      </c>
      <c r="EO122" s="60">
        <f ca="1">AVERAGE(OFFSET($EN$3,0,0,'Données projet'!$E$15+1,1))-AVERAGE(OFFSET($H$3,0,0,'Données projet'!$E$15+1,1))</f>
        <v>493.70175665335978</v>
      </c>
      <c r="EP122" s="60">
        <f t="shared" si="100"/>
        <v>325.12357781685949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0" t="e">
        <f t="shared" si="77"/>
        <v>#N/A</v>
      </c>
      <c r="FJ122" s="60" t="e">
        <f ca="1">AVERAGE(OFFSET($FI$3,0,0,'Données projet'!$E$16+1,1))-AVERAGE(OFFSET($H$3,0,0,'Données projet'!$E$16+1,1))</f>
        <v>#N/A</v>
      </c>
      <c r="FK122" s="60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0" t="e">
        <f t="shared" si="80"/>
        <v>#N/A</v>
      </c>
      <c r="GE122" s="60" t="e">
        <f ca="1">AVERAGE(OFFSET($GD$3,0,0,'Données projet'!$E$17+1,1))-AVERAGE(OFFSET($H$3,0,0,'Données projet'!$E$17+1,1))</f>
        <v>#N/A</v>
      </c>
      <c r="GF122" s="60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5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8">
        <f t="shared" si="56"/>
        <v>256.66666666666669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0">
        <f t="shared" si="55"/>
        <v>293.3333333333353</v>
      </c>
      <c r="S123" s="60">
        <f ca="1">AVERAGE(OFFSET($R$3,0,0,'Données projet'!$E$9+1,1))-AVERAGE(OFFSET($H$3,0,0,'Données projet'!$E$9+1,1))</f>
        <v>260.02504691866199</v>
      </c>
      <c r="T123" s="60">
        <f t="shared" si="88"/>
        <v>270.11268336406368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1.6837723466918948</v>
      </c>
      <c r="AA123" s="23">
        <f>EXP(-LN(2)/25)*AA122+(1-EXP(-LN(2)/25))/(LN(2)/25)*Calculateur!V123*Calculateur!X123*VLOOKUP('Données projet'!$B$9,Paramètres!$A$1:$I$89,3,0)*0.475*44/12</f>
        <v>1.3554675893376269</v>
      </c>
      <c r="AB123" s="23">
        <f>EXP(-LN(2)/2)*AB122+(1-EXP(-LN(2)/2))/(LN(2)/2)*V123*Y123*VLOOKUP('Données projet'!$B$9,Paramètres!$A$1:$I$89,3,0)*0.475*44/12</f>
        <v>1.8019252780515682E-13</v>
      </c>
      <c r="AC123" s="24">
        <f t="shared" si="57"/>
        <v>3.039239936029702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303</v>
      </c>
      <c r="AG123" s="13">
        <f>VLOOKUP(A123,'Données projet'!$A$61:$I$81,9,0)</f>
        <v>3.7</v>
      </c>
      <c r="AH123" s="13">
        <f t="array" ref="AH123">INDEX(AG:AG,MIN(IF(ISNUMBER(AG123:AG319),ROW(AG123:AG319),"")))</f>
        <v>3.7</v>
      </c>
      <c r="AI123" s="14">
        <f>IF('Données projet'!$A$62&gt;35,AI122+AH123-AQ122,IF(A123&lt;'Données projet'!$A$62,$AF$205^A123,IF(A123='Données projet'!$A$62,'Données projet'!$B$62,AI122+AH123-AQ122)))</f>
        <v>302.99999999999949</v>
      </c>
      <c r="AJ123" s="14">
        <f>AI123*VLOOKUP('Données projet'!$B$10,Paramètres!$A$1:$I$89,3,0)*VLOOKUP('Données projet'!$B$10,Paramètres!$A$1:$I$89,5,0)</f>
        <v>307.24199999999951</v>
      </c>
      <c r="AK123" s="14">
        <f t="shared" si="89"/>
        <v>72.692550770207717</v>
      </c>
      <c r="AL123" s="22">
        <f t="shared" si="58"/>
        <v>661.71934259144427</v>
      </c>
      <c r="AM123" s="60">
        <f t="shared" si="59"/>
        <v>955.05267592477753</v>
      </c>
      <c r="AN123" s="60">
        <f ca="1">AVERAGE(OFFSET($AM$3,0,0,'Données projet'!$E$10+1,1))-AVERAGE(OFFSET($H$3,0,0,'Données projet'!$E$10+1,1))</f>
        <v>475.47920969424894</v>
      </c>
      <c r="AO123" s="60">
        <f t="shared" si="90"/>
        <v>271.73544012419364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35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234</v>
      </c>
      <c r="BB123" s="13">
        <f>VLOOKUP(A123,'Données projet'!$A$87:$I$107,9,0)</f>
        <v>2.8</v>
      </c>
      <c r="BC123" s="13">
        <f t="array" ref="BC123">INDEX(BB:BB,MIN(IF(ISNUMBER(BB123:BB319),ROW(BB123:BB319),"")))</f>
        <v>2.8</v>
      </c>
      <c r="BD123" s="13">
        <f>IF('Données projet'!$A$88&gt;35,BD122+BC123-BL122,IF(A123&lt;'Données projet'!$A$88,$BA$205^A123,IF(A123='Données projet'!$A$88,'Données projet'!$B$88,BD122+BC123-BL122)))</f>
        <v>234.00000000000003</v>
      </c>
      <c r="BE123" s="14">
        <f>BD123*VLOOKUP('Données projet'!$B$11,Paramètres!$A$1:$I$89,3,0)*VLOOKUP('Données projet'!$B$11,Paramètres!$A$1:$I$89,5,0)</f>
        <v>211.72319999999999</v>
      </c>
      <c r="BF123" s="14">
        <f t="shared" si="91"/>
        <v>52.311968964212078</v>
      </c>
      <c r="BG123" s="22">
        <f t="shared" si="61"/>
        <v>459.86125261266926</v>
      </c>
      <c r="BH123" s="60">
        <f t="shared" si="62"/>
        <v>753.19458594600258</v>
      </c>
      <c r="BI123" s="60">
        <f ca="1">AVERAGE(OFFSET($BH$3,0,0,'Données projet'!$E$11+1,1))-AVERAGE(OFFSET($H$3,0,0,'Données projet'!$E$11+1,1))</f>
        <v>325.2649384779973</v>
      </c>
      <c r="BJ123" s="60">
        <f t="shared" si="92"/>
        <v>146.70159365068315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25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1.0231815394945443E-12</v>
      </c>
      <c r="BZ123" s="14">
        <f>BY123*VLOOKUP('Données projet'!$B$12,Paramètres!$A$1:$I$89,3,0)*VLOOKUP('Données projet'!$B$12,Paramètres!$A$1:$I$89,5,0)</f>
        <v>4.5224624045658859E-13</v>
      </c>
      <c r="CA123" s="14">
        <f t="shared" si="93"/>
        <v>5.6995607121061449E-12</v>
      </c>
      <c r="CB123" s="22">
        <f t="shared" si="64"/>
        <v>1.0714397109046761E-11</v>
      </c>
      <c r="CC123" s="60">
        <f t="shared" si="65"/>
        <v>293.333333333344</v>
      </c>
      <c r="CD123" s="60">
        <f ca="1">AVERAGE(OFFSET($CC$3,0,0,'Données projet'!$E$12+1,1))-AVERAGE(OFFSET($H$3,0,0,'Données projet'!$E$12+1,1))</f>
        <v>401.84375324751227</v>
      </c>
      <c r="CE123" s="60">
        <f t="shared" si="94"/>
        <v>350.39368043404164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0.68724901766997815</v>
      </c>
      <c r="CM123" s="23">
        <f>EXP(-LN(2)/2)*CM122+(1-EXP(-LN(2)/2))/(LN(2)/2)*CG123*CJ123*VLOOKUP('Données projet'!$B$12,Paramètres!$A$1:$I$89,3,0)*0.475*44/12</f>
        <v>3.9601676579796513E-14</v>
      </c>
      <c r="CN123" s="24">
        <f t="shared" si="66"/>
        <v>0.68724901767001778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-1.1368683772161603E-13</v>
      </c>
      <c r="CU123" s="18">
        <f>CT123*VLOOKUP('Données projet'!$B$13,Paramètres!$A$1:$I$89,3,0)*VLOOKUP('Données projet'!$B$13,Paramètres!$A$1:$I$89,5,0)</f>
        <v>-6.7984728957526396E-14</v>
      </c>
      <c r="CV123" s="14" t="e">
        <f t="shared" si="95"/>
        <v>#NUM!</v>
      </c>
      <c r="CW123" s="22" t="e">
        <f t="shared" si="67"/>
        <v>#NUM!</v>
      </c>
      <c r="CX123" s="60" t="e">
        <f t="shared" si="68"/>
        <v>#NUM!</v>
      </c>
      <c r="CY123" s="60">
        <f ca="1">AVERAGE(OFFSET($CX$3,0,0,'Données projet'!$E$13+1,1))-AVERAGE(OFFSET($H$3,0,0,'Données projet'!$E$13+1,1))</f>
        <v>232.73140429491525</v>
      </c>
      <c r="CZ123" s="60">
        <f t="shared" si="96"/>
        <v>201.02719152328638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0.6566555647532637</v>
      </c>
      <c r="DH123" s="23">
        <f>EXP(-LN(2)/2)*DH122+(1-EXP(-LN(2)/2))/(LN(2)/2)*DB123*DE123*VLOOKUP('Données projet'!$B$13,Paramètres!$A$1:$I$89,3,0)*0.475*44/12</f>
        <v>8.7505398236164236E-14</v>
      </c>
      <c r="DI123" s="24">
        <f t="shared" si="69"/>
        <v>0.65665556475335118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>
        <f>VLOOKUP(A123,'Données projet'!$A$165:$I$185,2,0)</f>
        <v>217.94871794871793</v>
      </c>
      <c r="DM123" s="13">
        <f>VLOOKUP(A123,'Données projet'!$A$165:$I$185,9,0)</f>
        <v>2.4999999999999973</v>
      </c>
      <c r="DN123" s="13">
        <f t="array" ref="DN123">INDEX(DM:DM,MIN(IF(ISNUMBER(DM123:DM319),ROW(DM123:DM319),"")))</f>
        <v>2.4999999999999973</v>
      </c>
      <c r="DO123" s="13">
        <f>IF('Données projet'!$A$166&gt;35,DO122+DN123-DW122,IF(A123&lt;'Données projet'!$A$166,$DL$205^A123,IF(A123='Données projet'!$A$166,'Données projet'!$B$166,DO122+DN123-DW122)))</f>
        <v>217.94871794871793</v>
      </c>
      <c r="DP123" s="18">
        <f>DO123*VLOOKUP('Données projet'!$B$14,Paramètres!$A$1:$I$89,3,0)*VLOOKUP('Données projet'!$B$14,Paramètres!$A$1:$I$89,5,0)</f>
        <v>207.39999999999998</v>
      </c>
      <c r="DQ123" s="14">
        <f t="shared" si="97"/>
        <v>51.367008980763949</v>
      </c>
      <c r="DR123" s="22">
        <f t="shared" si="70"/>
        <v>450.68587397483049</v>
      </c>
      <c r="DS123" s="60">
        <f t="shared" si="71"/>
        <v>744.0192073081638</v>
      </c>
      <c r="DT123" s="60">
        <f ca="1">AVERAGE(OFFSET($DS$3,0,0,'Données projet'!$E$14+1,1))-AVERAGE(OFFSET($H$3,0,0,'Données projet'!$E$14+1,1))</f>
        <v>302.15577364214136</v>
      </c>
      <c r="DU123" s="60">
        <f t="shared" si="98"/>
        <v>197.15142751137051</v>
      </c>
      <c r="DV123" s="16">
        <f>IF(ISNA(VLOOKUP(A123,'Données projet'!$A$165:$I$185,3,0)),0,VLOOKUP(A123,'Données projet'!$A$165:$I$185,3,0))</f>
        <v>10</v>
      </c>
      <c r="DW123" s="16">
        <f>IF(ISNA(VLOOKUP(A123,'Données projet'!$A$165:$I$185,4,0)),0,VLOOKUP(A123,'Données projet'!$A$165:$I$185,4,0))</f>
        <v>217.94871794871793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projet'!$A$191:$I$211,2,0)</f>
        <v>330.76923076923077</v>
      </c>
      <c r="EH123" s="13">
        <f>VLOOKUP(A123,'Données projet'!$A$191:$I$211,9,0)</f>
        <v>2.8846153846153868</v>
      </c>
      <c r="EI123" s="13">
        <f t="array" ref="EI123">INDEX(EH:EH,MIN(IF(ISNUMBER(EH123:EH319),ROW(EH123:EH319),"")))</f>
        <v>2.8846153846153868</v>
      </c>
      <c r="EJ123" s="13">
        <f>IF('Données projet'!$A$192&gt;35,EJ122+EI123-ER122,IF(A123&lt;'Données projet'!$A$192,$EG$205^A123,IF(A123='Données projet'!$A$192,'Données projet'!$B$192,EJ122+EI123-ER122)))</f>
        <v>330.76923076923015</v>
      </c>
      <c r="EK123" s="18">
        <f>EJ123*VLOOKUP('Données projet'!$B$15,Paramètres!$A$1:$I$89,3,0)*VLOOKUP('Données projet'!$B$15,Paramètres!$A$1:$I$89,5,0)</f>
        <v>345.7199999999994</v>
      </c>
      <c r="EL123" s="14">
        <f t="shared" si="99"/>
        <v>80.6805846939736</v>
      </c>
      <c r="EM123" s="22">
        <f t="shared" si="73"/>
        <v>742.64768500866955</v>
      </c>
      <c r="EN123" s="60">
        <f t="shared" si="74"/>
        <v>1035.9810183420029</v>
      </c>
      <c r="EO123" s="60">
        <f ca="1">AVERAGE(OFFSET($EN$3,0,0,'Données projet'!$E$15+1,1))-AVERAGE(OFFSET($H$3,0,0,'Données projet'!$E$15+1,1))</f>
        <v>493.70175665335978</v>
      </c>
      <c r="EP123" s="60">
        <f t="shared" si="100"/>
        <v>325.12357781685949</v>
      </c>
      <c r="EQ123" s="16">
        <f>IF(ISNA(VLOOKUP(A123,'Données projet'!$A$191:$I$211,3,0)),0,VLOOKUP(A123,'Données projet'!$A$191:$I$211,3,0))</f>
        <v>10</v>
      </c>
      <c r="ER123" s="16">
        <f>IF(ISNA(VLOOKUP(A123,'Données projet'!$A$191:$I$211,4,0)),0,VLOOKUP(A123,'Données projet'!$A$191:$I$211,4,0))</f>
        <v>17.948717948717949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0" t="e">
        <f t="shared" si="77"/>
        <v>#N/A</v>
      </c>
      <c r="FJ123" s="60" t="e">
        <f ca="1">AVERAGE(OFFSET($FI$3,0,0,'Données projet'!$E$16+1,1))-AVERAGE(OFFSET($H$3,0,0,'Données projet'!$E$16+1,1))</f>
        <v>#N/A</v>
      </c>
      <c r="FK123" s="60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0" t="e">
        <f t="shared" si="80"/>
        <v>#N/A</v>
      </c>
      <c r="GE123" s="60" t="e">
        <f ca="1">AVERAGE(OFFSET($GD$3,0,0,'Données projet'!$E$17+1,1))-AVERAGE(OFFSET($H$3,0,0,'Données projet'!$E$17+1,1))</f>
        <v>#N/A</v>
      </c>
      <c r="GF123" s="60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5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8">
        <f t="shared" si="56"/>
        <v>256.66666666666669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0">
        <f t="shared" si="55"/>
        <v>293.3333333333353</v>
      </c>
      <c r="S124" s="60">
        <f ca="1">AVERAGE(OFFSET($R$3,0,0,'Données projet'!$E$9+1,1))-AVERAGE(OFFSET($H$3,0,0,'Données projet'!$E$9+1,1))</f>
        <v>260.02504691866199</v>
      </c>
      <c r="T124" s="60">
        <f t="shared" si="88"/>
        <v>270.11268336406368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1.6507545979729905</v>
      </c>
      <c r="AA124" s="23">
        <f>EXP(-LN(2)/25)*AA123+(1-EXP(-LN(2)/25))/(LN(2)/25)*Calculateur!V124*Calculateur!X124*VLOOKUP('Données projet'!$B$9,Paramètres!$A$1:$I$89,3,0)*0.475*44/12</f>
        <v>1.318402256826247</v>
      </c>
      <c r="AB124" s="23">
        <f>EXP(-LN(2)/2)*AB123+(1-EXP(-LN(2)/2))/(LN(2)/2)*V124*Y124*VLOOKUP('Données projet'!$B$9,Paramètres!$A$1:$I$89,3,0)*0.475*44/12</f>
        <v>1.274153583301719E-13</v>
      </c>
      <c r="AC124" s="24">
        <f t="shared" si="57"/>
        <v>2.969156854799365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3.2</v>
      </c>
      <c r="AI124" s="14">
        <f>IF('Données projet'!$A$62&gt;35,AI123+AH124-AQ123,IF(A124&lt;'Données projet'!$A$62,$AF$205^A124,IF(A124='Données projet'!$A$62,'Données projet'!$B$62,AI123+AH124-AQ123)))</f>
        <v>271.19999999999948</v>
      </c>
      <c r="AJ124" s="14">
        <f>AI124*VLOOKUP('Données projet'!$B$10,Paramètres!$A$1:$I$89,3,0)*VLOOKUP('Données projet'!$B$10,Paramètres!$A$1:$I$89,5,0)</f>
        <v>274.9967999999995</v>
      </c>
      <c r="AK124" s="14">
        <f t="shared" si="89"/>
        <v>65.908581953881495</v>
      </c>
      <c r="AL124" s="22">
        <f t="shared" si="58"/>
        <v>593.74354023634271</v>
      </c>
      <c r="AM124" s="60">
        <f t="shared" si="59"/>
        <v>887.07687356967608</v>
      </c>
      <c r="AN124" s="60">
        <f ca="1">AVERAGE(OFFSET($AM$3,0,0,'Données projet'!$E$10+1,1))-AVERAGE(OFFSET($H$3,0,0,'Données projet'!$E$10+1,1))</f>
        <v>475.47920969424894</v>
      </c>
      <c r="AO124" s="60">
        <f t="shared" si="90"/>
        <v>271.73544012419364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2.2000000000000002</v>
      </c>
      <c r="BD124" s="13">
        <f>IF('Données projet'!$A$88&gt;35,BD123+BC124-BL123,IF(A124&lt;'Données projet'!$A$88,$BA$205^A124,IF(A124='Données projet'!$A$88,'Données projet'!$B$88,BD123+BC124-BL123)))</f>
        <v>211.20000000000002</v>
      </c>
      <c r="BE124" s="14">
        <f>BD124*VLOOKUP('Données projet'!$B$11,Paramètres!$A$1:$I$89,3,0)*VLOOKUP('Données projet'!$B$11,Paramètres!$A$1:$I$89,5,0)</f>
        <v>191.09376</v>
      </c>
      <c r="BF124" s="14">
        <f t="shared" si="91"/>
        <v>47.781686814164104</v>
      </c>
      <c r="BG124" s="22">
        <f t="shared" si="61"/>
        <v>416.04140320133575</v>
      </c>
      <c r="BH124" s="60">
        <f t="shared" si="62"/>
        <v>709.37473653466907</v>
      </c>
      <c r="BI124" s="60">
        <f ca="1">AVERAGE(OFFSET($BH$3,0,0,'Données projet'!$E$11+1,1))-AVERAGE(OFFSET($H$3,0,0,'Données projet'!$E$11+1,1))</f>
        <v>325.2649384779973</v>
      </c>
      <c r="BJ124" s="60">
        <f t="shared" si="92"/>
        <v>146.70159365068315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1.0231815394945443E-12</v>
      </c>
      <c r="BZ124" s="14">
        <f>BY124*VLOOKUP('Données projet'!$B$12,Paramètres!$A$1:$I$89,3,0)*VLOOKUP('Données projet'!$B$12,Paramètres!$A$1:$I$89,5,0)</f>
        <v>4.5224624045658859E-13</v>
      </c>
      <c r="CA124" s="14">
        <f t="shared" si="93"/>
        <v>5.6995607121061449E-12</v>
      </c>
      <c r="CB124" s="22">
        <f t="shared" si="64"/>
        <v>1.0714397109046761E-11</v>
      </c>
      <c r="CC124" s="60">
        <f t="shared" si="65"/>
        <v>293.333333333344</v>
      </c>
      <c r="CD124" s="60">
        <f ca="1">AVERAGE(OFFSET($CC$3,0,0,'Données projet'!$E$12+1,1))-AVERAGE(OFFSET($H$3,0,0,'Données projet'!$E$12+1,1))</f>
        <v>401.84375324751227</v>
      </c>
      <c r="CE124" s="60">
        <f t="shared" si="94"/>
        <v>350.39368043404164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0.66845615714093753</v>
      </c>
      <c r="CM124" s="23">
        <f>EXP(-LN(2)/2)*CM123+(1-EXP(-LN(2)/2))/(LN(2)/2)*CG124*CJ124*VLOOKUP('Données projet'!$B$12,Paramètres!$A$1:$I$89,3,0)*0.475*44/12</f>
        <v>2.8002614055930598E-14</v>
      </c>
      <c r="CN124" s="24">
        <f t="shared" si="66"/>
        <v>0.66845615714096551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-1.1368683772161603E-13</v>
      </c>
      <c r="CU124" s="18">
        <f>CT124*VLOOKUP('Données projet'!$B$13,Paramètres!$A$1:$I$89,3,0)*VLOOKUP('Données projet'!$B$13,Paramètres!$A$1:$I$89,5,0)</f>
        <v>-6.7984728957526396E-14</v>
      </c>
      <c r="CV124" s="14" t="e">
        <f t="shared" si="95"/>
        <v>#NUM!</v>
      </c>
      <c r="CW124" s="22" t="e">
        <f t="shared" si="67"/>
        <v>#NUM!</v>
      </c>
      <c r="CX124" s="60" t="e">
        <f t="shared" si="68"/>
        <v>#NUM!</v>
      </c>
      <c r="CY124" s="60">
        <f ca="1">AVERAGE(OFFSET($CX$3,0,0,'Données projet'!$E$13+1,1))-AVERAGE(OFFSET($H$3,0,0,'Données projet'!$E$13+1,1))</f>
        <v>232.73140429491525</v>
      </c>
      <c r="CZ124" s="60">
        <f t="shared" si="96"/>
        <v>201.02719152328638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0.63869928380307039</v>
      </c>
      <c r="DH124" s="23">
        <f>EXP(-LN(2)/2)*DH123+(1-EXP(-LN(2)/2))/(LN(2)/2)*DB124*DE124*VLOOKUP('Données projet'!$B$13,Paramètres!$A$1:$I$89,3,0)*0.475*44/12</f>
        <v>6.1875660483221086E-14</v>
      </c>
      <c r="DI124" s="24">
        <f t="shared" si="69"/>
        <v>0.63869928380313223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>
        <f>DO124*VLOOKUP('Données projet'!$B$14,Paramètres!$A$1:$I$89,3,0)*VLOOKUP('Données projet'!$B$14,Paramètres!$A$1:$I$89,5,0)</f>
        <v>0</v>
      </c>
      <c r="DQ124" s="14" t="e">
        <f t="shared" si="97"/>
        <v>#NUM!</v>
      </c>
      <c r="DR124" s="22" t="e">
        <f t="shared" si="70"/>
        <v>#NUM!</v>
      </c>
      <c r="DS124" s="60" t="e">
        <f t="shared" si="71"/>
        <v>#NUM!</v>
      </c>
      <c r="DT124" s="60">
        <f ca="1">AVERAGE(OFFSET($DS$3,0,0,'Données projet'!$E$14+1,1))-AVERAGE(OFFSET($H$3,0,0,'Données projet'!$E$14+1,1))</f>
        <v>302.15577364214136</v>
      </c>
      <c r="DU124" s="60">
        <f t="shared" si="98"/>
        <v>197.15142751137051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2.6282051282051269</v>
      </c>
      <c r="EJ124" s="13">
        <f>IF('Données projet'!$A$192&gt;35,EJ123+EI124-ER123,IF(A124&lt;'Données projet'!$A$192,$EG$205^A124,IF(A124='Données projet'!$A$192,'Données projet'!$B$192,EJ123+EI124-ER123)))</f>
        <v>315.44871794871733</v>
      </c>
      <c r="EK124" s="18">
        <f>EJ124*VLOOKUP('Données projet'!$B$15,Paramètres!$A$1:$I$89,3,0)*VLOOKUP('Données projet'!$B$15,Paramètres!$A$1:$I$89,5,0)</f>
        <v>329.70699999999937</v>
      </c>
      <c r="EL124" s="14">
        <f t="shared" si="99"/>
        <v>77.369557656320978</v>
      </c>
      <c r="EM124" s="22">
        <f t="shared" si="73"/>
        <v>708.99167125142458</v>
      </c>
      <c r="EN124" s="60">
        <f t="shared" si="74"/>
        <v>1002.3250045847578</v>
      </c>
      <c r="EO124" s="60">
        <f ca="1">AVERAGE(OFFSET($EN$3,0,0,'Données projet'!$E$15+1,1))-AVERAGE(OFFSET($H$3,0,0,'Données projet'!$E$15+1,1))</f>
        <v>493.70175665335978</v>
      </c>
      <c r="EP124" s="60">
        <f t="shared" si="100"/>
        <v>325.12357781685949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0" t="e">
        <f t="shared" si="77"/>
        <v>#N/A</v>
      </c>
      <c r="FJ124" s="60" t="e">
        <f ca="1">AVERAGE(OFFSET($FI$3,0,0,'Données projet'!$E$16+1,1))-AVERAGE(OFFSET($H$3,0,0,'Données projet'!$E$16+1,1))</f>
        <v>#N/A</v>
      </c>
      <c r="FK124" s="60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0" t="e">
        <f t="shared" si="80"/>
        <v>#N/A</v>
      </c>
      <c r="GE124" s="60" t="e">
        <f ca="1">AVERAGE(OFFSET($GD$3,0,0,'Données projet'!$E$17+1,1))-AVERAGE(OFFSET($H$3,0,0,'Données projet'!$E$17+1,1))</f>
        <v>#N/A</v>
      </c>
      <c r="GF124" s="60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5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8">
        <f t="shared" si="56"/>
        <v>256.66666666666669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0">
        <f t="shared" si="55"/>
        <v>293.3333333333353</v>
      </c>
      <c r="S125" s="60">
        <f ca="1">AVERAGE(OFFSET($R$3,0,0,'Données projet'!$E$9+1,1))-AVERAGE(OFFSET($H$3,0,0,'Données projet'!$E$9+1,1))</f>
        <v>260.02504691866199</v>
      </c>
      <c r="T125" s="60">
        <f t="shared" si="88"/>
        <v>270.11268336406368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1.6183843071676256</v>
      </c>
      <c r="AA125" s="23">
        <f>EXP(-LN(2)/25)*AA124+(1-EXP(-LN(2)/25))/(LN(2)/25)*Calculateur!V125*Calculateur!X125*VLOOKUP('Données projet'!$B$9,Paramètres!$A$1:$I$89,3,0)*0.475*44/12</f>
        <v>1.2823504777815717</v>
      </c>
      <c r="AB125" s="23">
        <f>EXP(-LN(2)/2)*AB124+(1-EXP(-LN(2)/2))/(LN(2)/2)*V125*Y125*VLOOKUP('Données projet'!$B$9,Paramètres!$A$1:$I$89,3,0)*0.475*44/12</f>
        <v>9.009626390257841E-14</v>
      </c>
      <c r="AC125" s="24">
        <f t="shared" si="57"/>
        <v>2.9007347849492873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3.2</v>
      </c>
      <c r="AI125" s="14">
        <f>IF('Données projet'!$A$62&gt;35,AI124+AH125-AQ124,IF(A125&lt;'Données projet'!$A$62,$AF$205^A125,IF(A125='Données projet'!$A$62,'Données projet'!$B$62,AI124+AH125-AQ124)))</f>
        <v>274.39999999999947</v>
      </c>
      <c r="AJ125" s="14">
        <f>AI125*VLOOKUP('Données projet'!$B$10,Paramètres!$A$1:$I$89,3,0)*VLOOKUP('Données projet'!$B$10,Paramètres!$A$1:$I$89,5,0)</f>
        <v>278.24159999999949</v>
      </c>
      <c r="AK125" s="14">
        <f t="shared" si="89"/>
        <v>66.595272276139681</v>
      </c>
      <c r="AL125" s="22">
        <f t="shared" si="58"/>
        <v>600.59088588094244</v>
      </c>
      <c r="AM125" s="60">
        <f t="shared" si="59"/>
        <v>893.92421921427581</v>
      </c>
      <c r="AN125" s="60">
        <f ca="1">AVERAGE(OFFSET($AM$3,0,0,'Données projet'!$E$10+1,1))-AVERAGE(OFFSET($H$3,0,0,'Données projet'!$E$10+1,1))</f>
        <v>475.47920969424894</v>
      </c>
      <c r="AO125" s="60">
        <f t="shared" si="90"/>
        <v>271.73544012419364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2.2000000000000002</v>
      </c>
      <c r="BD125" s="13">
        <f>IF('Données projet'!$A$88&gt;35,BD124+BC125-BL124,IF(A125&lt;'Données projet'!$A$88,$BA$205^A125,IF(A125='Données projet'!$A$88,'Données projet'!$B$88,BD124+BC125-BL124)))</f>
        <v>213.4</v>
      </c>
      <c r="BE125" s="14">
        <f>BD125*VLOOKUP('Données projet'!$B$11,Paramètres!$A$1:$I$89,3,0)*VLOOKUP('Données projet'!$B$11,Paramètres!$A$1:$I$89,5,0)</f>
        <v>193.08431999999999</v>
      </c>
      <c r="BF125" s="14">
        <f t="shared" si="91"/>
        <v>48.221211828034484</v>
      </c>
      <c r="BG125" s="22">
        <f t="shared" si="61"/>
        <v>420.27380126716002</v>
      </c>
      <c r="BH125" s="60">
        <f t="shared" si="62"/>
        <v>713.60713460049328</v>
      </c>
      <c r="BI125" s="60">
        <f ca="1">AVERAGE(OFFSET($BH$3,0,0,'Données projet'!$E$11+1,1))-AVERAGE(OFFSET($H$3,0,0,'Données projet'!$E$11+1,1))</f>
        <v>325.2649384779973</v>
      </c>
      <c r="BJ125" s="60">
        <f t="shared" si="92"/>
        <v>146.70159365068315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1.0231815394945443E-12</v>
      </c>
      <c r="BZ125" s="14">
        <f>BY125*VLOOKUP('Données projet'!$B$12,Paramètres!$A$1:$I$89,3,0)*VLOOKUP('Données projet'!$B$12,Paramètres!$A$1:$I$89,5,0)</f>
        <v>4.5224624045658859E-13</v>
      </c>
      <c r="CA125" s="14">
        <f t="shared" si="93"/>
        <v>5.6995607121061449E-12</v>
      </c>
      <c r="CB125" s="22">
        <f t="shared" si="64"/>
        <v>1.0714397109046761E-11</v>
      </c>
      <c r="CC125" s="60">
        <f t="shared" si="65"/>
        <v>293.333333333344</v>
      </c>
      <c r="CD125" s="60">
        <f ca="1">AVERAGE(OFFSET($CC$3,0,0,'Données projet'!$E$12+1,1))-AVERAGE(OFFSET($H$3,0,0,'Données projet'!$E$12+1,1))</f>
        <v>401.84375324751227</v>
      </c>
      <c r="CE125" s="60">
        <f t="shared" si="94"/>
        <v>350.39368043404164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0.65017718837133709</v>
      </c>
      <c r="CM125" s="23">
        <f>EXP(-LN(2)/2)*CM124+(1-EXP(-LN(2)/2))/(LN(2)/2)*CG125*CJ125*VLOOKUP('Données projet'!$B$12,Paramètres!$A$1:$I$89,3,0)*0.475*44/12</f>
        <v>1.9800838289898259E-14</v>
      </c>
      <c r="CN125" s="24">
        <f t="shared" si="66"/>
        <v>0.65017718837135685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-1.1368683772161603E-13</v>
      </c>
      <c r="CU125" s="18">
        <f>CT125*VLOOKUP('Données projet'!$B$13,Paramètres!$A$1:$I$89,3,0)*VLOOKUP('Données projet'!$B$13,Paramètres!$A$1:$I$89,5,0)</f>
        <v>-6.7984728957526396E-14</v>
      </c>
      <c r="CV125" s="14" t="e">
        <f t="shared" si="95"/>
        <v>#NUM!</v>
      </c>
      <c r="CW125" s="22" t="e">
        <f t="shared" si="67"/>
        <v>#NUM!</v>
      </c>
      <c r="CX125" s="60" t="e">
        <f t="shared" si="68"/>
        <v>#NUM!</v>
      </c>
      <c r="CY125" s="60">
        <f ca="1">AVERAGE(OFFSET($CX$3,0,0,'Données projet'!$E$13+1,1))-AVERAGE(OFFSET($H$3,0,0,'Données projet'!$E$13+1,1))</f>
        <v>232.73140429491525</v>
      </c>
      <c r="CZ125" s="60">
        <f t="shared" si="96"/>
        <v>201.02719152328638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0.6212340182997399</v>
      </c>
      <c r="DH125" s="23">
        <f>EXP(-LN(2)/2)*DH124+(1-EXP(-LN(2)/2))/(LN(2)/2)*DB125*DE125*VLOOKUP('Données projet'!$B$13,Paramètres!$A$1:$I$89,3,0)*0.475*44/12</f>
        <v>4.3752699118082118E-14</v>
      </c>
      <c r="DI125" s="24">
        <f t="shared" si="69"/>
        <v>0.62123401829978364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>
        <f>DO125*VLOOKUP('Données projet'!$B$14,Paramètres!$A$1:$I$89,3,0)*VLOOKUP('Données projet'!$B$14,Paramètres!$A$1:$I$89,5,0)</f>
        <v>0</v>
      </c>
      <c r="DQ125" s="14" t="e">
        <f t="shared" si="97"/>
        <v>#NUM!</v>
      </c>
      <c r="DR125" s="22" t="e">
        <f t="shared" si="70"/>
        <v>#NUM!</v>
      </c>
      <c r="DS125" s="60" t="e">
        <f t="shared" si="71"/>
        <v>#NUM!</v>
      </c>
      <c r="DT125" s="60">
        <f ca="1">AVERAGE(OFFSET($DS$3,0,0,'Données projet'!$E$14+1,1))-AVERAGE(OFFSET($H$3,0,0,'Données projet'!$E$14+1,1))</f>
        <v>302.15577364214136</v>
      </c>
      <c r="DU125" s="60">
        <f t="shared" si="98"/>
        <v>197.15142751137051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2.6282051282051269</v>
      </c>
      <c r="EJ125" s="13">
        <f>IF('Données projet'!$A$192&gt;35,EJ124+EI125-ER124,IF(A125&lt;'Données projet'!$A$192,$EG$205^A125,IF(A125='Données projet'!$A$192,'Données projet'!$B$192,EJ124+EI125-ER124)))</f>
        <v>318.07692307692247</v>
      </c>
      <c r="EK125" s="18">
        <f>EJ125*VLOOKUP('Données projet'!$B$15,Paramètres!$A$1:$I$89,3,0)*VLOOKUP('Données projet'!$B$15,Paramètres!$A$1:$I$89,5,0)</f>
        <v>332.45399999999938</v>
      </c>
      <c r="EL125" s="14">
        <f t="shared" si="99"/>
        <v>77.938864391883257</v>
      </c>
      <c r="EM125" s="22">
        <f t="shared" si="73"/>
        <v>714.76757214919553</v>
      </c>
      <c r="EN125" s="60">
        <f t="shared" si="74"/>
        <v>1008.1009054825288</v>
      </c>
      <c r="EO125" s="60">
        <f ca="1">AVERAGE(OFFSET($EN$3,0,0,'Données projet'!$E$15+1,1))-AVERAGE(OFFSET($H$3,0,0,'Données projet'!$E$15+1,1))</f>
        <v>493.70175665335978</v>
      </c>
      <c r="EP125" s="60">
        <f t="shared" si="100"/>
        <v>325.12357781685949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0" t="e">
        <f t="shared" si="77"/>
        <v>#N/A</v>
      </c>
      <c r="FJ125" s="60" t="e">
        <f ca="1">AVERAGE(OFFSET($FI$3,0,0,'Données projet'!$E$16+1,1))-AVERAGE(OFFSET($H$3,0,0,'Données projet'!$E$16+1,1))</f>
        <v>#N/A</v>
      </c>
      <c r="FK125" s="60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0" t="e">
        <f t="shared" si="80"/>
        <v>#N/A</v>
      </c>
      <c r="GE125" s="60" t="e">
        <f ca="1">AVERAGE(OFFSET($GD$3,0,0,'Données projet'!$E$17+1,1))-AVERAGE(OFFSET($H$3,0,0,'Données projet'!$E$17+1,1))</f>
        <v>#N/A</v>
      </c>
      <c r="GF125" s="60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5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8">
        <f t="shared" si="56"/>
        <v>256.66666666666669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0">
        <f t="shared" si="55"/>
        <v>293.3333333333353</v>
      </c>
      <c r="S126" s="60">
        <f ca="1">AVERAGE(OFFSET($R$3,0,0,'Données projet'!$E$9+1,1))-AVERAGE(OFFSET($H$3,0,0,'Données projet'!$E$9+1,1))</f>
        <v>260.02504691866199</v>
      </c>
      <c r="T126" s="60">
        <f t="shared" si="88"/>
        <v>270.11268336406368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1.5866487780210261</v>
      </c>
      <c r="AA126" s="23">
        <f>EXP(-LN(2)/25)*AA125+(1-EXP(-LN(2)/25))/(LN(2)/25)*Calculateur!V126*Calculateur!X126*VLOOKUP('Données projet'!$B$9,Paramètres!$A$1:$I$89,3,0)*0.475*44/12</f>
        <v>1.2472845365307539</v>
      </c>
      <c r="AB126" s="23">
        <f>EXP(-LN(2)/2)*AB125+(1-EXP(-LN(2)/2))/(LN(2)/2)*V126*Y126*VLOOKUP('Données projet'!$B$9,Paramètres!$A$1:$I$89,3,0)*0.475*44/12</f>
        <v>6.3707679165085952E-14</v>
      </c>
      <c r="AC126" s="24">
        <f t="shared" si="57"/>
        <v>2.8339333145518437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3.2</v>
      </c>
      <c r="AI126" s="14">
        <f>IF('Données projet'!$A$62&gt;35,AI125+AH126-AQ125,IF(A126&lt;'Données projet'!$A$62,$AF$205^A126,IF(A126='Données projet'!$A$62,'Données projet'!$B$62,AI125+AH126-AQ125)))</f>
        <v>277.59999999999945</v>
      </c>
      <c r="AJ126" s="14">
        <f>AI126*VLOOKUP('Données projet'!$B$10,Paramètres!$A$1:$I$89,3,0)*VLOOKUP('Données projet'!$B$10,Paramètres!$A$1:$I$89,5,0)</f>
        <v>281.48639999999949</v>
      </c>
      <c r="AK126" s="14">
        <f t="shared" si="89"/>
        <v>67.281031071373235</v>
      </c>
      <c r="AL126" s="22">
        <f t="shared" si="58"/>
        <v>607.43660911597419</v>
      </c>
      <c r="AM126" s="60">
        <f t="shared" si="59"/>
        <v>900.76994244930756</v>
      </c>
      <c r="AN126" s="60">
        <f ca="1">AVERAGE(OFFSET($AM$3,0,0,'Données projet'!$E$10+1,1))-AVERAGE(OFFSET($H$3,0,0,'Données projet'!$E$10+1,1))</f>
        <v>475.47920969424894</v>
      </c>
      <c r="AO126" s="60">
        <f t="shared" si="90"/>
        <v>271.73544012419364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2.2000000000000002</v>
      </c>
      <c r="BD126" s="13">
        <f>IF('Données projet'!$A$88&gt;35,BD125+BC126-BL125,IF(A126&lt;'Données projet'!$A$88,$BA$205^A126,IF(A126='Données projet'!$A$88,'Données projet'!$B$88,BD125+BC126-BL125)))</f>
        <v>215.6</v>
      </c>
      <c r="BE126" s="14">
        <f>BD126*VLOOKUP('Données projet'!$B$11,Paramètres!$A$1:$I$89,3,0)*VLOOKUP('Données projet'!$B$11,Paramètres!$A$1:$I$89,5,0)</f>
        <v>195.07487999999998</v>
      </c>
      <c r="BF126" s="14">
        <f t="shared" si="91"/>
        <v>48.660209718344753</v>
      </c>
      <c r="BG126" s="22">
        <f t="shared" si="61"/>
        <v>424.50528125945038</v>
      </c>
      <c r="BH126" s="60">
        <f t="shared" si="62"/>
        <v>717.83861459278364</v>
      </c>
      <c r="BI126" s="60">
        <f ca="1">AVERAGE(OFFSET($BH$3,0,0,'Données projet'!$E$11+1,1))-AVERAGE(OFFSET($H$3,0,0,'Données projet'!$E$11+1,1))</f>
        <v>325.2649384779973</v>
      </c>
      <c r="BJ126" s="60">
        <f t="shared" si="92"/>
        <v>146.70159365068315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1.0231815394945443E-12</v>
      </c>
      <c r="BZ126" s="14">
        <f>BY126*VLOOKUP('Données projet'!$B$12,Paramètres!$A$1:$I$89,3,0)*VLOOKUP('Données projet'!$B$12,Paramètres!$A$1:$I$89,5,0)</f>
        <v>4.5224624045658859E-13</v>
      </c>
      <c r="CA126" s="14">
        <f t="shared" si="93"/>
        <v>5.6995607121061449E-12</v>
      </c>
      <c r="CB126" s="22">
        <f t="shared" si="64"/>
        <v>1.0714397109046761E-11</v>
      </c>
      <c r="CC126" s="60">
        <f t="shared" si="65"/>
        <v>293.333333333344</v>
      </c>
      <c r="CD126" s="60">
        <f ca="1">AVERAGE(OFFSET($CC$3,0,0,'Données projet'!$E$12+1,1))-AVERAGE(OFFSET($H$3,0,0,'Données projet'!$E$12+1,1))</f>
        <v>401.84375324751227</v>
      </c>
      <c r="CE126" s="60">
        <f t="shared" si="94"/>
        <v>350.39368043404164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0.63239805896399059</v>
      </c>
      <c r="CM126" s="23">
        <f>EXP(-LN(2)/2)*CM125+(1-EXP(-LN(2)/2))/(LN(2)/2)*CG126*CJ126*VLOOKUP('Données projet'!$B$12,Paramètres!$A$1:$I$89,3,0)*0.475*44/12</f>
        <v>1.4001307027965301E-14</v>
      </c>
      <c r="CN126" s="24">
        <f t="shared" si="66"/>
        <v>0.63239805896400458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-1.1368683772161603E-13</v>
      </c>
      <c r="CU126" s="18">
        <f>CT126*VLOOKUP('Données projet'!$B$13,Paramètres!$A$1:$I$89,3,0)*VLOOKUP('Données projet'!$B$13,Paramètres!$A$1:$I$89,5,0)</f>
        <v>-6.7984728957526396E-14</v>
      </c>
      <c r="CV126" s="14" t="e">
        <f t="shared" si="95"/>
        <v>#NUM!</v>
      </c>
      <c r="CW126" s="22" t="e">
        <f t="shared" si="67"/>
        <v>#NUM!</v>
      </c>
      <c r="CX126" s="60" t="e">
        <f t="shared" si="68"/>
        <v>#NUM!</v>
      </c>
      <c r="CY126" s="60">
        <f ca="1">AVERAGE(OFFSET($CX$3,0,0,'Données projet'!$E$13+1,1))-AVERAGE(OFFSET($H$3,0,0,'Données projet'!$E$13+1,1))</f>
        <v>232.73140429491525</v>
      </c>
      <c r="CZ126" s="60">
        <f t="shared" si="96"/>
        <v>201.02719152328638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0.60424634140005629</v>
      </c>
      <c r="DH126" s="23">
        <f>EXP(-LN(2)/2)*DH125+(1-EXP(-LN(2)/2))/(LN(2)/2)*DB126*DE126*VLOOKUP('Données projet'!$B$13,Paramètres!$A$1:$I$89,3,0)*0.475*44/12</f>
        <v>3.0937830241610543E-14</v>
      </c>
      <c r="DI126" s="24">
        <f t="shared" si="69"/>
        <v>0.60424634140008726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>
        <f>DO126*VLOOKUP('Données projet'!$B$14,Paramètres!$A$1:$I$89,3,0)*VLOOKUP('Données projet'!$B$14,Paramètres!$A$1:$I$89,5,0)</f>
        <v>0</v>
      </c>
      <c r="DQ126" s="14" t="e">
        <f t="shared" si="97"/>
        <v>#NUM!</v>
      </c>
      <c r="DR126" s="22" t="e">
        <f t="shared" si="70"/>
        <v>#NUM!</v>
      </c>
      <c r="DS126" s="60" t="e">
        <f t="shared" si="71"/>
        <v>#NUM!</v>
      </c>
      <c r="DT126" s="60">
        <f ca="1">AVERAGE(OFFSET($DS$3,0,0,'Données projet'!$E$14+1,1))-AVERAGE(OFFSET($H$3,0,0,'Données projet'!$E$14+1,1))</f>
        <v>302.15577364214136</v>
      </c>
      <c r="DU126" s="60">
        <f t="shared" si="98"/>
        <v>197.15142751137051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2.6282051282051269</v>
      </c>
      <c r="EJ126" s="13">
        <f>IF('Données projet'!$A$192&gt;35,EJ125+EI126-ER125,IF(A126&lt;'Données projet'!$A$192,$EG$205^A126,IF(A126='Données projet'!$A$192,'Données projet'!$B$192,EJ125+EI126-ER125)))</f>
        <v>320.70512820512761</v>
      </c>
      <c r="EK126" s="18">
        <f>EJ126*VLOOKUP('Données projet'!$B$15,Paramètres!$A$1:$I$89,3,0)*VLOOKUP('Données projet'!$B$15,Paramètres!$A$1:$I$89,5,0)</f>
        <v>335.2009999999994</v>
      </c>
      <c r="EL126" s="14">
        <f t="shared" si="99"/>
        <v>78.507623830791573</v>
      </c>
      <c r="EM126" s="22">
        <f t="shared" si="73"/>
        <v>720.54251983862753</v>
      </c>
      <c r="EN126" s="60">
        <f t="shared" si="74"/>
        <v>1013.8758531719609</v>
      </c>
      <c r="EO126" s="60">
        <f ca="1">AVERAGE(OFFSET($EN$3,0,0,'Données projet'!$E$15+1,1))-AVERAGE(OFFSET($H$3,0,0,'Données projet'!$E$15+1,1))</f>
        <v>493.70175665335978</v>
      </c>
      <c r="EP126" s="60">
        <f t="shared" si="100"/>
        <v>325.12357781685949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0" t="e">
        <f t="shared" si="77"/>
        <v>#N/A</v>
      </c>
      <c r="FJ126" s="60" t="e">
        <f ca="1">AVERAGE(OFFSET($FI$3,0,0,'Données projet'!$E$16+1,1))-AVERAGE(OFFSET($H$3,0,0,'Données projet'!$E$16+1,1))</f>
        <v>#N/A</v>
      </c>
      <c r="FK126" s="60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0" t="e">
        <f t="shared" si="80"/>
        <v>#N/A</v>
      </c>
      <c r="GE126" s="60" t="e">
        <f ca="1">AVERAGE(OFFSET($GD$3,0,0,'Données projet'!$E$17+1,1))-AVERAGE(OFFSET($H$3,0,0,'Données projet'!$E$17+1,1))</f>
        <v>#N/A</v>
      </c>
      <c r="GF126" s="60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5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8">
        <f t="shared" si="56"/>
        <v>256.66666666666669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0">
        <f t="shared" si="55"/>
        <v>293.3333333333353</v>
      </c>
      <c r="S127" s="60">
        <f ca="1">AVERAGE(OFFSET($R$3,0,0,'Données projet'!$E$9+1,1))-AVERAGE(OFFSET($H$3,0,0,'Données projet'!$E$9+1,1))</f>
        <v>260.02504691866199</v>
      </c>
      <c r="T127" s="60">
        <f t="shared" si="88"/>
        <v>270.11268336406368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1.55553556324423</v>
      </c>
      <c r="AA127" s="23">
        <f>EXP(-LN(2)/25)*AA126+(1-EXP(-LN(2)/25))/(LN(2)/25)*Calculateur!V127*Calculateur!X127*VLOOKUP('Données projet'!$B$9,Paramètres!$A$1:$I$89,3,0)*0.475*44/12</f>
        <v>1.2131774752874773</v>
      </c>
      <c r="AB127" s="23">
        <f>EXP(-LN(2)/2)*AB126+(1-EXP(-LN(2)/2))/(LN(2)/2)*V127*Y127*VLOOKUP('Données projet'!$B$9,Paramètres!$A$1:$I$89,3,0)*0.475*44/12</f>
        <v>4.5048131951289205E-14</v>
      </c>
      <c r="AC127" s="24">
        <f t="shared" si="57"/>
        <v>2.7687130385317524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3.2</v>
      </c>
      <c r="AI127" s="14">
        <f>IF('Données projet'!$A$62&gt;35,AI126+AH127-AQ126,IF(A127&lt;'Données projet'!$A$62,$AF$205^A127,IF(A127='Données projet'!$A$62,'Données projet'!$B$62,AI126+AH127-AQ126)))</f>
        <v>280.79999999999944</v>
      </c>
      <c r="AJ127" s="14">
        <f>AI127*VLOOKUP('Données projet'!$B$10,Paramètres!$A$1:$I$89,3,0)*VLOOKUP('Données projet'!$B$10,Paramètres!$A$1:$I$89,5,0)</f>
        <v>284.73119999999943</v>
      </c>
      <c r="AK127" s="14">
        <f t="shared" si="89"/>
        <v>67.965870320050826</v>
      </c>
      <c r="AL127" s="22">
        <f t="shared" si="58"/>
        <v>614.28073080742081</v>
      </c>
      <c r="AM127" s="60">
        <f t="shared" si="59"/>
        <v>907.61406414075418</v>
      </c>
      <c r="AN127" s="60">
        <f ca="1">AVERAGE(OFFSET($AM$3,0,0,'Données projet'!$E$10+1,1))-AVERAGE(OFFSET($H$3,0,0,'Données projet'!$E$10+1,1))</f>
        <v>475.47920969424894</v>
      </c>
      <c r="AO127" s="60">
        <f t="shared" si="90"/>
        <v>271.73544012419364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2.2000000000000002</v>
      </c>
      <c r="BD127" s="13">
        <f>IF('Données projet'!$A$88&gt;35,BD126+BC127-BL126,IF(A127&lt;'Données projet'!$A$88,$BA$205^A127,IF(A127='Données projet'!$A$88,'Données projet'!$B$88,BD126+BC127-BL126)))</f>
        <v>217.79999999999998</v>
      </c>
      <c r="BE127" s="14">
        <f>BD127*VLOOKUP('Données projet'!$B$11,Paramètres!$A$1:$I$89,3,0)*VLOOKUP('Données projet'!$B$11,Paramètres!$A$1:$I$89,5,0)</f>
        <v>197.06544</v>
      </c>
      <c r="BF127" s="14">
        <f t="shared" si="91"/>
        <v>49.098686486644802</v>
      </c>
      <c r="BG127" s="22">
        <f t="shared" si="61"/>
        <v>428.73585363090632</v>
      </c>
      <c r="BH127" s="60">
        <f t="shared" si="62"/>
        <v>722.06918696423963</v>
      </c>
      <c r="BI127" s="60">
        <f ca="1">AVERAGE(OFFSET($BH$3,0,0,'Données projet'!$E$11+1,1))-AVERAGE(OFFSET($H$3,0,0,'Données projet'!$E$11+1,1))</f>
        <v>325.2649384779973</v>
      </c>
      <c r="BJ127" s="60">
        <f t="shared" si="92"/>
        <v>146.70159365068315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1.0231815394945443E-12</v>
      </c>
      <c r="BZ127" s="14">
        <f>BY127*VLOOKUP('Données projet'!$B$12,Paramètres!$A$1:$I$89,3,0)*VLOOKUP('Données projet'!$B$12,Paramètres!$A$1:$I$89,5,0)</f>
        <v>4.5224624045658859E-13</v>
      </c>
      <c r="CA127" s="14">
        <f t="shared" si="93"/>
        <v>5.6995607121061449E-12</v>
      </c>
      <c r="CB127" s="22">
        <f t="shared" si="64"/>
        <v>1.0714397109046761E-11</v>
      </c>
      <c r="CC127" s="60">
        <f t="shared" si="65"/>
        <v>293.333333333344</v>
      </c>
      <c r="CD127" s="60">
        <f ca="1">AVERAGE(OFFSET($CC$3,0,0,'Données projet'!$E$12+1,1))-AVERAGE(OFFSET($H$3,0,0,'Données projet'!$E$12+1,1))</f>
        <v>401.84375324751227</v>
      </c>
      <c r="CE127" s="60">
        <f t="shared" si="94"/>
        <v>350.39368043404164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0.61510510078525171</v>
      </c>
      <c r="CM127" s="23">
        <f>EXP(-LN(2)/2)*CM126+(1-EXP(-LN(2)/2))/(LN(2)/2)*CG127*CJ127*VLOOKUP('Données projet'!$B$12,Paramètres!$A$1:$I$89,3,0)*0.475*44/12</f>
        <v>9.9004191449491313E-15</v>
      </c>
      <c r="CN127" s="24">
        <f t="shared" si="66"/>
        <v>0.61510510078526159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-1.1368683772161603E-13</v>
      </c>
      <c r="CU127" s="18">
        <f>CT127*VLOOKUP('Données projet'!$B$13,Paramètres!$A$1:$I$89,3,0)*VLOOKUP('Données projet'!$B$13,Paramètres!$A$1:$I$89,5,0)</f>
        <v>-6.7984728957526396E-14</v>
      </c>
      <c r="CV127" s="14" t="e">
        <f t="shared" si="95"/>
        <v>#NUM!</v>
      </c>
      <c r="CW127" s="22" t="e">
        <f t="shared" si="67"/>
        <v>#NUM!</v>
      </c>
      <c r="CX127" s="60" t="e">
        <f t="shared" si="68"/>
        <v>#NUM!</v>
      </c>
      <c r="CY127" s="60">
        <f ca="1">AVERAGE(OFFSET($CX$3,0,0,'Données projet'!$E$13+1,1))-AVERAGE(OFFSET($H$3,0,0,'Données projet'!$E$13+1,1))</f>
        <v>232.73140429491525</v>
      </c>
      <c r="CZ127" s="60">
        <f t="shared" si="96"/>
        <v>201.02719152328638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0.58772319341853763</v>
      </c>
      <c r="DH127" s="23">
        <f>EXP(-LN(2)/2)*DH126+(1-EXP(-LN(2)/2))/(LN(2)/2)*DB127*DE127*VLOOKUP('Données projet'!$B$13,Paramètres!$A$1:$I$89,3,0)*0.475*44/12</f>
        <v>2.1876349559041059E-14</v>
      </c>
      <c r="DI127" s="24">
        <f t="shared" si="69"/>
        <v>0.5877231934185595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>
        <f>DO127*VLOOKUP('Données projet'!$B$14,Paramètres!$A$1:$I$89,3,0)*VLOOKUP('Données projet'!$B$14,Paramètres!$A$1:$I$89,5,0)</f>
        <v>0</v>
      </c>
      <c r="DQ127" s="14" t="e">
        <f t="shared" si="97"/>
        <v>#NUM!</v>
      </c>
      <c r="DR127" s="22" t="e">
        <f t="shared" si="70"/>
        <v>#NUM!</v>
      </c>
      <c r="DS127" s="60" t="e">
        <f t="shared" si="71"/>
        <v>#NUM!</v>
      </c>
      <c r="DT127" s="60">
        <f ca="1">AVERAGE(OFFSET($DS$3,0,0,'Données projet'!$E$14+1,1))-AVERAGE(OFFSET($H$3,0,0,'Données projet'!$E$14+1,1))</f>
        <v>302.15577364214136</v>
      </c>
      <c r="DU127" s="60">
        <f t="shared" si="98"/>
        <v>197.15142751137051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2.6282051282051269</v>
      </c>
      <c r="EJ127" s="13">
        <f>IF('Données projet'!$A$192&gt;35,EJ126+EI127-ER126,IF(A127&lt;'Données projet'!$A$192,$EG$205^A127,IF(A127='Données projet'!$A$192,'Données projet'!$B$192,EJ126+EI127-ER126)))</f>
        <v>323.33333333333275</v>
      </c>
      <c r="EK127" s="18">
        <f>EJ127*VLOOKUP('Données projet'!$B$15,Paramètres!$A$1:$I$89,3,0)*VLOOKUP('Données projet'!$B$15,Paramètres!$A$1:$I$89,5,0)</f>
        <v>337.94799999999941</v>
      </c>
      <c r="EL127" s="14">
        <f t="shared" si="99"/>
        <v>79.075840977982864</v>
      </c>
      <c r="EM127" s="22">
        <f t="shared" si="73"/>
        <v>726.31652303665248</v>
      </c>
      <c r="EN127" s="60">
        <f t="shared" si="74"/>
        <v>1019.6498563699859</v>
      </c>
      <c r="EO127" s="60">
        <f ca="1">AVERAGE(OFFSET($EN$3,0,0,'Données projet'!$E$15+1,1))-AVERAGE(OFFSET($H$3,0,0,'Données projet'!$E$15+1,1))</f>
        <v>493.70175665335978</v>
      </c>
      <c r="EP127" s="60">
        <f t="shared" si="100"/>
        <v>325.12357781685949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0" t="e">
        <f t="shared" si="77"/>
        <v>#N/A</v>
      </c>
      <c r="FJ127" s="60" t="e">
        <f ca="1">AVERAGE(OFFSET($FI$3,0,0,'Données projet'!$E$16+1,1))-AVERAGE(OFFSET($H$3,0,0,'Données projet'!$E$16+1,1))</f>
        <v>#N/A</v>
      </c>
      <c r="FK127" s="60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0" t="e">
        <f t="shared" si="80"/>
        <v>#N/A</v>
      </c>
      <c r="GE127" s="60" t="e">
        <f ca="1">AVERAGE(OFFSET($GD$3,0,0,'Données projet'!$E$17+1,1))-AVERAGE(OFFSET($H$3,0,0,'Données projet'!$E$17+1,1))</f>
        <v>#N/A</v>
      </c>
      <c r="GF127" s="60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5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8">
        <f t="shared" si="56"/>
        <v>256.66666666666669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0">
        <f t="shared" si="55"/>
        <v>293.3333333333353</v>
      </c>
      <c r="S128" s="60">
        <f ca="1">AVERAGE(OFFSET($R$3,0,0,'Données projet'!$E$9+1,1))-AVERAGE(OFFSET($H$3,0,0,'Données projet'!$E$9+1,1))</f>
        <v>260.02504691866199</v>
      </c>
      <c r="T128" s="60">
        <f t="shared" si="88"/>
        <v>270.11268336406368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1.5250324596320197</v>
      </c>
      <c r="AA128" s="23">
        <f>EXP(-LN(2)/25)*AA127+(1-EXP(-LN(2)/25))/(LN(2)/25)*Calculateur!V128*Calculateur!X128*VLOOKUP('Données projet'!$B$9,Paramètres!$A$1:$I$89,3,0)*0.475*44/12</f>
        <v>1.1800030734275107</v>
      </c>
      <c r="AB128" s="23">
        <f>EXP(-LN(2)/2)*AB127+(1-EXP(-LN(2)/2))/(LN(2)/2)*V128*Y128*VLOOKUP('Données projet'!$B$9,Paramètres!$A$1:$I$89,3,0)*0.475*44/12</f>
        <v>3.1853839582542976E-14</v>
      </c>
      <c r="AC128" s="24">
        <f t="shared" si="57"/>
        <v>2.7050355330595623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3.2</v>
      </c>
      <c r="AI128" s="14">
        <f>IF('Données projet'!$A$62&gt;35,AI127+AH128-AQ127,IF(A128&lt;'Données projet'!$A$62,$AF$205^A128,IF(A128='Données projet'!$A$62,'Données projet'!$B$62,AI127+AH128-AQ127)))</f>
        <v>283.99999999999943</v>
      </c>
      <c r="AJ128" s="14">
        <f>AI128*VLOOKUP('Données projet'!$B$10,Paramètres!$A$1:$I$89,3,0)*VLOOKUP('Données projet'!$B$10,Paramètres!$A$1:$I$89,5,0)</f>
        <v>287.97599999999943</v>
      </c>
      <c r="AK128" s="14">
        <f t="shared" si="89"/>
        <v>68.649801713863027</v>
      </c>
      <c r="AL128" s="22">
        <f t="shared" si="58"/>
        <v>621.12327131831046</v>
      </c>
      <c r="AM128" s="60">
        <f t="shared" si="59"/>
        <v>914.45660465164383</v>
      </c>
      <c r="AN128" s="60">
        <f ca="1">AVERAGE(OFFSET($AM$3,0,0,'Données projet'!$E$10+1,1))-AVERAGE(OFFSET($H$3,0,0,'Données projet'!$E$10+1,1))</f>
        <v>475.47920969424894</v>
      </c>
      <c r="AO128" s="60">
        <f t="shared" si="90"/>
        <v>271.73544012419364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2.2000000000000002</v>
      </c>
      <c r="BD128" s="13">
        <f>IF('Données projet'!$A$88&gt;35,BD127+BC128-BL127,IF(A128&lt;'Données projet'!$A$88,$BA$205^A128,IF(A128='Données projet'!$A$88,'Données projet'!$B$88,BD127+BC128-BL127)))</f>
        <v>219.99999999999997</v>
      </c>
      <c r="BE128" s="14">
        <f>BD128*VLOOKUP('Données projet'!$B$11,Paramètres!$A$1:$I$89,3,0)*VLOOKUP('Données projet'!$B$11,Paramètres!$A$1:$I$89,5,0)</f>
        <v>199.05599999999998</v>
      </c>
      <c r="BF128" s="14">
        <f t="shared" si="91"/>
        <v>49.536648006253934</v>
      </c>
      <c r="BG128" s="22">
        <f t="shared" si="61"/>
        <v>432.96552861089225</v>
      </c>
      <c r="BH128" s="60">
        <f t="shared" si="62"/>
        <v>726.29886194422556</v>
      </c>
      <c r="BI128" s="60">
        <f ca="1">AVERAGE(OFFSET($BH$3,0,0,'Données projet'!$E$11+1,1))-AVERAGE(OFFSET($H$3,0,0,'Données projet'!$E$11+1,1))</f>
        <v>325.2649384779973</v>
      </c>
      <c r="BJ128" s="60">
        <f t="shared" si="92"/>
        <v>146.70159365068315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1.0231815394945443E-12</v>
      </c>
      <c r="BZ128" s="14">
        <f>BY128*VLOOKUP('Données projet'!$B$12,Paramètres!$A$1:$I$89,3,0)*VLOOKUP('Données projet'!$B$12,Paramètres!$A$1:$I$89,5,0)</f>
        <v>4.5224624045658859E-13</v>
      </c>
      <c r="CA128" s="14">
        <f t="shared" si="93"/>
        <v>5.6995607121061449E-12</v>
      </c>
      <c r="CB128" s="22">
        <f t="shared" si="64"/>
        <v>1.0714397109046761E-11</v>
      </c>
      <c r="CC128" s="60">
        <f t="shared" si="65"/>
        <v>293.333333333344</v>
      </c>
      <c r="CD128" s="60">
        <f ca="1">AVERAGE(OFFSET($CC$3,0,0,'Données projet'!$E$12+1,1))-AVERAGE(OFFSET($H$3,0,0,'Données projet'!$E$12+1,1))</f>
        <v>401.84375324751227</v>
      </c>
      <c r="CE128" s="60">
        <f t="shared" si="94"/>
        <v>350.39368043404164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0.59828501945730761</v>
      </c>
      <c r="CM128" s="23">
        <f>EXP(-LN(2)/2)*CM127+(1-EXP(-LN(2)/2))/(LN(2)/2)*CG128*CJ128*VLOOKUP('Données projet'!$B$12,Paramètres!$A$1:$I$89,3,0)*0.475*44/12</f>
        <v>7.0006535139826519E-15</v>
      </c>
      <c r="CN128" s="24">
        <f t="shared" si="66"/>
        <v>0.5982850194573146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-1.1368683772161603E-13</v>
      </c>
      <c r="CU128" s="18">
        <f>CT128*VLOOKUP('Données projet'!$B$13,Paramètres!$A$1:$I$89,3,0)*VLOOKUP('Données projet'!$B$13,Paramètres!$A$1:$I$89,5,0)</f>
        <v>-6.7984728957526396E-14</v>
      </c>
      <c r="CV128" s="14" t="e">
        <f t="shared" si="95"/>
        <v>#NUM!</v>
      </c>
      <c r="CW128" s="22" t="e">
        <f t="shared" si="67"/>
        <v>#NUM!</v>
      </c>
      <c r="CX128" s="60" t="e">
        <f t="shared" si="68"/>
        <v>#NUM!</v>
      </c>
      <c r="CY128" s="60">
        <f ca="1">AVERAGE(OFFSET($CX$3,0,0,'Données projet'!$E$13+1,1))-AVERAGE(OFFSET($H$3,0,0,'Données projet'!$E$13+1,1))</f>
        <v>232.73140429491525</v>
      </c>
      <c r="CZ128" s="60">
        <f t="shared" si="96"/>
        <v>201.02719152328638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0.57165187178748822</v>
      </c>
      <c r="DH128" s="23">
        <f>EXP(-LN(2)/2)*DH127+(1-EXP(-LN(2)/2))/(LN(2)/2)*DB128*DE128*VLOOKUP('Données projet'!$B$13,Paramètres!$A$1:$I$89,3,0)*0.475*44/12</f>
        <v>1.5468915120805271E-14</v>
      </c>
      <c r="DI128" s="24">
        <f t="shared" si="69"/>
        <v>0.57165187178750365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>
        <f>DO128*VLOOKUP('Données projet'!$B$14,Paramètres!$A$1:$I$89,3,0)*VLOOKUP('Données projet'!$B$14,Paramètres!$A$1:$I$89,5,0)</f>
        <v>0</v>
      </c>
      <c r="DQ128" s="14" t="e">
        <f t="shared" si="97"/>
        <v>#NUM!</v>
      </c>
      <c r="DR128" s="22" t="e">
        <f t="shared" si="70"/>
        <v>#NUM!</v>
      </c>
      <c r="DS128" s="60" t="e">
        <f t="shared" si="71"/>
        <v>#NUM!</v>
      </c>
      <c r="DT128" s="60">
        <f ca="1">AVERAGE(OFFSET($DS$3,0,0,'Données projet'!$E$14+1,1))-AVERAGE(OFFSET($H$3,0,0,'Données projet'!$E$14+1,1))</f>
        <v>302.15577364214136</v>
      </c>
      <c r="DU128" s="60">
        <f t="shared" si="98"/>
        <v>197.15142751137051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2.6282051282051269</v>
      </c>
      <c r="EJ128" s="13">
        <f>IF('Données projet'!$A$192&gt;35,EJ127+EI128-ER127,IF(A128&lt;'Données projet'!$A$192,$EG$205^A128,IF(A128='Données projet'!$A$192,'Données projet'!$B$192,EJ127+EI128-ER127)))</f>
        <v>325.96153846153788</v>
      </c>
      <c r="EK128" s="18">
        <f>EJ128*VLOOKUP('Données projet'!$B$15,Paramètres!$A$1:$I$89,3,0)*VLOOKUP('Données projet'!$B$15,Paramètres!$A$1:$I$89,5,0)</f>
        <v>340.69499999999942</v>
      </c>
      <c r="EL128" s="14">
        <f t="shared" si="99"/>
        <v>79.643520752331625</v>
      </c>
      <c r="EM128" s="22">
        <f t="shared" si="73"/>
        <v>732.08959031030997</v>
      </c>
      <c r="EN128" s="60">
        <f t="shared" si="74"/>
        <v>1025.4229236436433</v>
      </c>
      <c r="EO128" s="60">
        <f ca="1">AVERAGE(OFFSET($EN$3,0,0,'Données projet'!$E$15+1,1))-AVERAGE(OFFSET($H$3,0,0,'Données projet'!$E$15+1,1))</f>
        <v>493.70175665335978</v>
      </c>
      <c r="EP128" s="60">
        <f t="shared" si="100"/>
        <v>325.12357781685949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0" t="e">
        <f t="shared" si="77"/>
        <v>#N/A</v>
      </c>
      <c r="FJ128" s="60" t="e">
        <f ca="1">AVERAGE(OFFSET($FI$3,0,0,'Données projet'!$E$16+1,1))-AVERAGE(OFFSET($H$3,0,0,'Données projet'!$E$16+1,1))</f>
        <v>#N/A</v>
      </c>
      <c r="FK128" s="60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0" t="e">
        <f t="shared" si="80"/>
        <v>#N/A</v>
      </c>
      <c r="GE128" s="60" t="e">
        <f ca="1">AVERAGE(OFFSET($GD$3,0,0,'Données projet'!$E$17+1,1))-AVERAGE(OFFSET($H$3,0,0,'Données projet'!$E$17+1,1))</f>
        <v>#N/A</v>
      </c>
      <c r="GF128" s="60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5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8">
        <f t="shared" si="56"/>
        <v>256.66666666666669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0">
        <f t="shared" si="55"/>
        <v>293.3333333333353</v>
      </c>
      <c r="S129" s="60">
        <f ca="1">AVERAGE(OFFSET($R$3,0,0,'Données projet'!$E$9+1,1))-AVERAGE(OFFSET($H$3,0,0,'Données projet'!$E$9+1,1))</f>
        <v>260.02504691866199</v>
      </c>
      <c r="T129" s="60">
        <f t="shared" si="88"/>
        <v>270.11268336406368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1.4951275032765887</v>
      </c>
      <c r="AA129" s="23">
        <f>EXP(-LN(2)/25)*AA128+(1-EXP(-LN(2)/25))/(LN(2)/25)*Calculateur!V129*Calculateur!X129*VLOOKUP('Données projet'!$B$9,Paramètres!$A$1:$I$89,3,0)*0.475*44/12</f>
        <v>1.1477358273309706</v>
      </c>
      <c r="AB129" s="23">
        <f>EXP(-LN(2)/2)*AB128+(1-EXP(-LN(2)/2))/(LN(2)/2)*V129*Y129*VLOOKUP('Données projet'!$B$9,Paramètres!$A$1:$I$89,3,0)*0.475*44/12</f>
        <v>2.2524065975644603E-14</v>
      </c>
      <c r="AC129" s="24">
        <f t="shared" si="57"/>
        <v>2.6428633306075819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3.2</v>
      </c>
      <c r="AI129" s="14">
        <f>IF('Données projet'!$A$62&gt;35,AI128+AH129-AQ128,IF(A129&lt;'Données projet'!$A$62,$AF$205^A129,IF(A129='Données projet'!$A$62,'Données projet'!$B$62,AI128+AH129-AQ128)))</f>
        <v>287.19999999999942</v>
      </c>
      <c r="AJ129" s="14">
        <f>AI129*VLOOKUP('Données projet'!$B$10,Paramètres!$A$1:$I$89,3,0)*VLOOKUP('Données projet'!$B$10,Paramètres!$A$1:$I$89,5,0)</f>
        <v>291.22079999999943</v>
      </c>
      <c r="AK129" s="14">
        <f t="shared" si="89"/>
        <v>69.33283666585649</v>
      </c>
      <c r="AL129" s="22">
        <f t="shared" si="58"/>
        <v>627.96425052636573</v>
      </c>
      <c r="AM129" s="60">
        <f t="shared" si="59"/>
        <v>921.29758385969899</v>
      </c>
      <c r="AN129" s="60">
        <f ca="1">AVERAGE(OFFSET($AM$3,0,0,'Données projet'!$E$10+1,1))-AVERAGE(OFFSET($H$3,0,0,'Données projet'!$E$10+1,1))</f>
        <v>475.47920969424894</v>
      </c>
      <c r="AO129" s="60">
        <f t="shared" si="90"/>
        <v>271.73544012419364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2.2000000000000002</v>
      </c>
      <c r="BD129" s="13">
        <f>IF('Données projet'!$A$88&gt;35,BD128+BC129-BL128,IF(A129&lt;'Données projet'!$A$88,$BA$205^A129,IF(A129='Données projet'!$A$88,'Données projet'!$B$88,BD128+BC129-BL128)))</f>
        <v>222.19999999999996</v>
      </c>
      <c r="BE129" s="14">
        <f>BD129*VLOOKUP('Données projet'!$B$11,Paramètres!$A$1:$I$89,3,0)*VLOOKUP('Données projet'!$B$11,Paramètres!$A$1:$I$89,5,0)</f>
        <v>201.04655999999997</v>
      </c>
      <c r="BF129" s="14">
        <f t="shared" si="91"/>
        <v>49.974100026254405</v>
      </c>
      <c r="BG129" s="22">
        <f t="shared" si="61"/>
        <v>437.19431621239301</v>
      </c>
      <c r="BH129" s="60">
        <f t="shared" si="62"/>
        <v>730.52764954572626</v>
      </c>
      <c r="BI129" s="60">
        <f ca="1">AVERAGE(OFFSET($BH$3,0,0,'Données projet'!$E$11+1,1))-AVERAGE(OFFSET($H$3,0,0,'Données projet'!$E$11+1,1))</f>
        <v>325.2649384779973</v>
      </c>
      <c r="BJ129" s="60">
        <f t="shared" si="92"/>
        <v>146.70159365068315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1.0231815394945443E-12</v>
      </c>
      <c r="BZ129" s="14">
        <f>BY129*VLOOKUP('Données projet'!$B$12,Paramètres!$A$1:$I$89,3,0)*VLOOKUP('Données projet'!$B$12,Paramètres!$A$1:$I$89,5,0)</f>
        <v>4.5224624045658859E-13</v>
      </c>
      <c r="CA129" s="14">
        <f t="shared" si="93"/>
        <v>5.6995607121061449E-12</v>
      </c>
      <c r="CB129" s="22">
        <f t="shared" si="64"/>
        <v>1.0714397109046761E-11</v>
      </c>
      <c r="CC129" s="60">
        <f t="shared" si="65"/>
        <v>293.333333333344</v>
      </c>
      <c r="CD129" s="60">
        <f ca="1">AVERAGE(OFFSET($CC$3,0,0,'Données projet'!$E$12+1,1))-AVERAGE(OFFSET($H$3,0,0,'Données projet'!$E$12+1,1))</f>
        <v>401.84375324751227</v>
      </c>
      <c r="CE129" s="60">
        <f t="shared" si="94"/>
        <v>350.39368043404164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0.58192488413780574</v>
      </c>
      <c r="CM129" s="23">
        <f>EXP(-LN(2)/2)*CM128+(1-EXP(-LN(2)/2))/(LN(2)/2)*CG129*CJ129*VLOOKUP('Données projet'!$B$12,Paramètres!$A$1:$I$89,3,0)*0.475*44/12</f>
        <v>4.9502095724745664E-15</v>
      </c>
      <c r="CN129" s="24">
        <f t="shared" si="66"/>
        <v>0.58192488413781074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-1.1368683772161603E-13</v>
      </c>
      <c r="CU129" s="18">
        <f>CT129*VLOOKUP('Données projet'!$B$13,Paramètres!$A$1:$I$89,3,0)*VLOOKUP('Données projet'!$B$13,Paramètres!$A$1:$I$89,5,0)</f>
        <v>-6.7984728957526396E-14</v>
      </c>
      <c r="CV129" s="14" t="e">
        <f t="shared" si="95"/>
        <v>#NUM!</v>
      </c>
      <c r="CW129" s="22" t="e">
        <f t="shared" si="67"/>
        <v>#NUM!</v>
      </c>
      <c r="CX129" s="60" t="e">
        <f t="shared" si="68"/>
        <v>#NUM!</v>
      </c>
      <c r="CY129" s="60">
        <f ca="1">AVERAGE(OFFSET($CX$3,0,0,'Données projet'!$E$13+1,1))-AVERAGE(OFFSET($H$3,0,0,'Données projet'!$E$13+1,1))</f>
        <v>232.73140429491525</v>
      </c>
      <c r="CZ129" s="60">
        <f t="shared" si="96"/>
        <v>201.02719152328638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0.55602002129159389</v>
      </c>
      <c r="DH129" s="23">
        <f>EXP(-LN(2)/2)*DH128+(1-EXP(-LN(2)/2))/(LN(2)/2)*DB129*DE129*VLOOKUP('Données projet'!$B$13,Paramètres!$A$1:$I$89,3,0)*0.475*44/12</f>
        <v>1.0938174779520529E-14</v>
      </c>
      <c r="DI129" s="24">
        <f t="shared" si="69"/>
        <v>0.55602002129160488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>
        <f>DO129*VLOOKUP('Données projet'!$B$14,Paramètres!$A$1:$I$89,3,0)*VLOOKUP('Données projet'!$B$14,Paramètres!$A$1:$I$89,5,0)</f>
        <v>0</v>
      </c>
      <c r="DQ129" s="14" t="e">
        <f t="shared" si="97"/>
        <v>#NUM!</v>
      </c>
      <c r="DR129" s="22" t="e">
        <f t="shared" si="70"/>
        <v>#NUM!</v>
      </c>
      <c r="DS129" s="60" t="e">
        <f t="shared" si="71"/>
        <v>#NUM!</v>
      </c>
      <c r="DT129" s="60">
        <f ca="1">AVERAGE(OFFSET($DS$3,0,0,'Données projet'!$E$14+1,1))-AVERAGE(OFFSET($H$3,0,0,'Données projet'!$E$14+1,1))</f>
        <v>302.15577364214136</v>
      </c>
      <c r="DU129" s="60">
        <f t="shared" si="98"/>
        <v>197.15142751137051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2.6282051282051269</v>
      </c>
      <c r="EJ129" s="13">
        <f>IF('Données projet'!$A$192&gt;35,EJ128+EI129-ER128,IF(A129&lt;'Données projet'!$A$192,$EG$205^A129,IF(A129='Données projet'!$A$192,'Données projet'!$B$192,EJ128+EI129-ER128)))</f>
        <v>328.58974358974302</v>
      </c>
      <c r="EK129" s="18">
        <f>EJ129*VLOOKUP('Données projet'!$B$15,Paramètres!$A$1:$I$89,3,0)*VLOOKUP('Données projet'!$B$15,Paramètres!$A$1:$I$89,5,0)</f>
        <v>343.44199999999944</v>
      </c>
      <c r="EL129" s="14">
        <f t="shared" si="99"/>
        <v>80.210667988811437</v>
      </c>
      <c r="EM129" s="22">
        <f t="shared" si="73"/>
        <v>737.86173008051219</v>
      </c>
      <c r="EN129" s="60">
        <f t="shared" si="74"/>
        <v>1031.1950634138454</v>
      </c>
      <c r="EO129" s="60">
        <f ca="1">AVERAGE(OFFSET($EN$3,0,0,'Données projet'!$E$15+1,1))-AVERAGE(OFFSET($H$3,0,0,'Données projet'!$E$15+1,1))</f>
        <v>493.70175665335978</v>
      </c>
      <c r="EP129" s="60">
        <f t="shared" si="100"/>
        <v>325.12357781685949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0" t="e">
        <f t="shared" si="77"/>
        <v>#N/A</v>
      </c>
      <c r="FJ129" s="60" t="e">
        <f ca="1">AVERAGE(OFFSET($FI$3,0,0,'Données projet'!$E$16+1,1))-AVERAGE(OFFSET($H$3,0,0,'Données projet'!$E$16+1,1))</f>
        <v>#N/A</v>
      </c>
      <c r="FK129" s="60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0" t="e">
        <f t="shared" si="80"/>
        <v>#N/A</v>
      </c>
      <c r="GE129" s="60" t="e">
        <f ca="1">AVERAGE(OFFSET($GD$3,0,0,'Données projet'!$E$17+1,1))-AVERAGE(OFFSET($H$3,0,0,'Données projet'!$E$17+1,1))</f>
        <v>#N/A</v>
      </c>
      <c r="GF129" s="60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5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8">
        <f t="shared" si="56"/>
        <v>256.66666666666669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0">
        <f t="shared" si="55"/>
        <v>293.3333333333353</v>
      </c>
      <c r="S130" s="60">
        <f ca="1">AVERAGE(OFFSET($R$3,0,0,'Données projet'!$E$9+1,1))-AVERAGE(OFFSET($H$3,0,0,'Données projet'!$E$9+1,1))</f>
        <v>260.02504691866199</v>
      </c>
      <c r="T130" s="60">
        <f t="shared" si="88"/>
        <v>270.11268336406368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1.4658089648750654</v>
      </c>
      <c r="AA130" s="23">
        <f>EXP(-LN(2)/25)*AA129+(1-EXP(-LN(2)/25))/(LN(2)/25)*Calculateur!V130*Calculateur!X130*VLOOKUP('Données projet'!$B$9,Paramètres!$A$1:$I$89,3,0)*0.475*44/12</f>
        <v>1.1163509307758013</v>
      </c>
      <c r="AB130" s="23">
        <f>EXP(-LN(2)/2)*AB129+(1-EXP(-LN(2)/2))/(LN(2)/2)*V130*Y130*VLOOKUP('Données projet'!$B$9,Paramètres!$A$1:$I$89,3,0)*0.475*44/12</f>
        <v>1.5926919791271488E-14</v>
      </c>
      <c r="AC130" s="24">
        <f t="shared" si="57"/>
        <v>2.5821598956508827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3.2</v>
      </c>
      <c r="AI130" s="14">
        <f>IF('Données projet'!$A$62&gt;35,AI129+AH130-AQ129,IF(A130&lt;'Données projet'!$A$62,$AF$205^A130,IF(A130='Données projet'!$A$62,'Données projet'!$B$62,AI129+AH130-AQ129)))</f>
        <v>290.39999999999941</v>
      </c>
      <c r="AJ130" s="14">
        <f>AI130*VLOOKUP('Données projet'!$B$10,Paramètres!$A$1:$I$89,3,0)*VLOOKUP('Données projet'!$B$10,Paramètres!$A$1:$I$89,5,0)</f>
        <v>294.46559999999943</v>
      </c>
      <c r="AK130" s="14">
        <f t="shared" si="89"/>
        <v>70.0149863201041</v>
      </c>
      <c r="AL130" s="22">
        <f t="shared" si="58"/>
        <v>634.80368784084692</v>
      </c>
      <c r="AM130" s="60">
        <f t="shared" si="59"/>
        <v>928.13702117418029</v>
      </c>
      <c r="AN130" s="60">
        <f ca="1">AVERAGE(OFFSET($AM$3,0,0,'Données projet'!$E$10+1,1))-AVERAGE(OFFSET($H$3,0,0,'Données projet'!$E$10+1,1))</f>
        <v>475.47920969424894</v>
      </c>
      <c r="AO130" s="60">
        <f t="shared" si="90"/>
        <v>271.73544012419364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2.2000000000000002</v>
      </c>
      <c r="BD130" s="13">
        <f>IF('Données projet'!$A$88&gt;35,BD129+BC130-BL129,IF(A130&lt;'Données projet'!$A$88,$BA$205^A130,IF(A130='Données projet'!$A$88,'Données projet'!$B$88,BD129+BC130-BL129)))</f>
        <v>224.39999999999995</v>
      </c>
      <c r="BE130" s="14">
        <f>BD130*VLOOKUP('Données projet'!$B$11,Paramètres!$A$1:$I$89,3,0)*VLOOKUP('Données projet'!$B$11,Paramètres!$A$1:$I$89,5,0)</f>
        <v>203.03711999999993</v>
      </c>
      <c r="BF130" s="14">
        <f t="shared" si="91"/>
        <v>50.411048175323288</v>
      </c>
      <c r="BG130" s="22">
        <f t="shared" si="61"/>
        <v>441.42222623868793</v>
      </c>
      <c r="BH130" s="60">
        <f t="shared" si="62"/>
        <v>734.75555957202118</v>
      </c>
      <c r="BI130" s="60">
        <f ca="1">AVERAGE(OFFSET($BH$3,0,0,'Données projet'!$E$11+1,1))-AVERAGE(OFFSET($H$3,0,0,'Données projet'!$E$11+1,1))</f>
        <v>325.2649384779973</v>
      </c>
      <c r="BJ130" s="60">
        <f t="shared" si="92"/>
        <v>146.70159365068315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1.0231815394945443E-12</v>
      </c>
      <c r="BZ130" s="14">
        <f>BY130*VLOOKUP('Données projet'!$B$12,Paramètres!$A$1:$I$89,3,0)*VLOOKUP('Données projet'!$B$12,Paramètres!$A$1:$I$89,5,0)</f>
        <v>4.5224624045658859E-13</v>
      </c>
      <c r="CA130" s="14">
        <f t="shared" si="93"/>
        <v>5.6995607121061449E-12</v>
      </c>
      <c r="CB130" s="22">
        <f t="shared" si="64"/>
        <v>1.0714397109046761E-11</v>
      </c>
      <c r="CC130" s="60">
        <f t="shared" si="65"/>
        <v>293.333333333344</v>
      </c>
      <c r="CD130" s="60">
        <f ca="1">AVERAGE(OFFSET($CC$3,0,0,'Données projet'!$E$12+1,1))-AVERAGE(OFFSET($H$3,0,0,'Données projet'!$E$12+1,1))</f>
        <v>401.84375324751227</v>
      </c>
      <c r="CE130" s="60">
        <f t="shared" si="94"/>
        <v>350.39368043404164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0.56601211757895775</v>
      </c>
      <c r="CM130" s="23">
        <f>EXP(-LN(2)/2)*CM129+(1-EXP(-LN(2)/2))/(LN(2)/2)*CG130*CJ130*VLOOKUP('Données projet'!$B$12,Paramètres!$A$1:$I$89,3,0)*0.475*44/12</f>
        <v>3.5003267569913263E-15</v>
      </c>
      <c r="CN130" s="24">
        <f t="shared" si="66"/>
        <v>0.5660121175789613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-1.1368683772161603E-13</v>
      </c>
      <c r="CU130" s="18">
        <f>CT130*VLOOKUP('Données projet'!$B$13,Paramètres!$A$1:$I$89,3,0)*VLOOKUP('Données projet'!$B$13,Paramètres!$A$1:$I$89,5,0)</f>
        <v>-6.7984728957526396E-14</v>
      </c>
      <c r="CV130" s="14" t="e">
        <f t="shared" si="95"/>
        <v>#NUM!</v>
      </c>
      <c r="CW130" s="22" t="e">
        <f t="shared" si="67"/>
        <v>#NUM!</v>
      </c>
      <c r="CX130" s="60" t="e">
        <f t="shared" si="68"/>
        <v>#NUM!</v>
      </c>
      <c r="CY130" s="60">
        <f ca="1">AVERAGE(OFFSET($CX$3,0,0,'Données projet'!$E$13+1,1))-AVERAGE(OFFSET($H$3,0,0,'Données projet'!$E$13+1,1))</f>
        <v>232.73140429491525</v>
      </c>
      <c r="CZ130" s="60">
        <f t="shared" si="96"/>
        <v>201.02719152328638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0.54081562456955312</v>
      </c>
      <c r="DH130" s="23">
        <f>EXP(-LN(2)/2)*DH129+(1-EXP(-LN(2)/2))/(LN(2)/2)*DB130*DE130*VLOOKUP('Données projet'!$B$13,Paramètres!$A$1:$I$89,3,0)*0.475*44/12</f>
        <v>7.7344575604026357E-15</v>
      </c>
      <c r="DI130" s="24">
        <f t="shared" si="69"/>
        <v>0.54081562456956089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>
        <f>DO130*VLOOKUP('Données projet'!$B$14,Paramètres!$A$1:$I$89,3,0)*VLOOKUP('Données projet'!$B$14,Paramètres!$A$1:$I$89,5,0)</f>
        <v>0</v>
      </c>
      <c r="DQ130" s="14" t="e">
        <f t="shared" si="97"/>
        <v>#NUM!</v>
      </c>
      <c r="DR130" s="22" t="e">
        <f t="shared" si="70"/>
        <v>#NUM!</v>
      </c>
      <c r="DS130" s="60" t="e">
        <f t="shared" si="71"/>
        <v>#NUM!</v>
      </c>
      <c r="DT130" s="60">
        <f ca="1">AVERAGE(OFFSET($DS$3,0,0,'Données projet'!$E$14+1,1))-AVERAGE(OFFSET($H$3,0,0,'Données projet'!$E$14+1,1))</f>
        <v>302.15577364214136</v>
      </c>
      <c r="DU130" s="60">
        <f t="shared" si="98"/>
        <v>197.15142751137051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2.6282051282051269</v>
      </c>
      <c r="EJ130" s="13">
        <f>IF('Données projet'!$A$192&gt;35,EJ129+EI130-ER129,IF(A130&lt;'Données projet'!$A$192,$EG$205^A130,IF(A130='Données projet'!$A$192,'Données projet'!$B$192,EJ129+EI130-ER129)))</f>
        <v>331.21794871794816</v>
      </c>
      <c r="EK130" s="18">
        <f>EJ130*VLOOKUP('Données projet'!$B$15,Paramètres!$A$1:$I$89,3,0)*VLOOKUP('Données projet'!$B$15,Paramètres!$A$1:$I$89,5,0)</f>
        <v>346.18899999999945</v>
      </c>
      <c r="EL130" s="14">
        <f t="shared" si="99"/>
        <v>80.77728744058544</v>
      </c>
      <c r="EM130" s="22">
        <f t="shared" si="73"/>
        <v>743.63295062568523</v>
      </c>
      <c r="EN130" s="60">
        <f t="shared" si="74"/>
        <v>1036.9662839590185</v>
      </c>
      <c r="EO130" s="60">
        <f ca="1">AVERAGE(OFFSET($EN$3,0,0,'Données projet'!$E$15+1,1))-AVERAGE(OFFSET($H$3,0,0,'Données projet'!$E$15+1,1))</f>
        <v>493.70175665335978</v>
      </c>
      <c r="EP130" s="60">
        <f t="shared" si="100"/>
        <v>325.12357781685949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0" t="e">
        <f t="shared" si="77"/>
        <v>#N/A</v>
      </c>
      <c r="FJ130" s="60" t="e">
        <f ca="1">AVERAGE(OFFSET($FI$3,0,0,'Données projet'!$E$16+1,1))-AVERAGE(OFFSET($H$3,0,0,'Données projet'!$E$16+1,1))</f>
        <v>#N/A</v>
      </c>
      <c r="FK130" s="60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0" t="e">
        <f t="shared" si="80"/>
        <v>#N/A</v>
      </c>
      <c r="GE130" s="60" t="e">
        <f ca="1">AVERAGE(OFFSET($GD$3,0,0,'Données projet'!$E$17+1,1))-AVERAGE(OFFSET($H$3,0,0,'Données projet'!$E$17+1,1))</f>
        <v>#N/A</v>
      </c>
      <c r="GF130" s="60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5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8">
        <f t="shared" si="56"/>
        <v>256.66666666666669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0">
        <f t="shared" ref="R131:R194" si="109">Q131+(I131+J131)*44/12</f>
        <v>293.3333333333353</v>
      </c>
      <c r="S131" s="60">
        <f ca="1">AVERAGE(OFFSET($R$3,0,0,'Données projet'!$E$9+1,1))-AVERAGE(OFFSET($H$3,0,0,'Données projet'!$E$9+1,1))</f>
        <v>260.02504691866199</v>
      </c>
      <c r="T131" s="60">
        <f t="shared" si="88"/>
        <v>270.11268336406368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1.4370653451290534</v>
      </c>
      <c r="AA131" s="23">
        <f>EXP(-LN(2)/25)*AA130+(1-EXP(-LN(2)/25))/(LN(2)/25)*Calculateur!V131*Calculateur!X131*VLOOKUP('Données projet'!$B$9,Paramètres!$A$1:$I$89,3,0)*0.475*44/12</f>
        <v>1.085824255867393</v>
      </c>
      <c r="AB131" s="23">
        <f>EXP(-LN(2)/2)*AB130+(1-EXP(-LN(2)/2))/(LN(2)/2)*V131*Y131*VLOOKUP('Données projet'!$B$9,Paramètres!$A$1:$I$89,3,0)*0.475*44/12</f>
        <v>1.1262032987822301E-14</v>
      </c>
      <c r="AC131" s="24">
        <f t="shared" si="57"/>
        <v>2.5228896009964576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3.2</v>
      </c>
      <c r="AI131" s="14">
        <f>IF('Données projet'!$A$62&gt;35,AI130+AH131-AQ130,IF(A131&lt;'Données projet'!$A$62,$AF$205^A131,IF(A131='Données projet'!$A$62,'Données projet'!$B$62,AI130+AH131-AQ130)))</f>
        <v>293.5999999999994</v>
      </c>
      <c r="AJ131" s="14">
        <f>AI131*VLOOKUP('Données projet'!$B$10,Paramètres!$A$1:$I$89,3,0)*VLOOKUP('Données projet'!$B$10,Paramètres!$A$1:$I$89,5,0)</f>
        <v>297.71039999999937</v>
      </c>
      <c r="AK131" s="14">
        <f t="shared" si="89"/>
        <v>70.696261560936534</v>
      </c>
      <c r="AL131" s="22">
        <f t="shared" si="58"/>
        <v>641.64160221862994</v>
      </c>
      <c r="AM131" s="60">
        <f t="shared" si="59"/>
        <v>934.9749355519632</v>
      </c>
      <c r="AN131" s="60">
        <f ca="1">AVERAGE(OFFSET($AM$3,0,0,'Données projet'!$E$10+1,1))-AVERAGE(OFFSET($H$3,0,0,'Données projet'!$E$10+1,1))</f>
        <v>475.47920969424894</v>
      </c>
      <c r="AO131" s="60">
        <f t="shared" si="90"/>
        <v>271.73544012419364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2.2000000000000002</v>
      </c>
      <c r="BD131" s="13">
        <f>IF('Données projet'!$A$88&gt;35,BD130+BC131-BL130,IF(A131&lt;'Données projet'!$A$88,$BA$205^A131,IF(A131='Données projet'!$A$88,'Données projet'!$B$88,BD130+BC131-BL130)))</f>
        <v>226.59999999999994</v>
      </c>
      <c r="BE131" s="14">
        <f>BD131*VLOOKUP('Données projet'!$B$11,Paramètres!$A$1:$I$89,3,0)*VLOOKUP('Données projet'!$B$11,Paramètres!$A$1:$I$89,5,0)</f>
        <v>205.02767999999995</v>
      </c>
      <c r="BF131" s="14">
        <f t="shared" si="91"/>
        <v>50.847497965409232</v>
      </c>
      <c r="BG131" s="22">
        <f t="shared" si="61"/>
        <v>445.64926828975427</v>
      </c>
      <c r="BH131" s="60">
        <f t="shared" si="62"/>
        <v>738.98260162308759</v>
      </c>
      <c r="BI131" s="60">
        <f ca="1">AVERAGE(OFFSET($BH$3,0,0,'Données projet'!$E$11+1,1))-AVERAGE(OFFSET($H$3,0,0,'Données projet'!$E$11+1,1))</f>
        <v>325.2649384779973</v>
      </c>
      <c r="BJ131" s="60">
        <f t="shared" si="92"/>
        <v>146.70159365068315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1.0231815394945443E-12</v>
      </c>
      <c r="BZ131" s="14">
        <f>BY131*VLOOKUP('Données projet'!$B$12,Paramètres!$A$1:$I$89,3,0)*VLOOKUP('Données projet'!$B$12,Paramètres!$A$1:$I$89,5,0)</f>
        <v>4.5224624045658859E-13</v>
      </c>
      <c r="CA131" s="14">
        <f t="shared" si="93"/>
        <v>5.6995607121061449E-12</v>
      </c>
      <c r="CB131" s="22">
        <f t="shared" si="64"/>
        <v>1.0714397109046761E-11</v>
      </c>
      <c r="CC131" s="60">
        <f t="shared" si="65"/>
        <v>293.333333333344</v>
      </c>
      <c r="CD131" s="60">
        <f ca="1">AVERAGE(OFFSET($CC$3,0,0,'Données projet'!$E$12+1,1))-AVERAGE(OFFSET($H$3,0,0,'Données projet'!$E$12+1,1))</f>
        <v>401.84375324751227</v>
      </c>
      <c r="CE131" s="60">
        <f t="shared" si="94"/>
        <v>350.39368043404164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0.55053448645847758</v>
      </c>
      <c r="CM131" s="23">
        <f>EXP(-LN(2)/2)*CM130+(1-EXP(-LN(2)/2))/(LN(2)/2)*CG131*CJ131*VLOOKUP('Données projet'!$B$12,Paramètres!$A$1:$I$89,3,0)*0.475*44/12</f>
        <v>2.4751047862372836E-15</v>
      </c>
      <c r="CN131" s="24">
        <f t="shared" si="66"/>
        <v>0.55053448645848002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-1.1368683772161603E-13</v>
      </c>
      <c r="CU131" s="18">
        <f>CT131*VLOOKUP('Données projet'!$B$13,Paramètres!$A$1:$I$89,3,0)*VLOOKUP('Données projet'!$B$13,Paramètres!$A$1:$I$89,5,0)</f>
        <v>-6.7984728957526396E-14</v>
      </c>
      <c r="CV131" s="14" t="e">
        <f t="shared" si="95"/>
        <v>#NUM!</v>
      </c>
      <c r="CW131" s="22" t="e">
        <f t="shared" si="67"/>
        <v>#NUM!</v>
      </c>
      <c r="CX131" s="60" t="e">
        <f t="shared" si="68"/>
        <v>#NUM!</v>
      </c>
      <c r="CY131" s="60">
        <f ca="1">AVERAGE(OFFSET($CX$3,0,0,'Données projet'!$E$13+1,1))-AVERAGE(OFFSET($H$3,0,0,'Données projet'!$E$13+1,1))</f>
        <v>232.73140429491525</v>
      </c>
      <c r="CZ131" s="60">
        <f t="shared" si="96"/>
        <v>201.02719152328638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0.52602699287544108</v>
      </c>
      <c r="DH131" s="23">
        <f>EXP(-LN(2)/2)*DH130+(1-EXP(-LN(2)/2))/(LN(2)/2)*DB131*DE131*VLOOKUP('Données projet'!$B$13,Paramètres!$A$1:$I$89,3,0)*0.475*44/12</f>
        <v>5.4690873897602647E-15</v>
      </c>
      <c r="DI131" s="24">
        <f t="shared" si="69"/>
        <v>0.52602699287544652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>
        <f>DO131*VLOOKUP('Données projet'!$B$14,Paramètres!$A$1:$I$89,3,0)*VLOOKUP('Données projet'!$B$14,Paramètres!$A$1:$I$89,5,0)</f>
        <v>0</v>
      </c>
      <c r="DQ131" s="14" t="e">
        <f t="shared" si="97"/>
        <v>#NUM!</v>
      </c>
      <c r="DR131" s="22" t="e">
        <f t="shared" si="70"/>
        <v>#NUM!</v>
      </c>
      <c r="DS131" s="60" t="e">
        <f t="shared" si="71"/>
        <v>#NUM!</v>
      </c>
      <c r="DT131" s="60">
        <f ca="1">AVERAGE(OFFSET($DS$3,0,0,'Données projet'!$E$14+1,1))-AVERAGE(OFFSET($H$3,0,0,'Données projet'!$E$14+1,1))</f>
        <v>302.15577364214136</v>
      </c>
      <c r="DU131" s="60">
        <f t="shared" si="98"/>
        <v>197.15142751137051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2.6282051282051269</v>
      </c>
      <c r="EJ131" s="13">
        <f>IF('Données projet'!$A$192&gt;35,EJ130+EI131-ER130,IF(A131&lt;'Données projet'!$A$192,$EG$205^A131,IF(A131='Données projet'!$A$192,'Données projet'!$B$192,EJ130+EI131-ER130)))</f>
        <v>333.8461538461533</v>
      </c>
      <c r="EK131" s="18">
        <f>EJ131*VLOOKUP('Données projet'!$B$15,Paramètres!$A$1:$I$89,3,0)*VLOOKUP('Données projet'!$B$15,Paramètres!$A$1:$I$89,5,0)</f>
        <v>348.93599999999947</v>
      </c>
      <c r="EL131" s="14">
        <f t="shared" si="99"/>
        <v>81.343383781028564</v>
      </c>
      <c r="EM131" s="22">
        <f t="shared" si="73"/>
        <v>749.40326008529053</v>
      </c>
      <c r="EN131" s="60">
        <f t="shared" si="74"/>
        <v>1042.7365934186239</v>
      </c>
      <c r="EO131" s="60">
        <f ca="1">AVERAGE(OFFSET($EN$3,0,0,'Données projet'!$E$15+1,1))-AVERAGE(OFFSET($H$3,0,0,'Données projet'!$E$15+1,1))</f>
        <v>493.70175665335978</v>
      </c>
      <c r="EP131" s="60">
        <f t="shared" si="100"/>
        <v>325.12357781685949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0" t="e">
        <f t="shared" si="77"/>
        <v>#N/A</v>
      </c>
      <c r="FJ131" s="60" t="e">
        <f ca="1">AVERAGE(OFFSET($FI$3,0,0,'Données projet'!$E$16+1,1))-AVERAGE(OFFSET($H$3,0,0,'Données projet'!$E$16+1,1))</f>
        <v>#N/A</v>
      </c>
      <c r="FK131" s="60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0" t="e">
        <f t="shared" si="80"/>
        <v>#N/A</v>
      </c>
      <c r="GE131" s="60" t="e">
        <f ca="1">AVERAGE(OFFSET($GD$3,0,0,'Données projet'!$E$17+1,1))-AVERAGE(OFFSET($H$3,0,0,'Données projet'!$E$17+1,1))</f>
        <v>#N/A</v>
      </c>
      <c r="GF131" s="60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5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8">
        <f t="shared" ref="H132:H195" si="110">(B132+E132+F132)*44/12+(C132+D132)*0.475*44/12</f>
        <v>256.66666666666669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0">
        <f t="shared" si="109"/>
        <v>293.3333333333353</v>
      </c>
      <c r="S132" s="60">
        <f ca="1">AVERAGE(OFFSET($R$3,0,0,'Données projet'!$E$9+1,1))-AVERAGE(OFFSET($H$3,0,0,'Données projet'!$E$9+1,1))</f>
        <v>260.02504691866199</v>
      </c>
      <c r="T132" s="60">
        <f t="shared" si="88"/>
        <v>270.11268336406368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1.4088853702343838</v>
      </c>
      <c r="AA132" s="23">
        <f>EXP(-LN(2)/25)*AA131+(1-EXP(-LN(2)/25))/(LN(2)/25)*Calculateur!V132*Calculateur!X132*VLOOKUP('Données projet'!$B$9,Paramètres!$A$1:$I$89,3,0)*0.475*44/12</f>
        <v>1.0561323344896831</v>
      </c>
      <c r="AB132" s="23">
        <f>EXP(-LN(2)/2)*AB131+(1-EXP(-LN(2)/2))/(LN(2)/2)*V132*Y132*VLOOKUP('Données projet'!$B$9,Paramètres!$A$1:$I$89,3,0)*0.475*44/12</f>
        <v>7.963459895635744E-15</v>
      </c>
      <c r="AC132" s="24">
        <f t="shared" ref="AC132:AC153" si="111">SUM(Z132:AB132)</f>
        <v>2.4650177047240751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3.2</v>
      </c>
      <c r="AI132" s="14">
        <f>IF('Données projet'!$A$62&gt;35,AI131+AH132-AQ131,IF(A132&lt;'Données projet'!$A$62,$AF$205^A132,IF(A132='Données projet'!$A$62,'Données projet'!$B$62,AI131+AH132-AQ131)))</f>
        <v>296.79999999999939</v>
      </c>
      <c r="AJ132" s="14">
        <f>AI132*VLOOKUP('Données projet'!$B$10,Paramètres!$A$1:$I$89,3,0)*VLOOKUP('Données projet'!$B$10,Paramètres!$A$1:$I$89,5,0)</f>
        <v>300.95519999999942</v>
      </c>
      <c r="AK132" s="14">
        <f t="shared" si="89"/>
        <v>71.376673021759657</v>
      </c>
      <c r="AL132" s="22">
        <f t="shared" ref="AL132:AL153" si="112">(AJ132+AK132)*0.475*44/12</f>
        <v>648.47801217956373</v>
      </c>
      <c r="AM132" s="60">
        <f t="shared" ref="AM132:AM195" si="113">AL132+(AD132+AE132)*44/12</f>
        <v>941.81134551289711</v>
      </c>
      <c r="AN132" s="60">
        <f ca="1">AVERAGE(OFFSET($AM$3,0,0,'Données projet'!$E$10+1,1))-AVERAGE(OFFSET($H$3,0,0,'Données projet'!$E$10+1,1))</f>
        <v>475.47920969424894</v>
      </c>
      <c r="AO132" s="60">
        <f t="shared" si="90"/>
        <v>271.73544012419364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2.2000000000000002</v>
      </c>
      <c r="BD132" s="13">
        <f>IF('Données projet'!$A$88&gt;35,BD131+BC132-BL131,IF(A132&lt;'Données projet'!$A$88,$BA$205^A132,IF(A132='Données projet'!$A$88,'Données projet'!$B$88,BD131+BC132-BL131)))</f>
        <v>228.79999999999993</v>
      </c>
      <c r="BE132" s="14">
        <f>BD132*VLOOKUP('Données projet'!$B$11,Paramètres!$A$1:$I$89,3,0)*VLOOKUP('Données projet'!$B$11,Paramètres!$A$1:$I$89,5,0)</f>
        <v>207.01823999999993</v>
      </c>
      <c r="BF132" s="14">
        <f t="shared" si="91"/>
        <v>51.283454795262195</v>
      </c>
      <c r="BG132" s="22">
        <f t="shared" ref="BG132:BG153" si="115">(BE132+BF132)*0.475*44/12</f>
        <v>449.87545176841485</v>
      </c>
      <c r="BH132" s="60">
        <f t="shared" ref="BH132:BH195" si="116">BG132+(AY132+AZ132)*44/12</f>
        <v>743.20878510174816</v>
      </c>
      <c r="BI132" s="60">
        <f ca="1">AVERAGE(OFFSET($BH$3,0,0,'Données projet'!$E$11+1,1))-AVERAGE(OFFSET($H$3,0,0,'Données projet'!$E$11+1,1))</f>
        <v>325.2649384779973</v>
      </c>
      <c r="BJ132" s="60">
        <f t="shared" si="92"/>
        <v>146.70159365068315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1.0231815394945443E-12</v>
      </c>
      <c r="BZ132" s="14">
        <f>BY132*VLOOKUP('Données projet'!$B$12,Paramètres!$A$1:$I$89,3,0)*VLOOKUP('Données projet'!$B$12,Paramètres!$A$1:$I$89,5,0)</f>
        <v>4.5224624045658859E-13</v>
      </c>
      <c r="CA132" s="14">
        <f t="shared" si="93"/>
        <v>5.6995607121061449E-12</v>
      </c>
      <c r="CB132" s="22">
        <f t="shared" ref="CB132:CB153" si="118">(BZ132+CA132)*0.475*44/12</f>
        <v>1.0714397109046761E-11</v>
      </c>
      <c r="CC132" s="60">
        <f t="shared" ref="CC132:CC195" si="119">CB132+(BT132+BU132)*44/12</f>
        <v>293.333333333344</v>
      </c>
      <c r="CD132" s="60">
        <f ca="1">AVERAGE(OFFSET($CC$3,0,0,'Données projet'!$E$12+1,1))-AVERAGE(OFFSET($H$3,0,0,'Données projet'!$E$12+1,1))</f>
        <v>401.84375324751227</v>
      </c>
      <c r="CE132" s="60">
        <f t="shared" si="94"/>
        <v>350.39368043404164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0.53548009197492008</v>
      </c>
      <c r="CM132" s="23">
        <f>EXP(-LN(2)/2)*CM131+(1-EXP(-LN(2)/2))/(LN(2)/2)*CG132*CJ132*VLOOKUP('Données projet'!$B$12,Paramètres!$A$1:$I$89,3,0)*0.475*44/12</f>
        <v>1.7501633784956636E-15</v>
      </c>
      <c r="CN132" s="24">
        <f t="shared" ref="CN132:CN153" si="120">SUM(CK132:CM132)</f>
        <v>0.53548009197492186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-1.1368683772161603E-13</v>
      </c>
      <c r="CU132" s="18">
        <f>CT132*VLOOKUP('Données projet'!$B$13,Paramètres!$A$1:$I$89,3,0)*VLOOKUP('Données projet'!$B$13,Paramètres!$A$1:$I$89,5,0)</f>
        <v>-6.7984728957526396E-14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0" t="e">
        <f t="shared" ref="CX132:CX195" si="122">CW132+(CO132+CP132)*44/12</f>
        <v>#NUM!</v>
      </c>
      <c r="CY132" s="60">
        <f ca="1">AVERAGE(OFFSET($CX$3,0,0,'Données projet'!$E$13+1,1))-AVERAGE(OFFSET($H$3,0,0,'Données projet'!$E$13+1,1))</f>
        <v>232.73140429491525</v>
      </c>
      <c r="CZ132" s="60">
        <f t="shared" si="96"/>
        <v>201.02719152328638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0.51164275709270479</v>
      </c>
      <c r="DH132" s="23">
        <f>EXP(-LN(2)/2)*DH131+(1-EXP(-LN(2)/2))/(LN(2)/2)*DB132*DE132*VLOOKUP('Données projet'!$B$13,Paramètres!$A$1:$I$89,3,0)*0.475*44/12</f>
        <v>3.8672287802013178E-15</v>
      </c>
      <c r="DI132" s="24">
        <f t="shared" ref="DI132:DI153" si="123">SUM(DF132:DH132)</f>
        <v>0.51164275709270868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>
        <f>DO132*VLOOKUP('Données projet'!$B$14,Paramètres!$A$1:$I$89,3,0)*VLOOKUP('Données projet'!$B$14,Paramètres!$A$1:$I$89,5,0)</f>
        <v>0</v>
      </c>
      <c r="DQ132" s="14" t="e">
        <f t="shared" si="97"/>
        <v>#NUM!</v>
      </c>
      <c r="DR132" s="22" t="e">
        <f t="shared" ref="DR132:DR153" si="124">(DP132+DQ132)*0.475*44/12</f>
        <v>#NUM!</v>
      </c>
      <c r="DS132" s="60" t="e">
        <f t="shared" ref="DS132:DS195" si="125">DR132+(DJ132+DK132)*44/12</f>
        <v>#NUM!</v>
      </c>
      <c r="DT132" s="60">
        <f ca="1">AVERAGE(OFFSET($DS$3,0,0,'Données projet'!$E$14+1,1))-AVERAGE(OFFSET($H$3,0,0,'Données projet'!$E$14+1,1))</f>
        <v>302.15577364214136</v>
      </c>
      <c r="DU132" s="60">
        <f t="shared" si="98"/>
        <v>197.15142751137051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2.6282051282051269</v>
      </c>
      <c r="EJ132" s="13">
        <f>IF('Données projet'!$A$192&gt;35,EJ131+EI132-ER131,IF(A132&lt;'Données projet'!$A$192,$EG$205^A132,IF(A132='Données projet'!$A$192,'Données projet'!$B$192,EJ131+EI132-ER131)))</f>
        <v>336.47435897435844</v>
      </c>
      <c r="EK132" s="18">
        <f>EJ132*VLOOKUP('Données projet'!$B$15,Paramètres!$A$1:$I$89,3,0)*VLOOKUP('Données projet'!$B$15,Paramètres!$A$1:$I$89,5,0)</f>
        <v>351.68299999999948</v>
      </c>
      <c r="EL132" s="14">
        <f t="shared" si="99"/>
        <v>81.908961605684084</v>
      </c>
      <c r="EM132" s="22">
        <f t="shared" ref="EM132:EM153" si="127">(EK132+EL132)*0.475*44/12</f>
        <v>755.17266646323208</v>
      </c>
      <c r="EN132" s="60">
        <f t="shared" ref="EN132:EN195" si="128">EM132+(EE132+EF132)*44/12</f>
        <v>1048.5059997965654</v>
      </c>
      <c r="EO132" s="60">
        <f ca="1">AVERAGE(OFFSET($EN$3,0,0,'Données projet'!$E$15+1,1))-AVERAGE(OFFSET($H$3,0,0,'Données projet'!$E$15+1,1))</f>
        <v>493.70175665335978</v>
      </c>
      <c r="EP132" s="60">
        <f t="shared" si="100"/>
        <v>325.12357781685949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0" t="e">
        <f t="shared" ref="FI132:FI195" si="131">FH132+(EZ132+FA132)*44/12</f>
        <v>#N/A</v>
      </c>
      <c r="FJ132" s="60" t="e">
        <f ca="1">AVERAGE(OFFSET($FI$3,0,0,'Données projet'!$E$16+1,1))-AVERAGE(OFFSET($H$3,0,0,'Données projet'!$E$16+1,1))</f>
        <v>#N/A</v>
      </c>
      <c r="FK132" s="60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0" t="e">
        <f t="shared" ref="GD132:GD195" si="134">GC132+(FU132+FV132)*44/12</f>
        <v>#N/A</v>
      </c>
      <c r="GE132" s="60" t="e">
        <f ca="1">AVERAGE(OFFSET($GD$3,0,0,'Données projet'!$E$17+1,1))-AVERAGE(OFFSET($H$3,0,0,'Données projet'!$E$17+1,1))</f>
        <v>#N/A</v>
      </c>
      <c r="GF132" s="60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5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8">
        <f t="shared" si="110"/>
        <v>256.66666666666669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0">
        <f t="shared" si="109"/>
        <v>293.3333333333353</v>
      </c>
      <c r="S133" s="60">
        <f ca="1">AVERAGE(OFFSET($R$3,0,0,'Données projet'!$E$9+1,1))-AVERAGE(OFFSET($H$3,0,0,'Données projet'!$E$9+1,1))</f>
        <v>260.02504691866199</v>
      </c>
      <c r="T133" s="60">
        <f t="shared" ref="T133:T196" si="142">$T$3</f>
        <v>270.11268336406368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1.3812579874593109</v>
      </c>
      <c r="AA133" s="23">
        <f>EXP(-LN(2)/25)*AA132+(1-EXP(-LN(2)/25))/(LN(2)/25)*Calculateur!V133*Calculateur!X133*VLOOKUP('Données projet'!$B$9,Paramètres!$A$1:$I$89,3,0)*0.475*44/12</f>
        <v>1.027252340263477</v>
      </c>
      <c r="AB133" s="23">
        <f>EXP(-LN(2)/2)*AB132+(1-EXP(-LN(2)/2))/(LN(2)/2)*V133*Y133*VLOOKUP('Données projet'!$B$9,Paramètres!$A$1:$I$89,3,0)*0.475*44/12</f>
        <v>5.6310164939111507E-15</v>
      </c>
      <c r="AC133" s="24">
        <f t="shared" si="111"/>
        <v>2.4085103277227939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300</v>
      </c>
      <c r="AG133" s="13">
        <f>VLOOKUP(A133,'Données projet'!$A$61:$I$81,9,0)</f>
        <v>3.2</v>
      </c>
      <c r="AH133" s="13">
        <f t="array" ref="AH133">INDEX(AG:AG,MIN(IF(ISNUMBER(AG133:AG329),ROW(AG133:AG329),"")))</f>
        <v>3.2</v>
      </c>
      <c r="AI133" s="14">
        <f>IF('Données projet'!$A$62&gt;35,AI132+AH133-AQ132,IF(A133&lt;'Données projet'!$A$62,$AF$205^A133,IF(A133='Données projet'!$A$62,'Données projet'!$B$62,AI132+AH133-AQ132)))</f>
        <v>299.99999999999937</v>
      </c>
      <c r="AJ133" s="14">
        <f>AI133*VLOOKUP('Données projet'!$B$10,Paramètres!$A$1:$I$89,3,0)*VLOOKUP('Données projet'!$B$10,Paramètres!$A$1:$I$89,5,0)</f>
        <v>304.19999999999936</v>
      </c>
      <c r="AK133" s="14">
        <f t="shared" ref="AK133:AK153" si="143">EXP(-1.0587+0.8836*LN(AJ133)+0.284)</f>
        <v>72.056231093480946</v>
      </c>
      <c r="AL133" s="22">
        <f t="shared" si="112"/>
        <v>655.31293582114483</v>
      </c>
      <c r="AM133" s="60">
        <f t="shared" si="113"/>
        <v>948.6462691544782</v>
      </c>
      <c r="AN133" s="60">
        <f ca="1">AVERAGE(OFFSET($AM$3,0,0,'Données projet'!$E$10+1,1))-AVERAGE(OFFSET($H$3,0,0,'Données projet'!$E$10+1,1))</f>
        <v>475.47920969424894</v>
      </c>
      <c r="AO133" s="60">
        <f t="shared" ref="AO133:AO196" si="144">$AO$3</f>
        <v>271.73544012419364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31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231</v>
      </c>
      <c r="BB133" s="13">
        <f>VLOOKUP(A133,'Données projet'!$A$87:$I$107,9,0)</f>
        <v>2.2000000000000002</v>
      </c>
      <c r="BC133" s="13">
        <f t="array" ref="BC133">INDEX(BB:BB,MIN(IF(ISNUMBER(BB133:BB329),ROW(BB133:BB329),"")))</f>
        <v>2.2000000000000002</v>
      </c>
      <c r="BD133" s="13">
        <f>IF('Données projet'!$A$88&gt;35,BD132+BC133-BL132,IF(A133&lt;'Données projet'!$A$88,$BA$205^A133,IF(A133='Données projet'!$A$88,'Données projet'!$B$88,BD132+BC133-BL132)))</f>
        <v>230.99999999999991</v>
      </c>
      <c r="BE133" s="14">
        <f>BD133*VLOOKUP('Données projet'!$B$11,Paramètres!$A$1:$I$89,3,0)*VLOOKUP('Données projet'!$B$11,Paramètres!$A$1:$I$89,5,0)</f>
        <v>209.00879999999989</v>
      </c>
      <c r="BF133" s="14">
        <f t="shared" ref="BF133:BF153" si="145">EXP(-1.0587+0.8836*LN(BE133)+0.284)</f>
        <v>51.718923953824202</v>
      </c>
      <c r="BG133" s="22">
        <f t="shared" si="115"/>
        <v>454.10078588624361</v>
      </c>
      <c r="BH133" s="60">
        <f t="shared" si="116"/>
        <v>747.43411921957693</v>
      </c>
      <c r="BI133" s="60">
        <f ca="1">AVERAGE(OFFSET($BH$3,0,0,'Données projet'!$E$11+1,1))-AVERAGE(OFFSET($H$3,0,0,'Données projet'!$E$11+1,1))</f>
        <v>325.2649384779973</v>
      </c>
      <c r="BJ133" s="60">
        <f t="shared" ref="BJ133:BJ196" si="146">$BJ$3</f>
        <v>146.70159365068315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21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1.0231815394945443E-12</v>
      </c>
      <c r="BZ133" s="14">
        <f>BY133*VLOOKUP('Données projet'!$B$12,Paramètres!$A$1:$I$89,3,0)*VLOOKUP('Données projet'!$B$12,Paramètres!$A$1:$I$89,5,0)</f>
        <v>4.5224624045658859E-13</v>
      </c>
      <c r="CA133" s="14">
        <f t="shared" ref="CA133:CA153" si="147">EXP(-1.0587+0.8836*LN(BZ133)+0.284)</f>
        <v>5.6995607121061449E-12</v>
      </c>
      <c r="CB133" s="22">
        <f t="shared" si="118"/>
        <v>1.0714397109046761E-11</v>
      </c>
      <c r="CC133" s="60">
        <f t="shared" si="119"/>
        <v>293.333333333344</v>
      </c>
      <c r="CD133" s="60">
        <f ca="1">AVERAGE(OFFSET($CC$3,0,0,'Données projet'!$E$12+1,1))-AVERAGE(OFFSET($H$3,0,0,'Données projet'!$E$12+1,1))</f>
        <v>401.84375324751227</v>
      </c>
      <c r="CE133" s="60">
        <f t="shared" ref="CE133:CE196" si="148">$CE$3</f>
        <v>350.39368043404164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0.52083736070019171</v>
      </c>
      <c r="CM133" s="23">
        <f>EXP(-LN(2)/2)*CM132+(1-EXP(-LN(2)/2))/(LN(2)/2)*CG133*CJ133*VLOOKUP('Données projet'!$B$12,Paramètres!$A$1:$I$89,3,0)*0.475*44/12</f>
        <v>1.237552393118642E-15</v>
      </c>
      <c r="CN133" s="24">
        <f t="shared" si="120"/>
        <v>0.52083736070019293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-1.1368683772161603E-13</v>
      </c>
      <c r="CU133" s="18">
        <f>CT133*VLOOKUP('Données projet'!$B$13,Paramètres!$A$1:$I$89,3,0)*VLOOKUP('Données projet'!$B$13,Paramètres!$A$1:$I$89,5,0)</f>
        <v>-6.7984728957526396E-14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0" t="e">
        <f t="shared" si="122"/>
        <v>#NUM!</v>
      </c>
      <c r="CY133" s="60">
        <f ca="1">AVERAGE(OFFSET($CX$3,0,0,'Données projet'!$E$13+1,1))-AVERAGE(OFFSET($H$3,0,0,'Données projet'!$E$13+1,1))</f>
        <v>232.73140429491525</v>
      </c>
      <c r="CZ133" s="60">
        <f t="shared" ref="CZ133:CZ196" si="150">$CZ$3</f>
        <v>201.02719152328638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0.49765185899388154</v>
      </c>
      <c r="DH133" s="23">
        <f>EXP(-LN(2)/2)*DH132+(1-EXP(-LN(2)/2))/(LN(2)/2)*DB133*DE133*VLOOKUP('Données projet'!$B$13,Paramètres!$A$1:$I$89,3,0)*0.475*44/12</f>
        <v>2.7345436948801324E-15</v>
      </c>
      <c r="DI133" s="24">
        <f t="shared" si="123"/>
        <v>0.49765185899388426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>
        <f>DO133*VLOOKUP('Données projet'!$B$14,Paramètres!$A$1:$I$89,3,0)*VLOOKUP('Données projet'!$B$14,Paramètres!$A$1:$I$89,5,0)</f>
        <v>0</v>
      </c>
      <c r="DQ133" s="14" t="e">
        <f t="shared" ref="DQ133:DQ153" si="151">EXP(-1.0587+0.8836*LN(DP133)+0.284)</f>
        <v>#NUM!</v>
      </c>
      <c r="DR133" s="22" t="e">
        <f t="shared" si="124"/>
        <v>#NUM!</v>
      </c>
      <c r="DS133" s="60" t="e">
        <f t="shared" si="125"/>
        <v>#NUM!</v>
      </c>
      <c r="DT133" s="60">
        <f ca="1">AVERAGE(OFFSET($DS$3,0,0,'Données projet'!$E$14+1,1))-AVERAGE(OFFSET($H$3,0,0,'Données projet'!$E$14+1,1))</f>
        <v>302.15577364214136</v>
      </c>
      <c r="DU133" s="60">
        <f t="shared" ref="DU133:DU196" si="152">$DU$3</f>
        <v>197.15142751137051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>
        <f>VLOOKUP(A133,'Données projet'!$A$191:$I$211,2,0)</f>
        <v>339.10256410256409</v>
      </c>
      <c r="EH133" s="13">
        <f>VLOOKUP(A133,'Données projet'!$A$191:$I$211,9,0)</f>
        <v>2.6282051282051269</v>
      </c>
      <c r="EI133" s="13">
        <f t="array" ref="EI133">INDEX(EH:EH,MIN(IF(ISNUMBER(EH133:EH329),ROW(EH133:EH329),"")))</f>
        <v>2.6282051282051269</v>
      </c>
      <c r="EJ133" s="13">
        <f>IF('Données projet'!$A$192&gt;35,EJ132+EI133-ER132,IF(A133&lt;'Données projet'!$A$192,$EG$205^A133,IF(A133='Données projet'!$A$192,'Données projet'!$B$192,EJ132+EI133-ER132)))</f>
        <v>339.10256410256358</v>
      </c>
      <c r="EK133" s="18">
        <f>EJ133*VLOOKUP('Données projet'!$B$15,Paramètres!$A$1:$I$89,3,0)*VLOOKUP('Données projet'!$B$15,Paramètres!$A$1:$I$89,5,0)</f>
        <v>354.4299999999995</v>
      </c>
      <c r="EL133" s="14">
        <f t="shared" ref="EL133:EL153" si="153">EXP(-1.0587+0.8836*LN(EK133)+0.284)</f>
        <v>82.474025434157767</v>
      </c>
      <c r="EM133" s="22">
        <f t="shared" si="127"/>
        <v>760.94117763115719</v>
      </c>
      <c r="EN133" s="60">
        <f t="shared" si="128"/>
        <v>1054.2745109644904</v>
      </c>
      <c r="EO133" s="60">
        <f ca="1">AVERAGE(OFFSET($EN$3,0,0,'Données projet'!$E$15+1,1))-AVERAGE(OFFSET($H$3,0,0,'Données projet'!$E$15+1,1))</f>
        <v>493.70175665335978</v>
      </c>
      <c r="EP133" s="60">
        <f t="shared" ref="EP133:EP196" si="154">$EP$3</f>
        <v>325.12357781685949</v>
      </c>
      <c r="EQ133" s="16">
        <f>IF(ISNA(VLOOKUP(A133,'Données projet'!$A$191:$I$211,3,0)),0,VLOOKUP(A133,'Données projet'!$A$191:$I$211,3,0))</f>
        <v>11</v>
      </c>
      <c r="ER133" s="16">
        <f>IF(ISNA(VLOOKUP(A133,'Données projet'!$A$191:$I$211,4,0)),0,VLOOKUP(A133,'Données projet'!$A$191:$I$211,4,0))</f>
        <v>339.10256410256409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0" t="e">
        <f t="shared" si="131"/>
        <v>#N/A</v>
      </c>
      <c r="FJ133" s="60" t="e">
        <f ca="1">AVERAGE(OFFSET($FI$3,0,0,'Données projet'!$E$16+1,1))-AVERAGE(OFFSET($H$3,0,0,'Données projet'!$E$16+1,1))</f>
        <v>#N/A</v>
      </c>
      <c r="FK133" s="60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0" t="e">
        <f t="shared" si="134"/>
        <v>#N/A</v>
      </c>
      <c r="GE133" s="60" t="e">
        <f ca="1">AVERAGE(OFFSET($GD$3,0,0,'Données projet'!$E$17+1,1))-AVERAGE(OFFSET($H$3,0,0,'Données projet'!$E$17+1,1))</f>
        <v>#N/A</v>
      </c>
      <c r="GF133" s="60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5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8">
        <f t="shared" si="110"/>
        <v>256.66666666666669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0">
        <f t="shared" si="109"/>
        <v>293.3333333333353</v>
      </c>
      <c r="S134" s="60">
        <f ca="1">AVERAGE(OFFSET($R$3,0,0,'Données projet'!$E$9+1,1))-AVERAGE(OFFSET($H$3,0,0,'Données projet'!$E$9+1,1))</f>
        <v>260.02504691866199</v>
      </c>
      <c r="T134" s="60">
        <f t="shared" si="142"/>
        <v>270.11268336406368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1.3541723608094178</v>
      </c>
      <c r="AA134" s="23">
        <f>EXP(-LN(2)/25)*AA133+(1-EXP(-LN(2)/25))/(LN(2)/25)*Calculateur!V134*Calculateur!X134*VLOOKUP('Données projet'!$B$9,Paramètres!$A$1:$I$89,3,0)*0.475*44/12</f>
        <v>0.99916207099811949</v>
      </c>
      <c r="AB134" s="23">
        <f>EXP(-LN(2)/2)*AB133+(1-EXP(-LN(2)/2))/(LN(2)/2)*V134*Y134*VLOOKUP('Données projet'!$B$9,Paramètres!$A$1:$I$89,3,0)*0.475*44/12</f>
        <v>3.981729947817872E-15</v>
      </c>
      <c r="AC134" s="24">
        <f t="shared" si="111"/>
        <v>2.3533344318075415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2.7</v>
      </c>
      <c r="AI134" s="14">
        <f>IF('Données projet'!$A$62&gt;35,AI133+AH134-AQ133,IF(A134&lt;'Données projet'!$A$62,$AF$205^A134,IF(A134='Données projet'!$A$62,'Données projet'!$B$62,AI133+AH134-AQ133)))</f>
        <v>271.69999999999936</v>
      </c>
      <c r="AJ134" s="14">
        <f>AI134*VLOOKUP('Données projet'!$B$10,Paramètres!$A$1:$I$89,3,0)*VLOOKUP('Données projet'!$B$10,Paramètres!$A$1:$I$89,5,0)</f>
        <v>275.50379999999939</v>
      </c>
      <c r="AK134" s="14">
        <f t="shared" si="143"/>
        <v>66.015939215007748</v>
      </c>
      <c r="AL134" s="22">
        <f t="shared" si="112"/>
        <v>594.81354579947072</v>
      </c>
      <c r="AM134" s="60">
        <f t="shared" si="113"/>
        <v>888.14687913280409</v>
      </c>
      <c r="AN134" s="60">
        <f ca="1">AVERAGE(OFFSET($AM$3,0,0,'Données projet'!$E$10+1,1))-AVERAGE(OFFSET($H$3,0,0,'Données projet'!$E$10+1,1))</f>
        <v>475.47920969424894</v>
      </c>
      <c r="AO134" s="60">
        <f t="shared" si="144"/>
        <v>271.73544012419364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1.7</v>
      </c>
      <c r="BD134" s="13">
        <f>IF('Données projet'!$A$88&gt;35,BD133+BC134-BL133,IF(A134&lt;'Données projet'!$A$88,$BA$205^A134,IF(A134='Données projet'!$A$88,'Données projet'!$B$88,BD133+BC134-BL133)))</f>
        <v>211.6999999999999</v>
      </c>
      <c r="BE134" s="14">
        <f>BD134*VLOOKUP('Données projet'!$B$11,Paramètres!$A$1:$I$89,3,0)*VLOOKUP('Données projet'!$B$11,Paramètres!$A$1:$I$89,5,0)</f>
        <v>191.5461599999999</v>
      </c>
      <c r="BF134" s="14">
        <f t="shared" si="145"/>
        <v>47.881625465577962</v>
      </c>
      <c r="BG134" s="22">
        <f t="shared" si="115"/>
        <v>417.0033930192148</v>
      </c>
      <c r="BH134" s="60">
        <f t="shared" si="116"/>
        <v>710.33672635254811</v>
      </c>
      <c r="BI134" s="60">
        <f ca="1">AVERAGE(OFFSET($BH$3,0,0,'Données projet'!$E$11+1,1))-AVERAGE(OFFSET($H$3,0,0,'Données projet'!$E$11+1,1))</f>
        <v>325.2649384779973</v>
      </c>
      <c r="BJ134" s="60">
        <f t="shared" si="146"/>
        <v>146.70159365068315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1.0231815394945443E-12</v>
      </c>
      <c r="BZ134" s="14">
        <f>BY134*VLOOKUP('Données projet'!$B$12,Paramètres!$A$1:$I$89,3,0)*VLOOKUP('Données projet'!$B$12,Paramètres!$A$1:$I$89,5,0)</f>
        <v>4.5224624045658859E-13</v>
      </c>
      <c r="CA134" s="14">
        <f t="shared" si="147"/>
        <v>5.6995607121061449E-12</v>
      </c>
      <c r="CB134" s="22">
        <f t="shared" si="118"/>
        <v>1.0714397109046761E-11</v>
      </c>
      <c r="CC134" s="60">
        <f t="shared" si="119"/>
        <v>293.333333333344</v>
      </c>
      <c r="CD134" s="60">
        <f ca="1">AVERAGE(OFFSET($CC$3,0,0,'Données projet'!$E$12+1,1))-AVERAGE(OFFSET($H$3,0,0,'Données projet'!$E$12+1,1))</f>
        <v>401.84375324751227</v>
      </c>
      <c r="CE134" s="60">
        <f t="shared" si="148"/>
        <v>350.39368043404164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0.50659503568219855</v>
      </c>
      <c r="CM134" s="23">
        <f>EXP(-LN(2)/2)*CM133+(1-EXP(-LN(2)/2))/(LN(2)/2)*CG134*CJ134*VLOOKUP('Données projet'!$B$12,Paramètres!$A$1:$I$89,3,0)*0.475*44/12</f>
        <v>8.7508168924783188E-16</v>
      </c>
      <c r="CN134" s="24">
        <f t="shared" si="120"/>
        <v>0.50659503568219943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-1.1368683772161603E-13</v>
      </c>
      <c r="CU134" s="18">
        <f>CT134*VLOOKUP('Données projet'!$B$13,Paramètres!$A$1:$I$89,3,0)*VLOOKUP('Données projet'!$B$13,Paramètres!$A$1:$I$89,5,0)</f>
        <v>-6.7984728957526396E-14</v>
      </c>
      <c r="CV134" s="14" t="e">
        <f t="shared" si="149"/>
        <v>#NUM!</v>
      </c>
      <c r="CW134" s="22" t="e">
        <f t="shared" si="121"/>
        <v>#NUM!</v>
      </c>
      <c r="CX134" s="60" t="e">
        <f t="shared" si="122"/>
        <v>#NUM!</v>
      </c>
      <c r="CY134" s="60">
        <f ca="1">AVERAGE(OFFSET($CX$3,0,0,'Données projet'!$E$13+1,1))-AVERAGE(OFFSET($H$3,0,0,'Données projet'!$E$13+1,1))</f>
        <v>232.73140429491525</v>
      </c>
      <c r="CZ134" s="60">
        <f t="shared" si="150"/>
        <v>201.02719152328638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0.48404354273931999</v>
      </c>
      <c r="DH134" s="23">
        <f>EXP(-LN(2)/2)*DH133+(1-EXP(-LN(2)/2))/(LN(2)/2)*DB134*DE134*VLOOKUP('Données projet'!$B$13,Paramètres!$A$1:$I$89,3,0)*0.475*44/12</f>
        <v>1.9336143901006589E-15</v>
      </c>
      <c r="DI134" s="24">
        <f t="shared" si="123"/>
        <v>0.48404354273932193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>
        <f>DO134*VLOOKUP('Données projet'!$B$14,Paramètres!$A$1:$I$89,3,0)*VLOOKUP('Données projet'!$B$14,Paramètres!$A$1:$I$89,5,0)</f>
        <v>0</v>
      </c>
      <c r="DQ134" s="14" t="e">
        <f t="shared" si="151"/>
        <v>#NUM!</v>
      </c>
      <c r="DR134" s="22" t="e">
        <f t="shared" si="124"/>
        <v>#NUM!</v>
      </c>
      <c r="DS134" s="60" t="e">
        <f t="shared" si="125"/>
        <v>#NUM!</v>
      </c>
      <c r="DT134" s="60">
        <f ca="1">AVERAGE(OFFSET($DS$3,0,0,'Données projet'!$E$14+1,1))-AVERAGE(OFFSET($H$3,0,0,'Données projet'!$E$14+1,1))</f>
        <v>302.15577364214136</v>
      </c>
      <c r="DU134" s="60">
        <f t="shared" si="152"/>
        <v>197.15142751137051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-5.1159076974727213E-13</v>
      </c>
      <c r="EK134" s="18">
        <f>EJ134*VLOOKUP('Données projet'!$B$15,Paramètres!$A$1:$I$89,3,0)*VLOOKUP('Données projet'!$B$15,Paramètres!$A$1:$I$89,5,0)</f>
        <v>-5.3471467253984886E-13</v>
      </c>
      <c r="EL134" s="14" t="e">
        <f t="shared" si="153"/>
        <v>#NUM!</v>
      </c>
      <c r="EM134" s="22" t="e">
        <f t="shared" si="127"/>
        <v>#NUM!</v>
      </c>
      <c r="EN134" s="60" t="e">
        <f t="shared" si="128"/>
        <v>#NUM!</v>
      </c>
      <c r="EO134" s="60">
        <f ca="1">AVERAGE(OFFSET($EN$3,0,0,'Données projet'!$E$15+1,1))-AVERAGE(OFFSET($H$3,0,0,'Données projet'!$E$15+1,1))</f>
        <v>493.70175665335978</v>
      </c>
      <c r="EP134" s="60">
        <f t="shared" si="154"/>
        <v>325.12357781685949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0" t="e">
        <f t="shared" si="131"/>
        <v>#N/A</v>
      </c>
      <c r="FJ134" s="60" t="e">
        <f ca="1">AVERAGE(OFFSET($FI$3,0,0,'Données projet'!$E$16+1,1))-AVERAGE(OFFSET($H$3,0,0,'Données projet'!$E$16+1,1))</f>
        <v>#N/A</v>
      </c>
      <c r="FK134" s="60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0" t="e">
        <f t="shared" si="134"/>
        <v>#N/A</v>
      </c>
      <c r="GE134" s="60" t="e">
        <f ca="1">AVERAGE(OFFSET($GD$3,0,0,'Données projet'!$E$17+1,1))-AVERAGE(OFFSET($H$3,0,0,'Données projet'!$E$17+1,1))</f>
        <v>#N/A</v>
      </c>
      <c r="GF134" s="60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5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8">
        <f t="shared" si="110"/>
        <v>256.66666666666669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0">
        <f t="shared" si="109"/>
        <v>293.3333333333353</v>
      </c>
      <c r="S135" s="60">
        <f ca="1">AVERAGE(OFFSET($R$3,0,0,'Données projet'!$E$9+1,1))-AVERAGE(OFFSET($H$3,0,0,'Données projet'!$E$9+1,1))</f>
        <v>260.02504691866199</v>
      </c>
      <c r="T135" s="60">
        <f t="shared" si="142"/>
        <v>270.11268336406368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1.327617866777528</v>
      </c>
      <c r="AA135" s="23">
        <f>EXP(-LN(2)/25)*AA134+(1-EXP(-LN(2)/25))/(LN(2)/25)*Calculateur!V135*Calculateur!X135*VLOOKUP('Données projet'!$B$9,Paramètres!$A$1:$I$89,3,0)*0.475*44/12</f>
        <v>0.97183993162302618</v>
      </c>
      <c r="AB135" s="23">
        <f>EXP(-LN(2)/2)*AB134+(1-EXP(-LN(2)/2))/(LN(2)/2)*V135*Y135*VLOOKUP('Données projet'!$B$9,Paramètres!$A$1:$I$89,3,0)*0.475*44/12</f>
        <v>2.8155082469555753E-15</v>
      </c>
      <c r="AC135" s="24">
        <f t="shared" si="111"/>
        <v>2.2994577984005566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2.7</v>
      </c>
      <c r="AI135" s="14">
        <f>IF('Données projet'!$A$62&gt;35,AI134+AH135-AQ134,IF(A135&lt;'Données projet'!$A$62,$AF$205^A135,IF(A135='Données projet'!$A$62,'Données projet'!$B$62,AI134+AH135-AQ134)))</f>
        <v>274.39999999999935</v>
      </c>
      <c r="AJ135" s="14">
        <f>AI135*VLOOKUP('Données projet'!$B$10,Paramètres!$A$1:$I$89,3,0)*VLOOKUP('Données projet'!$B$10,Paramètres!$A$1:$I$89,5,0)</f>
        <v>278.24159999999938</v>
      </c>
      <c r="AK135" s="14">
        <f t="shared" si="143"/>
        <v>66.595272276139625</v>
      </c>
      <c r="AL135" s="22">
        <f t="shared" si="112"/>
        <v>600.59088588094198</v>
      </c>
      <c r="AM135" s="60">
        <f t="shared" si="113"/>
        <v>893.92421921427535</v>
      </c>
      <c r="AN135" s="60">
        <f ca="1">AVERAGE(OFFSET($AM$3,0,0,'Données projet'!$E$10+1,1))-AVERAGE(OFFSET($H$3,0,0,'Données projet'!$E$10+1,1))</f>
        <v>475.47920969424894</v>
      </c>
      <c r="AO135" s="60">
        <f t="shared" si="144"/>
        <v>271.73544012419364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1.7</v>
      </c>
      <c r="BD135" s="13">
        <f>IF('Données projet'!$A$88&gt;35,BD134+BC135-BL134,IF(A135&lt;'Données projet'!$A$88,$BA$205^A135,IF(A135='Données projet'!$A$88,'Données projet'!$B$88,BD134+BC135-BL134)))</f>
        <v>213.39999999999989</v>
      </c>
      <c r="BE135" s="14">
        <f>BD135*VLOOKUP('Données projet'!$B$11,Paramètres!$A$1:$I$89,3,0)*VLOOKUP('Données projet'!$B$11,Paramètres!$A$1:$I$89,5,0)</f>
        <v>193.08431999999991</v>
      </c>
      <c r="BF135" s="14">
        <f t="shared" si="145"/>
        <v>48.221211828034484</v>
      </c>
      <c r="BG135" s="22">
        <f t="shared" si="115"/>
        <v>420.27380126715985</v>
      </c>
      <c r="BH135" s="60">
        <f t="shared" si="116"/>
        <v>713.60713460049317</v>
      </c>
      <c r="BI135" s="60">
        <f ca="1">AVERAGE(OFFSET($BH$3,0,0,'Données projet'!$E$11+1,1))-AVERAGE(OFFSET($H$3,0,0,'Données projet'!$E$11+1,1))</f>
        <v>325.2649384779973</v>
      </c>
      <c r="BJ135" s="60">
        <f t="shared" si="146"/>
        <v>146.70159365068315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1.0231815394945443E-12</v>
      </c>
      <c r="BZ135" s="14">
        <f>BY135*VLOOKUP('Données projet'!$B$12,Paramètres!$A$1:$I$89,3,0)*VLOOKUP('Données projet'!$B$12,Paramètres!$A$1:$I$89,5,0)</f>
        <v>4.5224624045658859E-13</v>
      </c>
      <c r="CA135" s="14">
        <f t="shared" si="147"/>
        <v>5.6995607121061449E-12</v>
      </c>
      <c r="CB135" s="22">
        <f t="shared" si="118"/>
        <v>1.0714397109046761E-11</v>
      </c>
      <c r="CC135" s="60">
        <f t="shared" si="119"/>
        <v>293.333333333344</v>
      </c>
      <c r="CD135" s="60">
        <f ca="1">AVERAGE(OFFSET($CC$3,0,0,'Données projet'!$E$12+1,1))-AVERAGE(OFFSET($H$3,0,0,'Données projet'!$E$12+1,1))</f>
        <v>401.84375324751227</v>
      </c>
      <c r="CE135" s="60">
        <f t="shared" si="148"/>
        <v>350.39368043404164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0.49274216779079372</v>
      </c>
      <c r="CM135" s="23">
        <f>EXP(-LN(2)/2)*CM134+(1-EXP(-LN(2)/2))/(LN(2)/2)*CG135*CJ135*VLOOKUP('Données projet'!$B$12,Paramètres!$A$1:$I$89,3,0)*0.475*44/12</f>
        <v>6.187761965593211E-16</v>
      </c>
      <c r="CN135" s="24">
        <f t="shared" si="120"/>
        <v>0.49274216779079433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-1.1368683772161603E-13</v>
      </c>
      <c r="CU135" s="18">
        <f>CT135*VLOOKUP('Données projet'!$B$13,Paramètres!$A$1:$I$89,3,0)*VLOOKUP('Données projet'!$B$13,Paramètres!$A$1:$I$89,5,0)</f>
        <v>-6.7984728957526396E-14</v>
      </c>
      <c r="CV135" s="14" t="e">
        <f t="shared" si="149"/>
        <v>#NUM!</v>
      </c>
      <c r="CW135" s="22" t="e">
        <f t="shared" si="121"/>
        <v>#NUM!</v>
      </c>
      <c r="CX135" s="60" t="e">
        <f t="shared" si="122"/>
        <v>#NUM!</v>
      </c>
      <c r="CY135" s="60">
        <f ca="1">AVERAGE(OFFSET($CX$3,0,0,'Données projet'!$E$13+1,1))-AVERAGE(OFFSET($H$3,0,0,'Données projet'!$E$13+1,1))</f>
        <v>232.73140429491525</v>
      </c>
      <c r="CZ135" s="60">
        <f t="shared" si="150"/>
        <v>201.02719152328638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0.47080734660836965</v>
      </c>
      <c r="DH135" s="23">
        <f>EXP(-LN(2)/2)*DH134+(1-EXP(-LN(2)/2))/(LN(2)/2)*DB135*DE135*VLOOKUP('Données projet'!$B$13,Paramètres!$A$1:$I$89,3,0)*0.475*44/12</f>
        <v>1.3672718474400662E-15</v>
      </c>
      <c r="DI135" s="24">
        <f t="shared" si="123"/>
        <v>0.47080734660837104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>
        <f>DO135*VLOOKUP('Données projet'!$B$14,Paramètres!$A$1:$I$89,3,0)*VLOOKUP('Données projet'!$B$14,Paramètres!$A$1:$I$89,5,0)</f>
        <v>0</v>
      </c>
      <c r="DQ135" s="14" t="e">
        <f t="shared" si="151"/>
        <v>#NUM!</v>
      </c>
      <c r="DR135" s="22" t="e">
        <f t="shared" si="124"/>
        <v>#NUM!</v>
      </c>
      <c r="DS135" s="60" t="e">
        <f t="shared" si="125"/>
        <v>#NUM!</v>
      </c>
      <c r="DT135" s="60">
        <f ca="1">AVERAGE(OFFSET($DS$3,0,0,'Données projet'!$E$14+1,1))-AVERAGE(OFFSET($H$3,0,0,'Données projet'!$E$14+1,1))</f>
        <v>302.15577364214136</v>
      </c>
      <c r="DU135" s="60">
        <f t="shared" si="152"/>
        <v>197.15142751137051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-5.1159076974727213E-13</v>
      </c>
      <c r="EK135" s="18">
        <f>EJ135*VLOOKUP('Données projet'!$B$15,Paramètres!$A$1:$I$89,3,0)*VLOOKUP('Données projet'!$B$15,Paramètres!$A$1:$I$89,5,0)</f>
        <v>-5.3471467253984886E-13</v>
      </c>
      <c r="EL135" s="14" t="e">
        <f t="shared" si="153"/>
        <v>#NUM!</v>
      </c>
      <c r="EM135" s="22" t="e">
        <f t="shared" si="127"/>
        <v>#NUM!</v>
      </c>
      <c r="EN135" s="60" t="e">
        <f t="shared" si="128"/>
        <v>#NUM!</v>
      </c>
      <c r="EO135" s="60">
        <f ca="1">AVERAGE(OFFSET($EN$3,0,0,'Données projet'!$E$15+1,1))-AVERAGE(OFFSET($H$3,0,0,'Données projet'!$E$15+1,1))</f>
        <v>493.70175665335978</v>
      </c>
      <c r="EP135" s="60">
        <f t="shared" si="154"/>
        <v>325.12357781685949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0" t="e">
        <f t="shared" si="131"/>
        <v>#N/A</v>
      </c>
      <c r="FJ135" s="60" t="e">
        <f ca="1">AVERAGE(OFFSET($FI$3,0,0,'Données projet'!$E$16+1,1))-AVERAGE(OFFSET($H$3,0,0,'Données projet'!$E$16+1,1))</f>
        <v>#N/A</v>
      </c>
      <c r="FK135" s="60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0" t="e">
        <f t="shared" si="134"/>
        <v>#N/A</v>
      </c>
      <c r="GE135" s="60" t="e">
        <f ca="1">AVERAGE(OFFSET($GD$3,0,0,'Données projet'!$E$17+1,1))-AVERAGE(OFFSET($H$3,0,0,'Données projet'!$E$17+1,1))</f>
        <v>#N/A</v>
      </c>
      <c r="GF135" s="60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5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8">
        <f t="shared" si="110"/>
        <v>256.66666666666669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0">
        <f t="shared" si="109"/>
        <v>293.3333333333353</v>
      </c>
      <c r="S136" s="60">
        <f ca="1">AVERAGE(OFFSET($R$3,0,0,'Données projet'!$E$9+1,1))-AVERAGE(OFFSET($H$3,0,0,'Données projet'!$E$9+1,1))</f>
        <v>260.02504691866199</v>
      </c>
      <c r="T136" s="60">
        <f t="shared" si="142"/>
        <v>270.11268336406368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1.3015840901769615</v>
      </c>
      <c r="AA136" s="23">
        <f>EXP(-LN(2)/25)*AA135+(1-EXP(-LN(2)/25))/(LN(2)/25)*Calculateur!V136*Calculateur!X136*VLOOKUP('Données projet'!$B$9,Paramètres!$A$1:$I$89,3,0)*0.475*44/12</f>
        <v>0.94526491758595366</v>
      </c>
      <c r="AB136" s="23">
        <f>EXP(-LN(2)/2)*AB135+(1-EXP(-LN(2)/2))/(LN(2)/2)*V136*Y136*VLOOKUP('Données projet'!$B$9,Paramètres!$A$1:$I$89,3,0)*0.475*44/12</f>
        <v>1.990864973908936E-15</v>
      </c>
      <c r="AC136" s="24">
        <f t="shared" si="111"/>
        <v>2.2468490077629171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2.7</v>
      </c>
      <c r="AI136" s="14">
        <f>IF('Données projet'!$A$62&gt;35,AI135+AH136-AQ135,IF(A136&lt;'Données projet'!$A$62,$AF$205^A136,IF(A136='Données projet'!$A$62,'Données projet'!$B$62,AI135+AH136-AQ135)))</f>
        <v>277.09999999999934</v>
      </c>
      <c r="AJ136" s="14">
        <f>AI136*VLOOKUP('Données projet'!$B$10,Paramètres!$A$1:$I$89,3,0)*VLOOKUP('Données projet'!$B$10,Paramètres!$A$1:$I$89,5,0)</f>
        <v>280.97939999999937</v>
      </c>
      <c r="AK136" s="14">
        <f t="shared" si="143"/>
        <v>67.173942175199301</v>
      </c>
      <c r="AL136" s="22">
        <f t="shared" si="112"/>
        <v>606.36707095513759</v>
      </c>
      <c r="AM136" s="60">
        <f t="shared" si="113"/>
        <v>899.70040428847096</v>
      </c>
      <c r="AN136" s="60">
        <f ca="1">AVERAGE(OFFSET($AM$3,0,0,'Données projet'!$E$10+1,1))-AVERAGE(OFFSET($H$3,0,0,'Données projet'!$E$10+1,1))</f>
        <v>475.47920969424894</v>
      </c>
      <c r="AO136" s="60">
        <f t="shared" si="144"/>
        <v>271.73544012419364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1.7</v>
      </c>
      <c r="BD136" s="13">
        <f>IF('Données projet'!$A$88&gt;35,BD135+BC136-BL135,IF(A136&lt;'Données projet'!$A$88,$BA$205^A136,IF(A136='Données projet'!$A$88,'Données projet'!$B$88,BD135+BC136-BL135)))</f>
        <v>215.09999999999988</v>
      </c>
      <c r="BE136" s="14">
        <f>BD136*VLOOKUP('Données projet'!$B$11,Paramètres!$A$1:$I$89,3,0)*VLOOKUP('Données projet'!$B$11,Paramètres!$A$1:$I$89,5,0)</f>
        <v>194.62247999999988</v>
      </c>
      <c r="BF136" s="14">
        <f t="shared" si="145"/>
        <v>48.560483443746278</v>
      </c>
      <c r="BG136" s="22">
        <f t="shared" si="115"/>
        <v>423.54366133119123</v>
      </c>
      <c r="BH136" s="60">
        <f t="shared" si="116"/>
        <v>716.87699466452455</v>
      </c>
      <c r="BI136" s="60">
        <f ca="1">AVERAGE(OFFSET($BH$3,0,0,'Données projet'!$E$11+1,1))-AVERAGE(OFFSET($H$3,0,0,'Données projet'!$E$11+1,1))</f>
        <v>325.2649384779973</v>
      </c>
      <c r="BJ136" s="60">
        <f t="shared" si="146"/>
        <v>146.70159365068315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1.0231815394945443E-12</v>
      </c>
      <c r="BZ136" s="14">
        <f>BY136*VLOOKUP('Données projet'!$B$12,Paramètres!$A$1:$I$89,3,0)*VLOOKUP('Données projet'!$B$12,Paramètres!$A$1:$I$89,5,0)</f>
        <v>4.5224624045658859E-13</v>
      </c>
      <c r="CA136" s="14">
        <f t="shared" si="147"/>
        <v>5.6995607121061449E-12</v>
      </c>
      <c r="CB136" s="22">
        <f t="shared" si="118"/>
        <v>1.0714397109046761E-11</v>
      </c>
      <c r="CC136" s="60">
        <f t="shared" si="119"/>
        <v>293.333333333344</v>
      </c>
      <c r="CD136" s="60">
        <f ca="1">AVERAGE(OFFSET($CC$3,0,0,'Données projet'!$E$12+1,1))-AVERAGE(OFFSET($H$3,0,0,'Données projet'!$E$12+1,1))</f>
        <v>401.84375324751227</v>
      </c>
      <c r="CE136" s="60">
        <f t="shared" si="148"/>
        <v>350.39368043404164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0.47926810730037006</v>
      </c>
      <c r="CM136" s="23">
        <f>EXP(-LN(2)/2)*CM135+(1-EXP(-LN(2)/2))/(LN(2)/2)*CG136*CJ136*VLOOKUP('Données projet'!$B$12,Paramètres!$A$1:$I$89,3,0)*0.475*44/12</f>
        <v>4.3754084462391604E-16</v>
      </c>
      <c r="CN136" s="24">
        <f t="shared" si="120"/>
        <v>0.47926810730037051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-1.1368683772161603E-13</v>
      </c>
      <c r="CU136" s="18">
        <f>CT136*VLOOKUP('Données projet'!$B$13,Paramètres!$A$1:$I$89,3,0)*VLOOKUP('Données projet'!$B$13,Paramètres!$A$1:$I$89,5,0)</f>
        <v>-6.7984728957526396E-14</v>
      </c>
      <c r="CV136" s="14" t="e">
        <f t="shared" si="149"/>
        <v>#NUM!</v>
      </c>
      <c r="CW136" s="22" t="e">
        <f t="shared" si="121"/>
        <v>#NUM!</v>
      </c>
      <c r="CX136" s="60" t="e">
        <f t="shared" si="122"/>
        <v>#NUM!</v>
      </c>
      <c r="CY136" s="60">
        <f ca="1">AVERAGE(OFFSET($CX$3,0,0,'Données projet'!$E$13+1,1))-AVERAGE(OFFSET($H$3,0,0,'Données projet'!$E$13+1,1))</f>
        <v>232.73140429491525</v>
      </c>
      <c r="CZ136" s="60">
        <f t="shared" si="150"/>
        <v>201.02719152328638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0.45793309495668144</v>
      </c>
      <c r="DH136" s="23">
        <f>EXP(-LN(2)/2)*DH135+(1-EXP(-LN(2)/2))/(LN(2)/2)*DB136*DE136*VLOOKUP('Données projet'!$B$13,Paramètres!$A$1:$I$89,3,0)*0.475*44/12</f>
        <v>9.6680719505032946E-16</v>
      </c>
      <c r="DI136" s="24">
        <f t="shared" si="123"/>
        <v>0.45793309495668238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>
        <f>DO136*VLOOKUP('Données projet'!$B$14,Paramètres!$A$1:$I$89,3,0)*VLOOKUP('Données projet'!$B$14,Paramètres!$A$1:$I$89,5,0)</f>
        <v>0</v>
      </c>
      <c r="DQ136" s="14" t="e">
        <f t="shared" si="151"/>
        <v>#NUM!</v>
      </c>
      <c r="DR136" s="22" t="e">
        <f t="shared" si="124"/>
        <v>#NUM!</v>
      </c>
      <c r="DS136" s="60" t="e">
        <f t="shared" si="125"/>
        <v>#NUM!</v>
      </c>
      <c r="DT136" s="60">
        <f ca="1">AVERAGE(OFFSET($DS$3,0,0,'Données projet'!$E$14+1,1))-AVERAGE(OFFSET($H$3,0,0,'Données projet'!$E$14+1,1))</f>
        <v>302.15577364214136</v>
      </c>
      <c r="DU136" s="60">
        <f t="shared" si="152"/>
        <v>197.15142751137051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-5.1159076974727213E-13</v>
      </c>
      <c r="EK136" s="18">
        <f>EJ136*VLOOKUP('Données projet'!$B$15,Paramètres!$A$1:$I$89,3,0)*VLOOKUP('Données projet'!$B$15,Paramètres!$A$1:$I$89,5,0)</f>
        <v>-5.3471467253984886E-13</v>
      </c>
      <c r="EL136" s="14" t="e">
        <f t="shared" si="153"/>
        <v>#NUM!</v>
      </c>
      <c r="EM136" s="22" t="e">
        <f t="shared" si="127"/>
        <v>#NUM!</v>
      </c>
      <c r="EN136" s="60" t="e">
        <f t="shared" si="128"/>
        <v>#NUM!</v>
      </c>
      <c r="EO136" s="60">
        <f ca="1">AVERAGE(OFFSET($EN$3,0,0,'Données projet'!$E$15+1,1))-AVERAGE(OFFSET($H$3,0,0,'Données projet'!$E$15+1,1))</f>
        <v>493.70175665335978</v>
      </c>
      <c r="EP136" s="60">
        <f t="shared" si="154"/>
        <v>325.12357781685949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0" t="e">
        <f t="shared" si="131"/>
        <v>#N/A</v>
      </c>
      <c r="FJ136" s="60" t="e">
        <f ca="1">AVERAGE(OFFSET($FI$3,0,0,'Données projet'!$E$16+1,1))-AVERAGE(OFFSET($H$3,0,0,'Données projet'!$E$16+1,1))</f>
        <v>#N/A</v>
      </c>
      <c r="FK136" s="60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0" t="e">
        <f t="shared" si="134"/>
        <v>#N/A</v>
      </c>
      <c r="GE136" s="60" t="e">
        <f ca="1">AVERAGE(OFFSET($GD$3,0,0,'Données projet'!$E$17+1,1))-AVERAGE(OFFSET($H$3,0,0,'Données projet'!$E$17+1,1))</f>
        <v>#N/A</v>
      </c>
      <c r="GF136" s="60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5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8">
        <f t="shared" si="110"/>
        <v>256.66666666666669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0">
        <f t="shared" si="109"/>
        <v>293.3333333333353</v>
      </c>
      <c r="S137" s="60">
        <f ca="1">AVERAGE(OFFSET($R$3,0,0,'Données projet'!$E$9+1,1))-AVERAGE(OFFSET($H$3,0,0,'Données projet'!$E$9+1,1))</f>
        <v>260.02504691866199</v>
      </c>
      <c r="T137" s="60">
        <f t="shared" si="142"/>
        <v>270.11268336406368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1.2760608200564965</v>
      </c>
      <c r="AA137" s="23">
        <f>EXP(-LN(2)/25)*AA136+(1-EXP(-LN(2)/25))/(LN(2)/25)*Calculateur!V137*Calculateur!X137*VLOOKUP('Données projet'!$B$9,Paramètres!$A$1:$I$89,3,0)*0.475*44/12</f>
        <v>0.91941659870524417</v>
      </c>
      <c r="AB137" s="23">
        <f>EXP(-LN(2)/2)*AB136+(1-EXP(-LN(2)/2))/(LN(2)/2)*V137*Y137*VLOOKUP('Données projet'!$B$9,Paramètres!$A$1:$I$89,3,0)*0.475*44/12</f>
        <v>1.4077541234777877E-15</v>
      </c>
      <c r="AC137" s="24">
        <f t="shared" si="111"/>
        <v>2.1954774187617421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2.7</v>
      </c>
      <c r="AI137" s="14">
        <f>IF('Données projet'!$A$62&gt;35,AI136+AH137-AQ136,IF(A137&lt;'Données projet'!$A$62,$AF$205^A137,IF(A137='Données projet'!$A$62,'Données projet'!$B$62,AI136+AH137-AQ136)))</f>
        <v>279.79999999999933</v>
      </c>
      <c r="AJ137" s="14">
        <f>AI137*VLOOKUP('Données projet'!$B$10,Paramètres!$A$1:$I$89,3,0)*VLOOKUP('Données projet'!$B$10,Paramètres!$A$1:$I$89,5,0)</f>
        <v>283.71719999999937</v>
      </c>
      <c r="AK137" s="14">
        <f t="shared" si="143"/>
        <v>67.751956122170526</v>
      </c>
      <c r="AL137" s="22">
        <f t="shared" si="112"/>
        <v>612.14211357944589</v>
      </c>
      <c r="AM137" s="60">
        <f t="shared" si="113"/>
        <v>905.47544691277926</v>
      </c>
      <c r="AN137" s="60">
        <f ca="1">AVERAGE(OFFSET($AM$3,0,0,'Données projet'!$E$10+1,1))-AVERAGE(OFFSET($H$3,0,0,'Données projet'!$E$10+1,1))</f>
        <v>475.47920969424894</v>
      </c>
      <c r="AO137" s="60">
        <f t="shared" si="144"/>
        <v>271.73544012419364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1.7</v>
      </c>
      <c r="BD137" s="13">
        <f>IF('Données projet'!$A$88&gt;35,BD136+BC137-BL136,IF(A137&lt;'Données projet'!$A$88,$BA$205^A137,IF(A137='Données projet'!$A$88,'Données projet'!$B$88,BD136+BC137-BL136)))</f>
        <v>216.79999999999987</v>
      </c>
      <c r="BE137" s="14">
        <f>BD137*VLOOKUP('Données projet'!$B$11,Paramètres!$A$1:$I$89,3,0)*VLOOKUP('Données projet'!$B$11,Paramètres!$A$1:$I$89,5,0)</f>
        <v>196.16063999999989</v>
      </c>
      <c r="BF137" s="14">
        <f t="shared" si="145"/>
        <v>48.899443088581982</v>
      </c>
      <c r="BG137" s="22">
        <f t="shared" si="115"/>
        <v>426.81297804594675</v>
      </c>
      <c r="BH137" s="60">
        <f t="shared" si="116"/>
        <v>720.14631137928006</v>
      </c>
      <c r="BI137" s="60">
        <f ca="1">AVERAGE(OFFSET($BH$3,0,0,'Données projet'!$E$11+1,1))-AVERAGE(OFFSET($H$3,0,0,'Données projet'!$E$11+1,1))</f>
        <v>325.2649384779973</v>
      </c>
      <c r="BJ137" s="60">
        <f t="shared" si="146"/>
        <v>146.70159365068315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1.0231815394945443E-12</v>
      </c>
      <c r="BZ137" s="14">
        <f>BY137*VLOOKUP('Données projet'!$B$12,Paramètres!$A$1:$I$89,3,0)*VLOOKUP('Données projet'!$B$12,Paramètres!$A$1:$I$89,5,0)</f>
        <v>4.5224624045658859E-13</v>
      </c>
      <c r="CA137" s="14">
        <f t="shared" si="147"/>
        <v>5.6995607121061449E-12</v>
      </c>
      <c r="CB137" s="22">
        <f t="shared" si="118"/>
        <v>1.0714397109046761E-11</v>
      </c>
      <c r="CC137" s="60">
        <f t="shared" si="119"/>
        <v>293.333333333344</v>
      </c>
      <c r="CD137" s="60">
        <f ca="1">AVERAGE(OFFSET($CC$3,0,0,'Données projet'!$E$12+1,1))-AVERAGE(OFFSET($H$3,0,0,'Données projet'!$E$12+1,1))</f>
        <v>401.84375324751227</v>
      </c>
      <c r="CE137" s="60">
        <f t="shared" si="148"/>
        <v>350.39368043404164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0.46616249570262708</v>
      </c>
      <c r="CM137" s="23">
        <f>EXP(-LN(2)/2)*CM136+(1-EXP(-LN(2)/2))/(LN(2)/2)*CG137*CJ137*VLOOKUP('Données projet'!$B$12,Paramètres!$A$1:$I$89,3,0)*0.475*44/12</f>
        <v>3.093880982796606E-16</v>
      </c>
      <c r="CN137" s="24">
        <f t="shared" si="120"/>
        <v>0.46616249570262741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-1.1368683772161603E-13</v>
      </c>
      <c r="CU137" s="18">
        <f>CT137*VLOOKUP('Données projet'!$B$13,Paramètres!$A$1:$I$89,3,0)*VLOOKUP('Données projet'!$B$13,Paramètres!$A$1:$I$89,5,0)</f>
        <v>-6.7984728957526396E-14</v>
      </c>
      <c r="CV137" s="14" t="e">
        <f t="shared" si="149"/>
        <v>#NUM!</v>
      </c>
      <c r="CW137" s="22" t="e">
        <f t="shared" si="121"/>
        <v>#NUM!</v>
      </c>
      <c r="CX137" s="60" t="e">
        <f t="shared" si="122"/>
        <v>#NUM!</v>
      </c>
      <c r="CY137" s="60">
        <f ca="1">AVERAGE(OFFSET($CX$3,0,0,'Données projet'!$E$13+1,1))-AVERAGE(OFFSET($H$3,0,0,'Données projet'!$E$13+1,1))</f>
        <v>232.73140429491525</v>
      </c>
      <c r="CZ137" s="60">
        <f t="shared" si="150"/>
        <v>201.02719152328638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0.44541089039343612</v>
      </c>
      <c r="DH137" s="23">
        <f>EXP(-LN(2)/2)*DH136+(1-EXP(-LN(2)/2))/(LN(2)/2)*DB137*DE137*VLOOKUP('Données projet'!$B$13,Paramètres!$A$1:$I$89,3,0)*0.475*44/12</f>
        <v>6.8363592372003309E-16</v>
      </c>
      <c r="DI137" s="24">
        <f t="shared" si="123"/>
        <v>0.44541089039343679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>
        <f>DO137*VLOOKUP('Données projet'!$B$14,Paramètres!$A$1:$I$89,3,0)*VLOOKUP('Données projet'!$B$14,Paramètres!$A$1:$I$89,5,0)</f>
        <v>0</v>
      </c>
      <c r="DQ137" s="14" t="e">
        <f t="shared" si="151"/>
        <v>#NUM!</v>
      </c>
      <c r="DR137" s="22" t="e">
        <f t="shared" si="124"/>
        <v>#NUM!</v>
      </c>
      <c r="DS137" s="60" t="e">
        <f t="shared" si="125"/>
        <v>#NUM!</v>
      </c>
      <c r="DT137" s="60">
        <f ca="1">AVERAGE(OFFSET($DS$3,0,0,'Données projet'!$E$14+1,1))-AVERAGE(OFFSET($H$3,0,0,'Données projet'!$E$14+1,1))</f>
        <v>302.15577364214136</v>
      </c>
      <c r="DU137" s="60">
        <f t="shared" si="152"/>
        <v>197.15142751137051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-5.1159076974727213E-13</v>
      </c>
      <c r="EK137" s="18">
        <f>EJ137*VLOOKUP('Données projet'!$B$15,Paramètres!$A$1:$I$89,3,0)*VLOOKUP('Données projet'!$B$15,Paramètres!$A$1:$I$89,5,0)</f>
        <v>-5.3471467253984886E-13</v>
      </c>
      <c r="EL137" s="14" t="e">
        <f t="shared" si="153"/>
        <v>#NUM!</v>
      </c>
      <c r="EM137" s="22" t="e">
        <f t="shared" si="127"/>
        <v>#NUM!</v>
      </c>
      <c r="EN137" s="60" t="e">
        <f t="shared" si="128"/>
        <v>#NUM!</v>
      </c>
      <c r="EO137" s="60">
        <f ca="1">AVERAGE(OFFSET($EN$3,0,0,'Données projet'!$E$15+1,1))-AVERAGE(OFFSET($H$3,0,0,'Données projet'!$E$15+1,1))</f>
        <v>493.70175665335978</v>
      </c>
      <c r="EP137" s="60">
        <f t="shared" si="154"/>
        <v>325.12357781685949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0" t="e">
        <f t="shared" si="131"/>
        <v>#N/A</v>
      </c>
      <c r="FJ137" s="60" t="e">
        <f ca="1">AVERAGE(OFFSET($FI$3,0,0,'Données projet'!$E$16+1,1))-AVERAGE(OFFSET($H$3,0,0,'Données projet'!$E$16+1,1))</f>
        <v>#N/A</v>
      </c>
      <c r="FK137" s="60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0" t="e">
        <f t="shared" si="134"/>
        <v>#N/A</v>
      </c>
      <c r="GE137" s="60" t="e">
        <f ca="1">AVERAGE(OFFSET($GD$3,0,0,'Données projet'!$E$17+1,1))-AVERAGE(OFFSET($H$3,0,0,'Données projet'!$E$17+1,1))</f>
        <v>#N/A</v>
      </c>
      <c r="GF137" s="60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5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8">
        <f t="shared" si="110"/>
        <v>256.66666666666669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0">
        <f t="shared" si="109"/>
        <v>293.3333333333353</v>
      </c>
      <c r="S138" s="60">
        <f ca="1">AVERAGE(OFFSET($R$3,0,0,'Données projet'!$E$9+1,1))-AVERAGE(OFFSET($H$3,0,0,'Données projet'!$E$9+1,1))</f>
        <v>260.02504691866199</v>
      </c>
      <c r="T138" s="60">
        <f t="shared" si="142"/>
        <v>270.11268336406368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1.251038045695436</v>
      </c>
      <c r="AA138" s="23">
        <f>EXP(-LN(2)/25)*AA137+(1-EXP(-LN(2)/25))/(LN(2)/25)*Calculateur!V138*Calculateur!X138*VLOOKUP('Données projet'!$B$9,Paramètres!$A$1:$I$89,3,0)*0.475*44/12</f>
        <v>0.8942751034636317</v>
      </c>
      <c r="AB138" s="23">
        <f>EXP(-LN(2)/2)*AB137+(1-EXP(-LN(2)/2))/(LN(2)/2)*V138*Y138*VLOOKUP('Données projet'!$B$9,Paramètres!$A$1:$I$89,3,0)*0.475*44/12</f>
        <v>9.9543248695446801E-16</v>
      </c>
      <c r="AC138" s="24">
        <f t="shared" si="111"/>
        <v>2.1453131491590685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2.7</v>
      </c>
      <c r="AI138" s="14">
        <f>IF('Données projet'!$A$62&gt;35,AI137+AH138-AQ137,IF(A138&lt;'Données projet'!$A$62,$AF$205^A138,IF(A138='Données projet'!$A$62,'Données projet'!$B$62,AI137+AH138-AQ137)))</f>
        <v>282.49999999999932</v>
      </c>
      <c r="AJ138" s="14">
        <f>AI138*VLOOKUP('Données projet'!$B$10,Paramètres!$A$1:$I$89,3,0)*VLOOKUP('Données projet'!$B$10,Paramètres!$A$1:$I$89,5,0)</f>
        <v>286.45499999999936</v>
      </c>
      <c r="AK138" s="14">
        <f t="shared" si="143"/>
        <v>68.329321179865531</v>
      </c>
      <c r="AL138" s="22">
        <f t="shared" si="112"/>
        <v>617.91602605493142</v>
      </c>
      <c r="AM138" s="60">
        <f t="shared" si="113"/>
        <v>911.24935938826479</v>
      </c>
      <c r="AN138" s="60">
        <f ca="1">AVERAGE(OFFSET($AM$3,0,0,'Données projet'!$E$10+1,1))-AVERAGE(OFFSET($H$3,0,0,'Données projet'!$E$10+1,1))</f>
        <v>475.47920969424894</v>
      </c>
      <c r="AO138" s="60">
        <f t="shared" si="144"/>
        <v>271.73544012419364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1.7</v>
      </c>
      <c r="BD138" s="13">
        <f>IF('Données projet'!$A$88&gt;35,BD137+BC138-BL137,IF(A138&lt;'Données projet'!$A$88,$BA$205^A138,IF(A138='Données projet'!$A$88,'Données projet'!$B$88,BD137+BC138-BL137)))</f>
        <v>218.49999999999986</v>
      </c>
      <c r="BE138" s="14">
        <f>BD138*VLOOKUP('Données projet'!$B$11,Paramètres!$A$1:$I$89,3,0)*VLOOKUP('Données projet'!$B$11,Paramètres!$A$1:$I$89,5,0)</f>
        <v>197.69879999999986</v>
      </c>
      <c r="BF138" s="14">
        <f t="shared" si="145"/>
        <v>49.238093492363312</v>
      </c>
      <c r="BG138" s="22">
        <f t="shared" si="115"/>
        <v>430.08175616586578</v>
      </c>
      <c r="BH138" s="60">
        <f t="shared" si="116"/>
        <v>723.4150894991991</v>
      </c>
      <c r="BI138" s="60">
        <f ca="1">AVERAGE(OFFSET($BH$3,0,0,'Données projet'!$E$11+1,1))-AVERAGE(OFFSET($H$3,0,0,'Données projet'!$E$11+1,1))</f>
        <v>325.2649384779973</v>
      </c>
      <c r="BJ138" s="60">
        <f t="shared" si="146"/>
        <v>146.70159365068315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1.0231815394945443E-12</v>
      </c>
      <c r="BZ138" s="14">
        <f>BY138*VLOOKUP('Données projet'!$B$12,Paramètres!$A$1:$I$89,3,0)*VLOOKUP('Données projet'!$B$12,Paramètres!$A$1:$I$89,5,0)</f>
        <v>4.5224624045658859E-13</v>
      </c>
      <c r="CA138" s="14">
        <f t="shared" si="147"/>
        <v>5.6995607121061449E-12</v>
      </c>
      <c r="CB138" s="22">
        <f t="shared" si="118"/>
        <v>1.0714397109046761E-11</v>
      </c>
      <c r="CC138" s="60">
        <f t="shared" si="119"/>
        <v>293.333333333344</v>
      </c>
      <c r="CD138" s="60">
        <f ca="1">AVERAGE(OFFSET($CC$3,0,0,'Données projet'!$E$12+1,1))-AVERAGE(OFFSET($H$3,0,0,'Données projet'!$E$12+1,1))</f>
        <v>401.84375324751227</v>
      </c>
      <c r="CE138" s="60">
        <f t="shared" si="148"/>
        <v>350.39368043404164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0.4534152577432185</v>
      </c>
      <c r="CM138" s="23">
        <f>EXP(-LN(2)/2)*CM137+(1-EXP(-LN(2)/2))/(LN(2)/2)*CG138*CJ138*VLOOKUP('Données projet'!$B$12,Paramètres!$A$1:$I$89,3,0)*0.475*44/12</f>
        <v>2.1877042231195804E-16</v>
      </c>
      <c r="CN138" s="24">
        <f t="shared" si="120"/>
        <v>0.45341525774321872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-1.1368683772161603E-13</v>
      </c>
      <c r="CU138" s="18">
        <f>CT138*VLOOKUP('Données projet'!$B$13,Paramètres!$A$1:$I$89,3,0)*VLOOKUP('Données projet'!$B$13,Paramètres!$A$1:$I$89,5,0)</f>
        <v>-6.7984728957526396E-14</v>
      </c>
      <c r="CV138" s="14" t="e">
        <f t="shared" si="149"/>
        <v>#NUM!</v>
      </c>
      <c r="CW138" s="22" t="e">
        <f t="shared" si="121"/>
        <v>#NUM!</v>
      </c>
      <c r="CX138" s="60" t="e">
        <f t="shared" si="122"/>
        <v>#NUM!</v>
      </c>
      <c r="CY138" s="60">
        <f ca="1">AVERAGE(OFFSET($CX$3,0,0,'Données projet'!$E$13+1,1))-AVERAGE(OFFSET($H$3,0,0,'Données projet'!$E$13+1,1))</f>
        <v>232.73140429491525</v>
      </c>
      <c r="CZ138" s="60">
        <f t="shared" si="150"/>
        <v>201.02719152328638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0.43323110617248689</v>
      </c>
      <c r="DH138" s="23">
        <f>EXP(-LN(2)/2)*DH137+(1-EXP(-LN(2)/2))/(LN(2)/2)*DB138*DE138*VLOOKUP('Données projet'!$B$13,Paramètres!$A$1:$I$89,3,0)*0.475*44/12</f>
        <v>4.8340359752516473E-16</v>
      </c>
      <c r="DI138" s="24">
        <f t="shared" si="123"/>
        <v>0.43323110617248739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>
        <f>DO138*VLOOKUP('Données projet'!$B$14,Paramètres!$A$1:$I$89,3,0)*VLOOKUP('Données projet'!$B$14,Paramètres!$A$1:$I$89,5,0)</f>
        <v>0</v>
      </c>
      <c r="DQ138" s="14" t="e">
        <f t="shared" si="151"/>
        <v>#NUM!</v>
      </c>
      <c r="DR138" s="22" t="e">
        <f t="shared" si="124"/>
        <v>#NUM!</v>
      </c>
      <c r="DS138" s="60" t="e">
        <f t="shared" si="125"/>
        <v>#NUM!</v>
      </c>
      <c r="DT138" s="60">
        <f ca="1">AVERAGE(OFFSET($DS$3,0,0,'Données projet'!$E$14+1,1))-AVERAGE(OFFSET($H$3,0,0,'Données projet'!$E$14+1,1))</f>
        <v>302.15577364214136</v>
      </c>
      <c r="DU138" s="60">
        <f t="shared" si="152"/>
        <v>197.15142751137051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-5.1159076974727213E-13</v>
      </c>
      <c r="EK138" s="18">
        <f>EJ138*VLOOKUP('Données projet'!$B$15,Paramètres!$A$1:$I$89,3,0)*VLOOKUP('Données projet'!$B$15,Paramètres!$A$1:$I$89,5,0)</f>
        <v>-5.3471467253984886E-13</v>
      </c>
      <c r="EL138" s="14" t="e">
        <f t="shared" si="153"/>
        <v>#NUM!</v>
      </c>
      <c r="EM138" s="22" t="e">
        <f t="shared" si="127"/>
        <v>#NUM!</v>
      </c>
      <c r="EN138" s="60" t="e">
        <f t="shared" si="128"/>
        <v>#NUM!</v>
      </c>
      <c r="EO138" s="60">
        <f ca="1">AVERAGE(OFFSET($EN$3,0,0,'Données projet'!$E$15+1,1))-AVERAGE(OFFSET($H$3,0,0,'Données projet'!$E$15+1,1))</f>
        <v>493.70175665335978</v>
      </c>
      <c r="EP138" s="60">
        <f t="shared" si="154"/>
        <v>325.12357781685949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0" t="e">
        <f t="shared" si="131"/>
        <v>#N/A</v>
      </c>
      <c r="FJ138" s="60" t="e">
        <f ca="1">AVERAGE(OFFSET($FI$3,0,0,'Données projet'!$E$16+1,1))-AVERAGE(OFFSET($H$3,0,0,'Données projet'!$E$16+1,1))</f>
        <v>#N/A</v>
      </c>
      <c r="FK138" s="60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0" t="e">
        <f t="shared" si="134"/>
        <v>#N/A</v>
      </c>
      <c r="GE138" s="60" t="e">
        <f ca="1">AVERAGE(OFFSET($GD$3,0,0,'Données projet'!$E$17+1,1))-AVERAGE(OFFSET($H$3,0,0,'Données projet'!$E$17+1,1))</f>
        <v>#N/A</v>
      </c>
      <c r="GF138" s="60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5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8">
        <f t="shared" si="110"/>
        <v>256.66666666666669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0">
        <f t="shared" si="109"/>
        <v>293.3333333333353</v>
      </c>
      <c r="S139" s="60">
        <f ca="1">AVERAGE(OFFSET($R$3,0,0,'Données projet'!$E$9+1,1))-AVERAGE(OFFSET($H$3,0,0,'Données projet'!$E$9+1,1))</f>
        <v>260.02504691866199</v>
      </c>
      <c r="T139" s="60">
        <f t="shared" si="142"/>
        <v>270.11268336406368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1.2265059526772106</v>
      </c>
      <c r="AA139" s="23">
        <f>EXP(-LN(2)/25)*AA138+(1-EXP(-LN(2)/25))/(LN(2)/25)*Calculateur!V139*Calculateur!X139*VLOOKUP('Données projet'!$B$9,Paramètres!$A$1:$I$89,3,0)*0.475*44/12</f>
        <v>0.86982110373153487</v>
      </c>
      <c r="AB139" s="23">
        <f>EXP(-LN(2)/2)*AB138+(1-EXP(-LN(2)/2))/(LN(2)/2)*V139*Y139*VLOOKUP('Données projet'!$B$9,Paramètres!$A$1:$I$89,3,0)*0.475*44/12</f>
        <v>7.0387706173889383E-16</v>
      </c>
      <c r="AC139" s="24">
        <f t="shared" si="111"/>
        <v>2.0963270564087466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2.7</v>
      </c>
      <c r="AI139" s="14">
        <f>IF('Données projet'!$A$62&gt;35,AI138+AH139-AQ138,IF(A139&lt;'Données projet'!$A$62,$AF$205^A139,IF(A139='Données projet'!$A$62,'Données projet'!$B$62,AI138+AH139-AQ138)))</f>
        <v>285.19999999999931</v>
      </c>
      <c r="AJ139" s="14">
        <f>AI139*VLOOKUP('Données projet'!$B$10,Paramètres!$A$1:$I$89,3,0)*VLOOKUP('Données projet'!$B$10,Paramètres!$A$1:$I$89,5,0)</f>
        <v>289.19279999999935</v>
      </c>
      <c r="AK139" s="14">
        <f t="shared" si="143"/>
        <v>68.906044268306161</v>
      </c>
      <c r="AL139" s="22">
        <f t="shared" si="112"/>
        <v>623.68882043396547</v>
      </c>
      <c r="AM139" s="60">
        <f t="shared" si="113"/>
        <v>917.02215376729873</v>
      </c>
      <c r="AN139" s="60">
        <f ca="1">AVERAGE(OFFSET($AM$3,0,0,'Données projet'!$E$10+1,1))-AVERAGE(OFFSET($H$3,0,0,'Données projet'!$E$10+1,1))</f>
        <v>475.47920969424894</v>
      </c>
      <c r="AO139" s="60">
        <f t="shared" si="144"/>
        <v>271.73544012419364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1.7</v>
      </c>
      <c r="BD139" s="13">
        <f>IF('Données projet'!$A$88&gt;35,BD138+BC139-BL138,IF(A139&lt;'Données projet'!$A$88,$BA$205^A139,IF(A139='Données projet'!$A$88,'Données projet'!$B$88,BD138+BC139-BL138)))</f>
        <v>220.19999999999985</v>
      </c>
      <c r="BE139" s="14">
        <f>BD139*VLOOKUP('Données projet'!$B$11,Paramètres!$A$1:$I$89,3,0)*VLOOKUP('Données projet'!$B$11,Paramètres!$A$1:$I$89,5,0)</f>
        <v>199.23695999999987</v>
      </c>
      <c r="BF139" s="14">
        <f t="shared" si="145"/>
        <v>49.576437339980899</v>
      </c>
      <c r="BG139" s="22">
        <f t="shared" si="115"/>
        <v>433.35000036713313</v>
      </c>
      <c r="BH139" s="60">
        <f t="shared" si="116"/>
        <v>726.68333370046639</v>
      </c>
      <c r="BI139" s="60">
        <f ca="1">AVERAGE(OFFSET($BH$3,0,0,'Données projet'!$E$11+1,1))-AVERAGE(OFFSET($H$3,0,0,'Données projet'!$E$11+1,1))</f>
        <v>325.2649384779973</v>
      </c>
      <c r="BJ139" s="60">
        <f t="shared" si="146"/>
        <v>146.70159365068315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1.0231815394945443E-12</v>
      </c>
      <c r="BZ139" s="14">
        <f>BY139*VLOOKUP('Données projet'!$B$12,Paramètres!$A$1:$I$89,3,0)*VLOOKUP('Données projet'!$B$12,Paramètres!$A$1:$I$89,5,0)</f>
        <v>4.5224624045658859E-13</v>
      </c>
      <c r="CA139" s="14">
        <f t="shared" si="147"/>
        <v>5.6995607121061449E-12</v>
      </c>
      <c r="CB139" s="22">
        <f t="shared" si="118"/>
        <v>1.0714397109046761E-11</v>
      </c>
      <c r="CC139" s="60">
        <f t="shared" si="119"/>
        <v>293.333333333344</v>
      </c>
      <c r="CD139" s="60">
        <f ca="1">AVERAGE(OFFSET($CC$3,0,0,'Données projet'!$E$12+1,1))-AVERAGE(OFFSET($H$3,0,0,'Données projet'!$E$12+1,1))</f>
        <v>401.84375324751227</v>
      </c>
      <c r="CE139" s="60">
        <f t="shared" si="148"/>
        <v>350.39368043404164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0.44101659367615809</v>
      </c>
      <c r="CM139" s="23">
        <f>EXP(-LN(2)/2)*CM138+(1-EXP(-LN(2)/2))/(LN(2)/2)*CG139*CJ139*VLOOKUP('Données projet'!$B$12,Paramètres!$A$1:$I$89,3,0)*0.475*44/12</f>
        <v>1.5469404913983032E-16</v>
      </c>
      <c r="CN139" s="24">
        <f t="shared" si="120"/>
        <v>0.44101659367615825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-1.1368683772161603E-13</v>
      </c>
      <c r="CU139" s="18">
        <f>CT139*VLOOKUP('Données projet'!$B$13,Paramètres!$A$1:$I$89,3,0)*VLOOKUP('Données projet'!$B$13,Paramètres!$A$1:$I$89,5,0)</f>
        <v>-6.7984728957526396E-14</v>
      </c>
      <c r="CV139" s="14" t="e">
        <f t="shared" si="149"/>
        <v>#NUM!</v>
      </c>
      <c r="CW139" s="22" t="e">
        <f t="shared" si="121"/>
        <v>#NUM!</v>
      </c>
      <c r="CX139" s="60" t="e">
        <f t="shared" si="122"/>
        <v>#NUM!</v>
      </c>
      <c r="CY139" s="60">
        <f ca="1">AVERAGE(OFFSET($CX$3,0,0,'Données projet'!$E$13+1,1))-AVERAGE(OFFSET($H$3,0,0,'Données projet'!$E$13+1,1))</f>
        <v>232.73140429491525</v>
      </c>
      <c r="CZ139" s="60">
        <f t="shared" si="150"/>
        <v>201.02719152328638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0.42138437879156654</v>
      </c>
      <c r="DH139" s="23">
        <f>EXP(-LN(2)/2)*DH138+(1-EXP(-LN(2)/2))/(LN(2)/2)*DB139*DE139*VLOOKUP('Données projet'!$B$13,Paramètres!$A$1:$I$89,3,0)*0.475*44/12</f>
        <v>3.4181796186001655E-16</v>
      </c>
      <c r="DI139" s="24">
        <f t="shared" si="123"/>
        <v>0.42138437879156687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>
        <f>DO139*VLOOKUP('Données projet'!$B$14,Paramètres!$A$1:$I$89,3,0)*VLOOKUP('Données projet'!$B$14,Paramètres!$A$1:$I$89,5,0)</f>
        <v>0</v>
      </c>
      <c r="DQ139" s="14" t="e">
        <f t="shared" si="151"/>
        <v>#NUM!</v>
      </c>
      <c r="DR139" s="22" t="e">
        <f t="shared" si="124"/>
        <v>#NUM!</v>
      </c>
      <c r="DS139" s="60" t="e">
        <f t="shared" si="125"/>
        <v>#NUM!</v>
      </c>
      <c r="DT139" s="60">
        <f ca="1">AVERAGE(OFFSET($DS$3,0,0,'Données projet'!$E$14+1,1))-AVERAGE(OFFSET($H$3,0,0,'Données projet'!$E$14+1,1))</f>
        <v>302.15577364214136</v>
      </c>
      <c r="DU139" s="60">
        <f t="shared" si="152"/>
        <v>197.15142751137051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-5.1159076974727213E-13</v>
      </c>
      <c r="EK139" s="18">
        <f>EJ139*VLOOKUP('Données projet'!$B$15,Paramètres!$A$1:$I$89,3,0)*VLOOKUP('Données projet'!$B$15,Paramètres!$A$1:$I$89,5,0)</f>
        <v>-5.3471467253984886E-13</v>
      </c>
      <c r="EL139" s="14" t="e">
        <f t="shared" si="153"/>
        <v>#NUM!</v>
      </c>
      <c r="EM139" s="22" t="e">
        <f t="shared" si="127"/>
        <v>#NUM!</v>
      </c>
      <c r="EN139" s="60" t="e">
        <f t="shared" si="128"/>
        <v>#NUM!</v>
      </c>
      <c r="EO139" s="60">
        <f ca="1">AVERAGE(OFFSET($EN$3,0,0,'Données projet'!$E$15+1,1))-AVERAGE(OFFSET($H$3,0,0,'Données projet'!$E$15+1,1))</f>
        <v>493.70175665335978</v>
      </c>
      <c r="EP139" s="60">
        <f t="shared" si="154"/>
        <v>325.12357781685949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0" t="e">
        <f t="shared" si="131"/>
        <v>#N/A</v>
      </c>
      <c r="FJ139" s="60" t="e">
        <f ca="1">AVERAGE(OFFSET($FI$3,0,0,'Données projet'!$E$16+1,1))-AVERAGE(OFFSET($H$3,0,0,'Données projet'!$E$16+1,1))</f>
        <v>#N/A</v>
      </c>
      <c r="FK139" s="60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0" t="e">
        <f t="shared" si="134"/>
        <v>#N/A</v>
      </c>
      <c r="GE139" s="60" t="e">
        <f ca="1">AVERAGE(OFFSET($GD$3,0,0,'Données projet'!$E$17+1,1))-AVERAGE(OFFSET($H$3,0,0,'Données projet'!$E$17+1,1))</f>
        <v>#N/A</v>
      </c>
      <c r="GF139" s="60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5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8">
        <f t="shared" si="110"/>
        <v>256.66666666666669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0">
        <f t="shared" si="109"/>
        <v>293.3333333333353</v>
      </c>
      <c r="S140" s="60">
        <f ca="1">AVERAGE(OFFSET($R$3,0,0,'Données projet'!$E$9+1,1))-AVERAGE(OFFSET($H$3,0,0,'Données projet'!$E$9+1,1))</f>
        <v>260.02504691866199</v>
      </c>
      <c r="T140" s="60">
        <f t="shared" si="142"/>
        <v>270.11268336406368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1.2024549190399734</v>
      </c>
      <c r="AA140" s="23">
        <f>EXP(-LN(2)/25)*AA139+(1-EXP(-LN(2)/25))/(LN(2)/25)*Calculateur!V140*Calculateur!X140*VLOOKUP('Données projet'!$B$9,Paramètres!$A$1:$I$89,3,0)*0.475*44/12</f>
        <v>0.84603579990809219</v>
      </c>
      <c r="AB140" s="23">
        <f>EXP(-LN(2)/2)*AB139+(1-EXP(-LN(2)/2))/(LN(2)/2)*V140*Y140*VLOOKUP('Données projet'!$B$9,Paramètres!$A$1:$I$89,3,0)*0.475*44/12</f>
        <v>4.97716243477234E-16</v>
      </c>
      <c r="AC140" s="24">
        <f t="shared" si="111"/>
        <v>2.0484907189480661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2.7</v>
      </c>
      <c r="AI140" s="14">
        <f>IF('Données projet'!$A$62&gt;35,AI139+AH140-AQ139,IF(A140&lt;'Données projet'!$A$62,$AF$205^A140,IF(A140='Données projet'!$A$62,'Données projet'!$B$62,AI139+AH140-AQ139)))</f>
        <v>287.8999999999993</v>
      </c>
      <c r="AJ140" s="14">
        <f>AI140*VLOOKUP('Données projet'!$B$10,Paramètres!$A$1:$I$89,3,0)*VLOOKUP('Données projet'!$B$10,Paramètres!$A$1:$I$89,5,0)</f>
        <v>291.93059999999929</v>
      </c>
      <c r="AK140" s="14">
        <f t="shared" si="143"/>
        <v>69.482132168934584</v>
      </c>
      <c r="AL140" s="22">
        <f t="shared" si="112"/>
        <v>629.4605085275598</v>
      </c>
      <c r="AM140" s="60">
        <f t="shared" si="113"/>
        <v>922.79384186089305</v>
      </c>
      <c r="AN140" s="60">
        <f ca="1">AVERAGE(OFFSET($AM$3,0,0,'Données projet'!$E$10+1,1))-AVERAGE(OFFSET($H$3,0,0,'Données projet'!$E$10+1,1))</f>
        <v>475.47920969424894</v>
      </c>
      <c r="AO140" s="60">
        <f t="shared" si="144"/>
        <v>271.73544012419364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1.7</v>
      </c>
      <c r="BD140" s="13">
        <f>IF('Données projet'!$A$88&gt;35,BD139+BC140-BL139,IF(A140&lt;'Données projet'!$A$88,$BA$205^A140,IF(A140='Données projet'!$A$88,'Données projet'!$B$88,BD139+BC140-BL139)))</f>
        <v>221.89999999999984</v>
      </c>
      <c r="BE140" s="14">
        <f>BD140*VLOOKUP('Données projet'!$B$11,Paramètres!$A$1:$I$89,3,0)*VLOOKUP('Données projet'!$B$11,Paramètres!$A$1:$I$89,5,0)</f>
        <v>200.77511999999982</v>
      </c>
      <c r="BF140" s="14">
        <f t="shared" si="145"/>
        <v>49.914477272475025</v>
      </c>
      <c r="BG140" s="22">
        <f t="shared" si="115"/>
        <v>436.61771524956038</v>
      </c>
      <c r="BH140" s="60">
        <f t="shared" si="116"/>
        <v>729.95104858289369</v>
      </c>
      <c r="BI140" s="60">
        <f ca="1">AVERAGE(OFFSET($BH$3,0,0,'Données projet'!$E$11+1,1))-AVERAGE(OFFSET($H$3,0,0,'Données projet'!$E$11+1,1))</f>
        <v>325.2649384779973</v>
      </c>
      <c r="BJ140" s="60">
        <f t="shared" si="146"/>
        <v>146.70159365068315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1.0231815394945443E-12</v>
      </c>
      <c r="BZ140" s="14">
        <f>BY140*VLOOKUP('Données projet'!$B$12,Paramètres!$A$1:$I$89,3,0)*VLOOKUP('Données projet'!$B$12,Paramètres!$A$1:$I$89,5,0)</f>
        <v>4.5224624045658859E-13</v>
      </c>
      <c r="CA140" s="14">
        <f t="shared" si="147"/>
        <v>5.6995607121061449E-12</v>
      </c>
      <c r="CB140" s="22">
        <f t="shared" si="118"/>
        <v>1.0714397109046761E-11</v>
      </c>
      <c r="CC140" s="60">
        <f t="shared" si="119"/>
        <v>293.333333333344</v>
      </c>
      <c r="CD140" s="60">
        <f ca="1">AVERAGE(OFFSET($CC$3,0,0,'Données projet'!$E$12+1,1))-AVERAGE(OFFSET($H$3,0,0,'Données projet'!$E$12+1,1))</f>
        <v>401.84375324751227</v>
      </c>
      <c r="CE140" s="60">
        <f t="shared" si="148"/>
        <v>350.39368043404164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0.42895697173002884</v>
      </c>
      <c r="CM140" s="23">
        <f>EXP(-LN(2)/2)*CM139+(1-EXP(-LN(2)/2))/(LN(2)/2)*CG140*CJ140*VLOOKUP('Données projet'!$B$12,Paramètres!$A$1:$I$89,3,0)*0.475*44/12</f>
        <v>1.0938521115597903E-16</v>
      </c>
      <c r="CN140" s="24">
        <f t="shared" si="120"/>
        <v>0.42895697173002895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-1.1368683772161603E-13</v>
      </c>
      <c r="CU140" s="18">
        <f>CT140*VLOOKUP('Données projet'!$B$13,Paramètres!$A$1:$I$89,3,0)*VLOOKUP('Données projet'!$B$13,Paramètres!$A$1:$I$89,5,0)</f>
        <v>-6.7984728957526396E-14</v>
      </c>
      <c r="CV140" s="14" t="e">
        <f t="shared" si="149"/>
        <v>#NUM!</v>
      </c>
      <c r="CW140" s="22" t="e">
        <f t="shared" si="121"/>
        <v>#NUM!</v>
      </c>
      <c r="CX140" s="60" t="e">
        <f t="shared" si="122"/>
        <v>#NUM!</v>
      </c>
      <c r="CY140" s="60">
        <f ca="1">AVERAGE(OFFSET($CX$3,0,0,'Données projet'!$E$13+1,1))-AVERAGE(OFFSET($H$3,0,0,'Données projet'!$E$13+1,1))</f>
        <v>232.73140429491525</v>
      </c>
      <c r="CZ140" s="60">
        <f t="shared" si="150"/>
        <v>201.02719152328638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0.40986160079386974</v>
      </c>
      <c r="DH140" s="23">
        <f>EXP(-LN(2)/2)*DH139+(1-EXP(-LN(2)/2))/(LN(2)/2)*DB140*DE140*VLOOKUP('Données projet'!$B$13,Paramètres!$A$1:$I$89,3,0)*0.475*44/12</f>
        <v>2.4170179876258237E-16</v>
      </c>
      <c r="DI140" s="24">
        <f t="shared" si="123"/>
        <v>0.40986160079386996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>
        <f>DO140*VLOOKUP('Données projet'!$B$14,Paramètres!$A$1:$I$89,3,0)*VLOOKUP('Données projet'!$B$14,Paramètres!$A$1:$I$89,5,0)</f>
        <v>0</v>
      </c>
      <c r="DQ140" s="14" t="e">
        <f t="shared" si="151"/>
        <v>#NUM!</v>
      </c>
      <c r="DR140" s="22" t="e">
        <f t="shared" si="124"/>
        <v>#NUM!</v>
      </c>
      <c r="DS140" s="60" t="e">
        <f t="shared" si="125"/>
        <v>#NUM!</v>
      </c>
      <c r="DT140" s="60">
        <f ca="1">AVERAGE(OFFSET($DS$3,0,0,'Données projet'!$E$14+1,1))-AVERAGE(OFFSET($H$3,0,0,'Données projet'!$E$14+1,1))</f>
        <v>302.15577364214136</v>
      </c>
      <c r="DU140" s="60">
        <f t="shared" si="152"/>
        <v>197.15142751137051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-5.1159076974727213E-13</v>
      </c>
      <c r="EK140" s="18">
        <f>EJ140*VLOOKUP('Données projet'!$B$15,Paramètres!$A$1:$I$89,3,0)*VLOOKUP('Données projet'!$B$15,Paramètres!$A$1:$I$89,5,0)</f>
        <v>-5.3471467253984886E-13</v>
      </c>
      <c r="EL140" s="14" t="e">
        <f t="shared" si="153"/>
        <v>#NUM!</v>
      </c>
      <c r="EM140" s="22" t="e">
        <f t="shared" si="127"/>
        <v>#NUM!</v>
      </c>
      <c r="EN140" s="60" t="e">
        <f t="shared" si="128"/>
        <v>#NUM!</v>
      </c>
      <c r="EO140" s="60">
        <f ca="1">AVERAGE(OFFSET($EN$3,0,0,'Données projet'!$E$15+1,1))-AVERAGE(OFFSET($H$3,0,0,'Données projet'!$E$15+1,1))</f>
        <v>493.70175665335978</v>
      </c>
      <c r="EP140" s="60">
        <f t="shared" si="154"/>
        <v>325.12357781685949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0" t="e">
        <f t="shared" si="131"/>
        <v>#N/A</v>
      </c>
      <c r="FJ140" s="60" t="e">
        <f ca="1">AVERAGE(OFFSET($FI$3,0,0,'Données projet'!$E$16+1,1))-AVERAGE(OFFSET($H$3,0,0,'Données projet'!$E$16+1,1))</f>
        <v>#N/A</v>
      </c>
      <c r="FK140" s="60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0" t="e">
        <f t="shared" si="134"/>
        <v>#N/A</v>
      </c>
      <c r="GE140" s="60" t="e">
        <f ca="1">AVERAGE(OFFSET($GD$3,0,0,'Données projet'!$E$17+1,1))-AVERAGE(OFFSET($H$3,0,0,'Données projet'!$E$17+1,1))</f>
        <v>#N/A</v>
      </c>
      <c r="GF140" s="60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5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8">
        <f t="shared" si="110"/>
        <v>256.66666666666669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0">
        <f t="shared" si="109"/>
        <v>293.3333333333353</v>
      </c>
      <c r="S141" s="60">
        <f ca="1">AVERAGE(OFFSET($R$3,0,0,'Données projet'!$E$9+1,1))-AVERAGE(OFFSET($H$3,0,0,'Données projet'!$E$9+1,1))</f>
        <v>260.02504691866199</v>
      </c>
      <c r="T141" s="60">
        <f t="shared" si="142"/>
        <v>270.11268336406368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1.1788755115026803</v>
      </c>
      <c r="AA141" s="23">
        <f>EXP(-LN(2)/25)*AA140+(1-EXP(-LN(2)/25))/(LN(2)/25)*Calculateur!V141*Calculateur!X141*VLOOKUP('Données projet'!$B$9,Paramètres!$A$1:$I$89,3,0)*0.475*44/12</f>
        <v>0.82290090646851632</v>
      </c>
      <c r="AB141" s="23">
        <f>EXP(-LN(2)/2)*AB140+(1-EXP(-LN(2)/2))/(LN(2)/2)*V141*Y141*VLOOKUP('Données projet'!$B$9,Paramètres!$A$1:$I$89,3,0)*0.475*44/12</f>
        <v>3.5193853086944692E-16</v>
      </c>
      <c r="AC141" s="24">
        <f t="shared" si="111"/>
        <v>2.0017764179711972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2.7</v>
      </c>
      <c r="AI141" s="14">
        <f>IF('Données projet'!$A$62&gt;35,AI140+AH141-AQ140,IF(A141&lt;'Données projet'!$A$62,$AF$205^A141,IF(A141='Données projet'!$A$62,'Données projet'!$B$62,AI140+AH141-AQ140)))</f>
        <v>290.59999999999928</v>
      </c>
      <c r="AJ141" s="14">
        <f>AI141*VLOOKUP('Données projet'!$B$10,Paramètres!$A$1:$I$89,3,0)*VLOOKUP('Données projet'!$B$10,Paramètres!$A$1:$I$89,5,0)</f>
        <v>294.66839999999928</v>
      </c>
      <c r="AK141" s="14">
        <f t="shared" si="143"/>
        <v>70.057591528661433</v>
      </c>
      <c r="AL141" s="22">
        <f t="shared" si="112"/>
        <v>635.23110191241733</v>
      </c>
      <c r="AM141" s="60">
        <f t="shared" si="113"/>
        <v>928.5644352457507</v>
      </c>
      <c r="AN141" s="60">
        <f ca="1">AVERAGE(OFFSET($AM$3,0,0,'Données projet'!$E$10+1,1))-AVERAGE(OFFSET($H$3,0,0,'Données projet'!$E$10+1,1))</f>
        <v>475.47920969424894</v>
      </c>
      <c r="AO141" s="60">
        <f t="shared" si="144"/>
        <v>271.73544012419364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1.7</v>
      </c>
      <c r="BD141" s="13">
        <f>IF('Données projet'!$A$88&gt;35,BD140+BC141-BL140,IF(A141&lt;'Données projet'!$A$88,$BA$205^A141,IF(A141='Données projet'!$A$88,'Données projet'!$B$88,BD140+BC141-BL140)))</f>
        <v>223.59999999999982</v>
      </c>
      <c r="BE141" s="14">
        <f>BD141*VLOOKUP('Données projet'!$B$11,Paramètres!$A$1:$I$89,3,0)*VLOOKUP('Données projet'!$B$11,Paramètres!$A$1:$I$89,5,0)</f>
        <v>202.31327999999985</v>
      </c>
      <c r="BF141" s="14">
        <f t="shared" si="145"/>
        <v>50.252215888082027</v>
      </c>
      <c r="BG141" s="22">
        <f t="shared" si="115"/>
        <v>439.88490533840923</v>
      </c>
      <c r="BH141" s="60">
        <f t="shared" si="116"/>
        <v>733.21823867174248</v>
      </c>
      <c r="BI141" s="60">
        <f ca="1">AVERAGE(OFFSET($BH$3,0,0,'Données projet'!$E$11+1,1))-AVERAGE(OFFSET($H$3,0,0,'Données projet'!$E$11+1,1))</f>
        <v>325.2649384779973</v>
      </c>
      <c r="BJ141" s="60">
        <f t="shared" si="146"/>
        <v>146.70159365068315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1.0231815394945443E-12</v>
      </c>
      <c r="BZ141" s="14">
        <f>BY141*VLOOKUP('Données projet'!$B$12,Paramètres!$A$1:$I$89,3,0)*VLOOKUP('Données projet'!$B$12,Paramètres!$A$1:$I$89,5,0)</f>
        <v>4.5224624045658859E-13</v>
      </c>
      <c r="CA141" s="14">
        <f t="shared" si="147"/>
        <v>5.6995607121061449E-12</v>
      </c>
      <c r="CB141" s="22">
        <f t="shared" si="118"/>
        <v>1.0714397109046761E-11</v>
      </c>
      <c r="CC141" s="60">
        <f t="shared" si="119"/>
        <v>293.333333333344</v>
      </c>
      <c r="CD141" s="60">
        <f ca="1">AVERAGE(OFFSET($CC$3,0,0,'Données projet'!$E$12+1,1))-AVERAGE(OFFSET($H$3,0,0,'Données projet'!$E$12+1,1))</f>
        <v>401.84375324751227</v>
      </c>
      <c r="CE141" s="60">
        <f t="shared" si="148"/>
        <v>350.39368043404164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0.41722712078020446</v>
      </c>
      <c r="CM141" s="23">
        <f>EXP(-LN(2)/2)*CM140+(1-EXP(-LN(2)/2))/(LN(2)/2)*CG141*CJ141*VLOOKUP('Données projet'!$B$12,Paramètres!$A$1:$I$89,3,0)*0.475*44/12</f>
        <v>7.7347024569915175E-17</v>
      </c>
      <c r="CN141" s="24">
        <f t="shared" si="120"/>
        <v>0.41722712078020452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-1.1368683772161603E-13</v>
      </c>
      <c r="CU141" s="18">
        <f>CT141*VLOOKUP('Données projet'!$B$13,Paramètres!$A$1:$I$89,3,0)*VLOOKUP('Données projet'!$B$13,Paramètres!$A$1:$I$89,5,0)</f>
        <v>-6.7984728957526396E-14</v>
      </c>
      <c r="CV141" s="14" t="e">
        <f t="shared" si="149"/>
        <v>#NUM!</v>
      </c>
      <c r="CW141" s="22" t="e">
        <f t="shared" si="121"/>
        <v>#NUM!</v>
      </c>
      <c r="CX141" s="60" t="e">
        <f t="shared" si="122"/>
        <v>#NUM!</v>
      </c>
      <c r="CY141" s="60">
        <f ca="1">AVERAGE(OFFSET($CX$3,0,0,'Données projet'!$E$13+1,1))-AVERAGE(OFFSET($H$3,0,0,'Données projet'!$E$13+1,1))</f>
        <v>232.73140429491525</v>
      </c>
      <c r="CZ141" s="60">
        <f t="shared" si="150"/>
        <v>201.02719152328638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0.39865391376647652</v>
      </c>
      <c r="DH141" s="23">
        <f>EXP(-LN(2)/2)*DH140+(1-EXP(-LN(2)/2))/(LN(2)/2)*DB141*DE141*VLOOKUP('Données projet'!$B$13,Paramètres!$A$1:$I$89,3,0)*0.475*44/12</f>
        <v>1.7090898093000827E-16</v>
      </c>
      <c r="DI141" s="24">
        <f t="shared" si="123"/>
        <v>0.39865391376647669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>
        <f>DO141*VLOOKUP('Données projet'!$B$14,Paramètres!$A$1:$I$89,3,0)*VLOOKUP('Données projet'!$B$14,Paramètres!$A$1:$I$89,5,0)</f>
        <v>0</v>
      </c>
      <c r="DQ141" s="14" t="e">
        <f t="shared" si="151"/>
        <v>#NUM!</v>
      </c>
      <c r="DR141" s="22" t="e">
        <f t="shared" si="124"/>
        <v>#NUM!</v>
      </c>
      <c r="DS141" s="60" t="e">
        <f t="shared" si="125"/>
        <v>#NUM!</v>
      </c>
      <c r="DT141" s="60">
        <f ca="1">AVERAGE(OFFSET($DS$3,0,0,'Données projet'!$E$14+1,1))-AVERAGE(OFFSET($H$3,0,0,'Données projet'!$E$14+1,1))</f>
        <v>302.15577364214136</v>
      </c>
      <c r="DU141" s="60">
        <f t="shared" si="152"/>
        <v>197.15142751137051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-5.1159076974727213E-13</v>
      </c>
      <c r="EK141" s="18">
        <f>EJ141*VLOOKUP('Données projet'!$B$15,Paramètres!$A$1:$I$89,3,0)*VLOOKUP('Données projet'!$B$15,Paramètres!$A$1:$I$89,5,0)</f>
        <v>-5.3471467253984886E-13</v>
      </c>
      <c r="EL141" s="14" t="e">
        <f t="shared" si="153"/>
        <v>#NUM!</v>
      </c>
      <c r="EM141" s="22" t="e">
        <f t="shared" si="127"/>
        <v>#NUM!</v>
      </c>
      <c r="EN141" s="60" t="e">
        <f t="shared" si="128"/>
        <v>#NUM!</v>
      </c>
      <c r="EO141" s="60">
        <f ca="1">AVERAGE(OFFSET($EN$3,0,0,'Données projet'!$E$15+1,1))-AVERAGE(OFFSET($H$3,0,0,'Données projet'!$E$15+1,1))</f>
        <v>493.70175665335978</v>
      </c>
      <c r="EP141" s="60">
        <f t="shared" si="154"/>
        <v>325.12357781685949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0" t="e">
        <f t="shared" si="131"/>
        <v>#N/A</v>
      </c>
      <c r="FJ141" s="60" t="e">
        <f ca="1">AVERAGE(OFFSET($FI$3,0,0,'Données projet'!$E$16+1,1))-AVERAGE(OFFSET($H$3,0,0,'Données projet'!$E$16+1,1))</f>
        <v>#N/A</v>
      </c>
      <c r="FK141" s="60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0" t="e">
        <f t="shared" si="134"/>
        <v>#N/A</v>
      </c>
      <c r="GE141" s="60" t="e">
        <f ca="1">AVERAGE(OFFSET($GD$3,0,0,'Données projet'!$E$17+1,1))-AVERAGE(OFFSET($H$3,0,0,'Données projet'!$E$17+1,1))</f>
        <v>#N/A</v>
      </c>
      <c r="GF141" s="60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5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8">
        <f t="shared" si="110"/>
        <v>256.66666666666669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0">
        <f t="shared" si="109"/>
        <v>293.3333333333353</v>
      </c>
      <c r="S142" s="60">
        <f ca="1">AVERAGE(OFFSET($R$3,0,0,'Données projet'!$E$9+1,1))-AVERAGE(OFFSET($H$3,0,0,'Données projet'!$E$9+1,1))</f>
        <v>260.02504691866199</v>
      </c>
      <c r="T142" s="60">
        <f t="shared" si="142"/>
        <v>270.11268336406368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1.1557584817651751</v>
      </c>
      <c r="AA142" s="23">
        <f>EXP(-LN(2)/25)*AA141+(1-EXP(-LN(2)/25))/(LN(2)/25)*Calculateur!V142*Calculateur!X142*VLOOKUP('Données projet'!$B$9,Paramètres!$A$1:$I$89,3,0)*0.475*44/12</f>
        <v>0.80039863790665688</v>
      </c>
      <c r="AB142" s="23">
        <f>EXP(-LN(2)/2)*AB141+(1-EXP(-LN(2)/2))/(LN(2)/2)*V142*Y142*VLOOKUP('Données projet'!$B$9,Paramètres!$A$1:$I$89,3,0)*0.475*44/12</f>
        <v>2.48858121738617E-16</v>
      </c>
      <c r="AC142" s="24">
        <f t="shared" si="111"/>
        <v>1.9561571196718324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2.7</v>
      </c>
      <c r="AI142" s="14">
        <f>IF('Données projet'!$A$62&gt;35,AI141+AH142-AQ141,IF(A142&lt;'Données projet'!$A$62,$AF$205^A142,IF(A142='Données projet'!$A$62,'Données projet'!$B$62,AI141+AH142-AQ141)))</f>
        <v>293.29999999999927</v>
      </c>
      <c r="AJ142" s="14">
        <f>AI142*VLOOKUP('Données projet'!$B$10,Paramètres!$A$1:$I$89,3,0)*VLOOKUP('Données projet'!$B$10,Paramètres!$A$1:$I$89,5,0)</f>
        <v>297.40619999999927</v>
      </c>
      <c r="AK142" s="14">
        <f t="shared" si="143"/>
        <v>70.632428863759543</v>
      </c>
      <c r="AL142" s="22">
        <f t="shared" si="112"/>
        <v>641.0006119377133</v>
      </c>
      <c r="AM142" s="60">
        <f t="shared" si="113"/>
        <v>934.33394527104656</v>
      </c>
      <c r="AN142" s="60">
        <f ca="1">AVERAGE(OFFSET($AM$3,0,0,'Données projet'!$E$10+1,1))-AVERAGE(OFFSET($H$3,0,0,'Données projet'!$E$10+1,1))</f>
        <v>475.47920969424894</v>
      </c>
      <c r="AO142" s="60">
        <f t="shared" si="144"/>
        <v>271.73544012419364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1.7</v>
      </c>
      <c r="BD142" s="13">
        <f>IF('Données projet'!$A$88&gt;35,BD141+BC142-BL141,IF(A142&lt;'Données projet'!$A$88,$BA$205^A142,IF(A142='Données projet'!$A$88,'Données projet'!$B$88,BD141+BC142-BL141)))</f>
        <v>225.29999999999981</v>
      </c>
      <c r="BE142" s="14">
        <f>BD142*VLOOKUP('Données projet'!$B$11,Paramètres!$A$1:$I$89,3,0)*VLOOKUP('Données projet'!$B$11,Paramètres!$A$1:$I$89,5,0)</f>
        <v>203.85143999999983</v>
      </c>
      <c r="BF142" s="14">
        <f t="shared" si="145"/>
        <v>50.589655743248208</v>
      </c>
      <c r="BG142" s="22">
        <f t="shared" si="115"/>
        <v>443.15157508615698</v>
      </c>
      <c r="BH142" s="60">
        <f t="shared" si="116"/>
        <v>736.48490841949024</v>
      </c>
      <c r="BI142" s="60">
        <f ca="1">AVERAGE(OFFSET($BH$3,0,0,'Données projet'!$E$11+1,1))-AVERAGE(OFFSET($H$3,0,0,'Données projet'!$E$11+1,1))</f>
        <v>325.2649384779973</v>
      </c>
      <c r="BJ142" s="60">
        <f t="shared" si="146"/>
        <v>146.70159365068315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1.0231815394945443E-12</v>
      </c>
      <c r="BZ142" s="14">
        <f>BY142*VLOOKUP('Données projet'!$B$12,Paramètres!$A$1:$I$89,3,0)*VLOOKUP('Données projet'!$B$12,Paramètres!$A$1:$I$89,5,0)</f>
        <v>4.5224624045658859E-13</v>
      </c>
      <c r="CA142" s="14">
        <f t="shared" si="147"/>
        <v>5.6995607121061449E-12</v>
      </c>
      <c r="CB142" s="22">
        <f t="shared" si="118"/>
        <v>1.0714397109046761E-11</v>
      </c>
      <c r="CC142" s="60">
        <f t="shared" si="119"/>
        <v>293.333333333344</v>
      </c>
      <c r="CD142" s="60">
        <f ca="1">AVERAGE(OFFSET($CC$3,0,0,'Données projet'!$E$12+1,1))-AVERAGE(OFFSET($H$3,0,0,'Données projet'!$E$12+1,1))</f>
        <v>401.84375324751227</v>
      </c>
      <c r="CE142" s="60">
        <f t="shared" si="148"/>
        <v>350.39368043404164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0.40581802322144905</v>
      </c>
      <c r="CM142" s="23">
        <f>EXP(-LN(2)/2)*CM141+(1-EXP(-LN(2)/2))/(LN(2)/2)*CG142*CJ142*VLOOKUP('Données projet'!$B$12,Paramètres!$A$1:$I$89,3,0)*0.475*44/12</f>
        <v>5.4692605577989529E-17</v>
      </c>
      <c r="CN142" s="24">
        <f t="shared" si="120"/>
        <v>0.40581802322144911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-1.1368683772161603E-13</v>
      </c>
      <c r="CU142" s="18">
        <f>CT142*VLOOKUP('Données projet'!$B$13,Paramètres!$A$1:$I$89,3,0)*VLOOKUP('Données projet'!$B$13,Paramètres!$A$1:$I$89,5,0)</f>
        <v>-6.7984728957526396E-14</v>
      </c>
      <c r="CV142" s="14" t="e">
        <f t="shared" si="149"/>
        <v>#NUM!</v>
      </c>
      <c r="CW142" s="22" t="e">
        <f t="shared" si="121"/>
        <v>#NUM!</v>
      </c>
      <c r="CX142" s="60" t="e">
        <f t="shared" si="122"/>
        <v>#NUM!</v>
      </c>
      <c r="CY142" s="60">
        <f ca="1">AVERAGE(OFFSET($CX$3,0,0,'Données projet'!$E$13+1,1))-AVERAGE(OFFSET($H$3,0,0,'Données projet'!$E$13+1,1))</f>
        <v>232.73140429491525</v>
      </c>
      <c r="CZ142" s="60">
        <f t="shared" si="150"/>
        <v>201.02719152328638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0.38775270153023406</v>
      </c>
      <c r="DH142" s="23">
        <f>EXP(-LN(2)/2)*DH141+(1-EXP(-LN(2)/2))/(LN(2)/2)*DB142*DE142*VLOOKUP('Données projet'!$B$13,Paramètres!$A$1:$I$89,3,0)*0.475*44/12</f>
        <v>1.2085089938129118E-16</v>
      </c>
      <c r="DI142" s="24">
        <f t="shared" si="123"/>
        <v>0.38775270153023417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>
        <f>DO142*VLOOKUP('Données projet'!$B$14,Paramètres!$A$1:$I$89,3,0)*VLOOKUP('Données projet'!$B$14,Paramètres!$A$1:$I$89,5,0)</f>
        <v>0</v>
      </c>
      <c r="DQ142" s="14" t="e">
        <f t="shared" si="151"/>
        <v>#NUM!</v>
      </c>
      <c r="DR142" s="22" t="e">
        <f t="shared" si="124"/>
        <v>#NUM!</v>
      </c>
      <c r="DS142" s="60" t="e">
        <f t="shared" si="125"/>
        <v>#NUM!</v>
      </c>
      <c r="DT142" s="60">
        <f ca="1">AVERAGE(OFFSET($DS$3,0,0,'Données projet'!$E$14+1,1))-AVERAGE(OFFSET($H$3,0,0,'Données projet'!$E$14+1,1))</f>
        <v>302.15577364214136</v>
      </c>
      <c r="DU142" s="60">
        <f t="shared" si="152"/>
        <v>197.15142751137051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-5.1159076974727213E-13</v>
      </c>
      <c r="EK142" s="18">
        <f>EJ142*VLOOKUP('Données projet'!$B$15,Paramètres!$A$1:$I$89,3,0)*VLOOKUP('Données projet'!$B$15,Paramètres!$A$1:$I$89,5,0)</f>
        <v>-5.3471467253984886E-13</v>
      </c>
      <c r="EL142" s="14" t="e">
        <f t="shared" si="153"/>
        <v>#NUM!</v>
      </c>
      <c r="EM142" s="22" t="e">
        <f t="shared" si="127"/>
        <v>#NUM!</v>
      </c>
      <c r="EN142" s="60" t="e">
        <f t="shared" si="128"/>
        <v>#NUM!</v>
      </c>
      <c r="EO142" s="60">
        <f ca="1">AVERAGE(OFFSET($EN$3,0,0,'Données projet'!$E$15+1,1))-AVERAGE(OFFSET($H$3,0,0,'Données projet'!$E$15+1,1))</f>
        <v>493.70175665335978</v>
      </c>
      <c r="EP142" s="60">
        <f t="shared" si="154"/>
        <v>325.12357781685949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0" t="e">
        <f t="shared" si="131"/>
        <v>#N/A</v>
      </c>
      <c r="FJ142" s="60" t="e">
        <f ca="1">AVERAGE(OFFSET($FI$3,0,0,'Données projet'!$E$16+1,1))-AVERAGE(OFFSET($H$3,0,0,'Données projet'!$E$16+1,1))</f>
        <v>#N/A</v>
      </c>
      <c r="FK142" s="60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0" t="e">
        <f t="shared" si="134"/>
        <v>#N/A</v>
      </c>
      <c r="GE142" s="60" t="e">
        <f ca="1">AVERAGE(OFFSET($GD$3,0,0,'Données projet'!$E$17+1,1))-AVERAGE(OFFSET($H$3,0,0,'Données projet'!$E$17+1,1))</f>
        <v>#N/A</v>
      </c>
      <c r="GF142" s="60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5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8">
        <f t="shared" si="110"/>
        <v>256.66666666666669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0">
        <f t="shared" si="109"/>
        <v>293.3333333333353</v>
      </c>
      <c r="S143" s="60">
        <f ca="1">AVERAGE(OFFSET($R$3,0,0,'Données projet'!$E$9+1,1))-AVERAGE(OFFSET($H$3,0,0,'Données projet'!$E$9+1,1))</f>
        <v>260.02504691866199</v>
      </c>
      <c r="T143" s="60">
        <f t="shared" si="142"/>
        <v>270.11268336406368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1.1330947628808266</v>
      </c>
      <c r="AA143" s="23">
        <f>EXP(-LN(2)/25)*AA142+(1-EXP(-LN(2)/25))/(LN(2)/25)*Calculateur!V143*Calculateur!X143*VLOOKUP('Données projet'!$B$9,Paramètres!$A$1:$I$89,3,0)*0.475*44/12</f>
        <v>0.77851169506196427</v>
      </c>
      <c r="AB143" s="23">
        <f>EXP(-LN(2)/2)*AB142+(1-EXP(-LN(2)/2))/(LN(2)/2)*V143*Y143*VLOOKUP('Données projet'!$B$9,Paramètres!$A$1:$I$89,3,0)*0.475*44/12</f>
        <v>1.7596926543472346E-16</v>
      </c>
      <c r="AC143" s="24">
        <f t="shared" si="111"/>
        <v>1.9116064579427909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296</v>
      </c>
      <c r="AG143" s="13">
        <f>VLOOKUP(A143,'Données projet'!$A$61:$I$81,9,0)</f>
        <v>2.7</v>
      </c>
      <c r="AH143" s="13">
        <f t="array" ref="AH143">INDEX(AG:AG,MIN(IF(ISNUMBER(AG143:AG339),ROW(AG143:AG339),"")))</f>
        <v>2.7</v>
      </c>
      <c r="AI143" s="14">
        <f>IF('Données projet'!$A$62&gt;35,AI142+AH143-AQ142,IF(A143&lt;'Données projet'!$A$62,$AF$205^A143,IF(A143='Données projet'!$A$62,'Données projet'!$B$62,AI142+AH143-AQ142)))</f>
        <v>295.99999999999926</v>
      </c>
      <c r="AJ143" s="14">
        <f>AI143*VLOOKUP('Données projet'!$B$10,Paramètres!$A$1:$I$89,3,0)*VLOOKUP('Données projet'!$B$10,Paramètres!$A$1:$I$89,5,0)</f>
        <v>300.14399999999927</v>
      </c>
      <c r="AK143" s="14">
        <f t="shared" si="143"/>
        <v>71.206650563609728</v>
      </c>
      <c r="AL143" s="22">
        <f t="shared" si="112"/>
        <v>646.76904973161891</v>
      </c>
      <c r="AM143" s="60">
        <f t="shared" si="113"/>
        <v>940.10238306495216</v>
      </c>
      <c r="AN143" s="60">
        <f ca="1">AVERAGE(OFFSET($AM$3,0,0,'Données projet'!$E$10+1,1))-AVERAGE(OFFSET($H$3,0,0,'Données projet'!$E$10+1,1))</f>
        <v>475.47920969424894</v>
      </c>
      <c r="AO143" s="60">
        <f t="shared" si="144"/>
        <v>271.73544012419364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27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227</v>
      </c>
      <c r="BB143" s="13">
        <f>VLOOKUP(A143,'Données projet'!$A$87:$I$107,9,0)</f>
        <v>1.7</v>
      </c>
      <c r="BC143" s="13">
        <f t="array" ref="BC143">INDEX(BB:BB,MIN(IF(ISNUMBER(BB143:BB339),ROW(BB143:BB339),"")))</f>
        <v>1.7</v>
      </c>
      <c r="BD143" s="13">
        <f>IF('Données projet'!$A$88&gt;35,BD142+BC143-BL142,IF(A143&lt;'Données projet'!$A$88,$BA$205^A143,IF(A143='Données projet'!$A$88,'Données projet'!$B$88,BD142+BC143-BL142)))</f>
        <v>226.9999999999998</v>
      </c>
      <c r="BE143" s="14">
        <f>BD143*VLOOKUP('Données projet'!$B$11,Paramètres!$A$1:$I$89,3,0)*VLOOKUP('Données projet'!$B$11,Paramètres!$A$1:$I$89,5,0)</f>
        <v>205.38959999999983</v>
      </c>
      <c r="BF143" s="14">
        <f t="shared" si="145"/>
        <v>50.926799353611912</v>
      </c>
      <c r="BG143" s="22">
        <f t="shared" si="115"/>
        <v>446.41772887420711</v>
      </c>
      <c r="BH143" s="60">
        <f t="shared" si="116"/>
        <v>739.75106220754037</v>
      </c>
      <c r="BI143" s="60">
        <f ca="1">AVERAGE(OFFSET($BH$3,0,0,'Données projet'!$E$11+1,1))-AVERAGE(OFFSET($H$3,0,0,'Données projet'!$E$11+1,1))</f>
        <v>325.2649384779973</v>
      </c>
      <c r="BJ143" s="60">
        <f t="shared" si="146"/>
        <v>146.70159365068315</v>
      </c>
      <c r="BK143" s="16">
        <f>IF(ISNA(VLOOKUP(A143,'Données projet'!$A$87:$I$107,3,0)),0,VLOOKUP(A143,'Données projet'!$A$87:$I$107,3,0))</f>
        <v>12</v>
      </c>
      <c r="BL143" s="16">
        <f>IF(ISNA(VLOOKUP(A143,'Données projet'!$A$87:$I$107,4,0)),0,VLOOKUP(A143,'Données projet'!$A$87:$I$107,4,0))</f>
        <v>17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1.0231815394945443E-12</v>
      </c>
      <c r="BZ143" s="14">
        <f>BY143*VLOOKUP('Données projet'!$B$12,Paramètres!$A$1:$I$89,3,0)*VLOOKUP('Données projet'!$B$12,Paramètres!$A$1:$I$89,5,0)</f>
        <v>4.5224624045658859E-13</v>
      </c>
      <c r="CA143" s="14">
        <f t="shared" si="147"/>
        <v>5.6995607121061449E-12</v>
      </c>
      <c r="CB143" s="22">
        <f t="shared" si="118"/>
        <v>1.0714397109046761E-11</v>
      </c>
      <c r="CC143" s="60">
        <f t="shared" si="119"/>
        <v>293.333333333344</v>
      </c>
      <c r="CD143" s="60">
        <f ca="1">AVERAGE(OFFSET($CC$3,0,0,'Données projet'!$E$12+1,1))-AVERAGE(OFFSET($H$3,0,0,'Données projet'!$E$12+1,1))</f>
        <v>401.84375324751227</v>
      </c>
      <c r="CE143" s="60">
        <f t="shared" si="148"/>
        <v>350.39368043404164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0.39472090803541621</v>
      </c>
      <c r="CM143" s="23">
        <f>EXP(-LN(2)/2)*CM142+(1-EXP(-LN(2)/2))/(LN(2)/2)*CG143*CJ143*VLOOKUP('Données projet'!$B$12,Paramètres!$A$1:$I$89,3,0)*0.475*44/12</f>
        <v>3.8673512284957593E-17</v>
      </c>
      <c r="CN143" s="24">
        <f t="shared" si="120"/>
        <v>0.39472090803541626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-1.1368683772161603E-13</v>
      </c>
      <c r="CU143" s="18">
        <f>CT143*VLOOKUP('Données projet'!$B$13,Paramètres!$A$1:$I$89,3,0)*VLOOKUP('Données projet'!$B$13,Paramètres!$A$1:$I$89,5,0)</f>
        <v>-6.7984728957526396E-14</v>
      </c>
      <c r="CV143" s="14" t="e">
        <f t="shared" si="149"/>
        <v>#NUM!</v>
      </c>
      <c r="CW143" s="22" t="e">
        <f t="shared" si="121"/>
        <v>#NUM!</v>
      </c>
      <c r="CX143" s="60" t="e">
        <f t="shared" si="122"/>
        <v>#NUM!</v>
      </c>
      <c r="CY143" s="60">
        <f ca="1">AVERAGE(OFFSET($CX$3,0,0,'Données projet'!$E$13+1,1))-AVERAGE(OFFSET($H$3,0,0,'Données projet'!$E$13+1,1))</f>
        <v>232.73140429491525</v>
      </c>
      <c r="CZ143" s="60">
        <f t="shared" si="150"/>
        <v>201.02719152328638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0.37714958351586148</v>
      </c>
      <c r="DH143" s="23">
        <f>EXP(-LN(2)/2)*DH142+(1-EXP(-LN(2)/2))/(LN(2)/2)*DB143*DE143*VLOOKUP('Données projet'!$B$13,Paramètres!$A$1:$I$89,3,0)*0.475*44/12</f>
        <v>8.5454490465004137E-17</v>
      </c>
      <c r="DI143" s="24">
        <f t="shared" si="123"/>
        <v>0.37714958351586159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>
        <f>DO143*VLOOKUP('Données projet'!$B$14,Paramètres!$A$1:$I$89,3,0)*VLOOKUP('Données projet'!$B$14,Paramètres!$A$1:$I$89,5,0)</f>
        <v>0</v>
      </c>
      <c r="DQ143" s="14" t="e">
        <f t="shared" si="151"/>
        <v>#NUM!</v>
      </c>
      <c r="DR143" s="22" t="e">
        <f t="shared" si="124"/>
        <v>#NUM!</v>
      </c>
      <c r="DS143" s="60" t="e">
        <f t="shared" si="125"/>
        <v>#NUM!</v>
      </c>
      <c r="DT143" s="60">
        <f ca="1">AVERAGE(OFFSET($DS$3,0,0,'Données projet'!$E$14+1,1))-AVERAGE(OFFSET($H$3,0,0,'Données projet'!$E$14+1,1))</f>
        <v>302.15577364214136</v>
      </c>
      <c r="DU143" s="60">
        <f t="shared" si="152"/>
        <v>197.15142751137051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-5.1159076974727213E-13</v>
      </c>
      <c r="EK143" s="18">
        <f>EJ143*VLOOKUP('Données projet'!$B$15,Paramètres!$A$1:$I$89,3,0)*VLOOKUP('Données projet'!$B$15,Paramètres!$A$1:$I$89,5,0)</f>
        <v>-5.3471467253984886E-13</v>
      </c>
      <c r="EL143" s="14" t="e">
        <f t="shared" si="153"/>
        <v>#NUM!</v>
      </c>
      <c r="EM143" s="22" t="e">
        <f t="shared" si="127"/>
        <v>#NUM!</v>
      </c>
      <c r="EN143" s="60" t="e">
        <f t="shared" si="128"/>
        <v>#NUM!</v>
      </c>
      <c r="EO143" s="60">
        <f ca="1">AVERAGE(OFFSET($EN$3,0,0,'Données projet'!$E$15+1,1))-AVERAGE(OFFSET($H$3,0,0,'Données projet'!$E$15+1,1))</f>
        <v>493.70175665335978</v>
      </c>
      <c r="EP143" s="60">
        <f t="shared" si="154"/>
        <v>325.12357781685949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0" t="e">
        <f t="shared" si="131"/>
        <v>#N/A</v>
      </c>
      <c r="FJ143" s="60" t="e">
        <f ca="1">AVERAGE(OFFSET($FI$3,0,0,'Données projet'!$E$16+1,1))-AVERAGE(OFFSET($H$3,0,0,'Données projet'!$E$16+1,1))</f>
        <v>#N/A</v>
      </c>
      <c r="FK143" s="60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0" t="e">
        <f t="shared" si="134"/>
        <v>#N/A</v>
      </c>
      <c r="GE143" s="60" t="e">
        <f ca="1">AVERAGE(OFFSET($GD$3,0,0,'Données projet'!$E$17+1,1))-AVERAGE(OFFSET($H$3,0,0,'Données projet'!$E$17+1,1))</f>
        <v>#N/A</v>
      </c>
      <c r="GF143" s="60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5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8">
        <f t="shared" si="110"/>
        <v>256.66666666666669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0">
        <f t="shared" si="109"/>
        <v>293.3333333333353</v>
      </c>
      <c r="S144" s="60">
        <f ca="1">AVERAGE(OFFSET($R$3,0,0,'Données projet'!$E$9+1,1))-AVERAGE(OFFSET($H$3,0,0,'Données projet'!$E$9+1,1))</f>
        <v>260.02504691866199</v>
      </c>
      <c r="T144" s="60">
        <f t="shared" si="142"/>
        <v>270.11268336406368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1.1108754657002966</v>
      </c>
      <c r="AA144" s="23">
        <f>EXP(-LN(2)/25)*AA143+(1-EXP(-LN(2)/25))/(LN(2)/25)*Calculateur!V144*Calculateur!X144*VLOOKUP('Données projet'!$B$9,Paramètres!$A$1:$I$89,3,0)*0.475*44/12</f>
        <v>0.75722325182034411</v>
      </c>
      <c r="AB144" s="23">
        <f>EXP(-LN(2)/2)*AB143+(1-EXP(-LN(2)/2))/(LN(2)/2)*V144*Y144*VLOOKUP('Données projet'!$B$9,Paramètres!$A$1:$I$89,3,0)*0.475*44/12</f>
        <v>1.244290608693085E-16</v>
      </c>
      <c r="AC144" s="24">
        <f t="shared" si="111"/>
        <v>1.8680987175206409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2.4</v>
      </c>
      <c r="AI144" s="14">
        <f>IF('Données projet'!$A$62&gt;35,AI143+AH144-AQ143,IF(A144&lt;'Données projet'!$A$62,$AF$205^A144,IF(A144='Données projet'!$A$62,'Données projet'!$B$62,AI143+AH144-AQ143)))</f>
        <v>271.39999999999924</v>
      </c>
      <c r="AJ144" s="14">
        <f>AI144*VLOOKUP('Données projet'!$B$10,Paramètres!$A$1:$I$89,3,0)*VLOOKUP('Données projet'!$B$10,Paramètres!$A$1:$I$89,5,0)</f>
        <v>275.19959999999924</v>
      </c>
      <c r="AK144" s="14">
        <f t="shared" si="143"/>
        <v>65.951527620662489</v>
      </c>
      <c r="AL144" s="22">
        <f t="shared" si="112"/>
        <v>594.17154727265245</v>
      </c>
      <c r="AM144" s="60">
        <f t="shared" si="113"/>
        <v>887.50488060598582</v>
      </c>
      <c r="AN144" s="60">
        <f ca="1">AVERAGE(OFFSET($AM$3,0,0,'Données projet'!$E$10+1,1))-AVERAGE(OFFSET($H$3,0,0,'Données projet'!$E$10+1,1))</f>
        <v>475.47920969424894</v>
      </c>
      <c r="AO144" s="60">
        <f t="shared" si="144"/>
        <v>271.73544012419364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1.4</v>
      </c>
      <c r="BD144" s="13">
        <f>IF('Données projet'!$A$88&gt;35,BD143+BC144-BL143,IF(A144&lt;'Données projet'!$A$88,$BA$205^A144,IF(A144='Données projet'!$A$88,'Données projet'!$B$88,BD143+BC144-BL143)))</f>
        <v>211.39999999999981</v>
      </c>
      <c r="BE144" s="14">
        <f>BD144*VLOOKUP('Données projet'!$B$11,Paramètres!$A$1:$I$89,3,0)*VLOOKUP('Données projet'!$B$11,Paramètres!$A$1:$I$89,5,0)</f>
        <v>191.27471999999983</v>
      </c>
      <c r="BF144" s="14">
        <f t="shared" si="145"/>
        <v>47.821665575903104</v>
      </c>
      <c r="BG144" s="22">
        <f t="shared" si="115"/>
        <v>416.42620487803089</v>
      </c>
      <c r="BH144" s="60">
        <f t="shared" si="116"/>
        <v>709.7595382113642</v>
      </c>
      <c r="BI144" s="60">
        <f ca="1">AVERAGE(OFFSET($BH$3,0,0,'Données projet'!$E$11+1,1))-AVERAGE(OFFSET($H$3,0,0,'Données projet'!$E$11+1,1))</f>
        <v>325.2649384779973</v>
      </c>
      <c r="BJ144" s="60">
        <f t="shared" si="146"/>
        <v>146.70159365068315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1.0231815394945443E-12</v>
      </c>
      <c r="BZ144" s="14">
        <f>BY144*VLOOKUP('Données projet'!$B$12,Paramètres!$A$1:$I$89,3,0)*VLOOKUP('Données projet'!$B$12,Paramètres!$A$1:$I$89,5,0)</f>
        <v>4.5224624045658859E-13</v>
      </c>
      <c r="CA144" s="14">
        <f t="shared" si="147"/>
        <v>5.6995607121061449E-12</v>
      </c>
      <c r="CB144" s="22">
        <f t="shared" si="118"/>
        <v>1.0714397109046761E-11</v>
      </c>
      <c r="CC144" s="60">
        <f t="shared" si="119"/>
        <v>293.333333333344</v>
      </c>
      <c r="CD144" s="60">
        <f ca="1">AVERAGE(OFFSET($CC$3,0,0,'Données projet'!$E$12+1,1))-AVERAGE(OFFSET($H$3,0,0,'Données projet'!$E$12+1,1))</f>
        <v>401.84375324751227</v>
      </c>
      <c r="CE144" s="60">
        <f t="shared" si="148"/>
        <v>350.39368043404164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0.38392724404771733</v>
      </c>
      <c r="CM144" s="23">
        <f>EXP(-LN(2)/2)*CM143+(1-EXP(-LN(2)/2))/(LN(2)/2)*CG144*CJ144*VLOOKUP('Données projet'!$B$12,Paramètres!$A$1:$I$89,3,0)*0.475*44/12</f>
        <v>2.7346302788994768E-17</v>
      </c>
      <c r="CN144" s="24">
        <f t="shared" si="120"/>
        <v>0.38392724404771733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-1.1368683772161603E-13</v>
      </c>
      <c r="CU144" s="18">
        <f>CT144*VLOOKUP('Données projet'!$B$13,Paramètres!$A$1:$I$89,3,0)*VLOOKUP('Données projet'!$B$13,Paramètres!$A$1:$I$89,5,0)</f>
        <v>-6.7984728957526396E-14</v>
      </c>
      <c r="CV144" s="14" t="e">
        <f t="shared" si="149"/>
        <v>#NUM!</v>
      </c>
      <c r="CW144" s="22" t="e">
        <f t="shared" si="121"/>
        <v>#NUM!</v>
      </c>
      <c r="CX144" s="60" t="e">
        <f t="shared" si="122"/>
        <v>#NUM!</v>
      </c>
      <c r="CY144" s="60">
        <f ca="1">AVERAGE(OFFSET($CX$3,0,0,'Données projet'!$E$13+1,1))-AVERAGE(OFFSET($H$3,0,0,'Données projet'!$E$13+1,1))</f>
        <v>232.73140429491525</v>
      </c>
      <c r="CZ144" s="60">
        <f t="shared" si="150"/>
        <v>201.02719152328638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0.36683640832118564</v>
      </c>
      <c r="DH144" s="23">
        <f>EXP(-LN(2)/2)*DH143+(1-EXP(-LN(2)/2))/(LN(2)/2)*DB144*DE144*VLOOKUP('Données projet'!$B$13,Paramètres!$A$1:$I$89,3,0)*0.475*44/12</f>
        <v>6.0425449690645591E-17</v>
      </c>
      <c r="DI144" s="24">
        <f t="shared" si="123"/>
        <v>0.36683640832118569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>
        <f>DO144*VLOOKUP('Données projet'!$B$14,Paramètres!$A$1:$I$89,3,0)*VLOOKUP('Données projet'!$B$14,Paramètres!$A$1:$I$89,5,0)</f>
        <v>0</v>
      </c>
      <c r="DQ144" s="14" t="e">
        <f t="shared" si="151"/>
        <v>#NUM!</v>
      </c>
      <c r="DR144" s="22" t="e">
        <f t="shared" si="124"/>
        <v>#NUM!</v>
      </c>
      <c r="DS144" s="60" t="e">
        <f t="shared" si="125"/>
        <v>#NUM!</v>
      </c>
      <c r="DT144" s="60">
        <f ca="1">AVERAGE(OFFSET($DS$3,0,0,'Données projet'!$E$14+1,1))-AVERAGE(OFFSET($H$3,0,0,'Données projet'!$E$14+1,1))</f>
        <v>302.15577364214136</v>
      </c>
      <c r="DU144" s="60">
        <f t="shared" si="152"/>
        <v>197.15142751137051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-5.1159076974727213E-13</v>
      </c>
      <c r="EK144" s="18">
        <f>EJ144*VLOOKUP('Données projet'!$B$15,Paramètres!$A$1:$I$89,3,0)*VLOOKUP('Données projet'!$B$15,Paramètres!$A$1:$I$89,5,0)</f>
        <v>-5.3471467253984886E-13</v>
      </c>
      <c r="EL144" s="14" t="e">
        <f t="shared" si="153"/>
        <v>#NUM!</v>
      </c>
      <c r="EM144" s="22" t="e">
        <f t="shared" si="127"/>
        <v>#NUM!</v>
      </c>
      <c r="EN144" s="60" t="e">
        <f t="shared" si="128"/>
        <v>#NUM!</v>
      </c>
      <c r="EO144" s="60">
        <f ca="1">AVERAGE(OFFSET($EN$3,0,0,'Données projet'!$E$15+1,1))-AVERAGE(OFFSET($H$3,0,0,'Données projet'!$E$15+1,1))</f>
        <v>493.70175665335978</v>
      </c>
      <c r="EP144" s="60">
        <f t="shared" si="154"/>
        <v>325.12357781685949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0" t="e">
        <f t="shared" si="131"/>
        <v>#N/A</v>
      </c>
      <c r="FJ144" s="60" t="e">
        <f ca="1">AVERAGE(OFFSET($FI$3,0,0,'Données projet'!$E$16+1,1))-AVERAGE(OFFSET($H$3,0,0,'Données projet'!$E$16+1,1))</f>
        <v>#N/A</v>
      </c>
      <c r="FK144" s="60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0" t="e">
        <f t="shared" si="134"/>
        <v>#N/A</v>
      </c>
      <c r="GE144" s="60" t="e">
        <f ca="1">AVERAGE(OFFSET($GD$3,0,0,'Données projet'!$E$17+1,1))-AVERAGE(OFFSET($H$3,0,0,'Données projet'!$E$17+1,1))</f>
        <v>#N/A</v>
      </c>
      <c r="GF144" s="60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5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8">
        <f t="shared" si="110"/>
        <v>256.66666666666669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0">
        <f t="shared" si="109"/>
        <v>293.3333333333353</v>
      </c>
      <c r="S145" s="60">
        <f ca="1">AVERAGE(OFFSET($R$3,0,0,'Données projet'!$E$9+1,1))-AVERAGE(OFFSET($H$3,0,0,'Données projet'!$E$9+1,1))</f>
        <v>260.02504691866199</v>
      </c>
      <c r="T145" s="60">
        <f t="shared" si="142"/>
        <v>270.11268336406368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1.0890918753850436</v>
      </c>
      <c r="AA145" s="23">
        <f>EXP(-LN(2)/25)*AA144+(1-EXP(-LN(2)/25))/(LN(2)/25)*Calculateur!V145*Calculateur!X145*VLOOKUP('Données projet'!$B$9,Paramètres!$A$1:$I$89,3,0)*0.475*44/12</f>
        <v>0.73651694217867669</v>
      </c>
      <c r="AB145" s="23">
        <f>EXP(-LN(2)/2)*AB144+(1-EXP(-LN(2)/2))/(LN(2)/2)*V145*Y145*VLOOKUP('Données projet'!$B$9,Paramètres!$A$1:$I$89,3,0)*0.475*44/12</f>
        <v>8.7984632717361729E-17</v>
      </c>
      <c r="AC145" s="24">
        <f t="shared" si="111"/>
        <v>1.8256088175637202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2.4</v>
      </c>
      <c r="AI145" s="14">
        <f>IF('Données projet'!$A$62&gt;35,AI144+AH145-AQ144,IF(A145&lt;'Données projet'!$A$62,$AF$205^A145,IF(A145='Données projet'!$A$62,'Données projet'!$B$62,AI144+AH145-AQ144)))</f>
        <v>273.79999999999922</v>
      </c>
      <c r="AJ145" s="14">
        <f>AI145*VLOOKUP('Données projet'!$B$10,Paramètres!$A$1:$I$89,3,0)*VLOOKUP('Données projet'!$B$10,Paramètres!$A$1:$I$89,5,0)</f>
        <v>277.63319999999919</v>
      </c>
      <c r="AK145" s="14">
        <f t="shared" si="143"/>
        <v>66.466589162975524</v>
      </c>
      <c r="AL145" s="22">
        <f t="shared" si="112"/>
        <v>599.30713279218094</v>
      </c>
      <c r="AM145" s="60">
        <f t="shared" si="113"/>
        <v>892.64046612551419</v>
      </c>
      <c r="AN145" s="60">
        <f ca="1">AVERAGE(OFFSET($AM$3,0,0,'Données projet'!$E$10+1,1))-AVERAGE(OFFSET($H$3,0,0,'Données projet'!$E$10+1,1))</f>
        <v>475.47920969424894</v>
      </c>
      <c r="AO145" s="60">
        <f t="shared" si="144"/>
        <v>271.73544012419364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1.4</v>
      </c>
      <c r="BD145" s="13">
        <f>IF('Données projet'!$A$88&gt;35,BD144+BC145-BL144,IF(A145&lt;'Données projet'!$A$88,$BA$205^A145,IF(A145='Données projet'!$A$88,'Données projet'!$B$88,BD144+BC145-BL144)))</f>
        <v>212.79999999999981</v>
      </c>
      <c r="BE145" s="14">
        <f>BD145*VLOOKUP('Données projet'!$B$11,Paramètres!$A$1:$I$89,3,0)*VLOOKUP('Données projet'!$B$11,Paramètres!$A$1:$I$89,5,0)</f>
        <v>192.54143999999982</v>
      </c>
      <c r="BF145" s="14">
        <f t="shared" si="145"/>
        <v>48.101393902059655</v>
      </c>
      <c r="BG145" s="22">
        <f t="shared" si="115"/>
        <v>419.11960237942026</v>
      </c>
      <c r="BH145" s="60">
        <f t="shared" si="116"/>
        <v>712.45293571275351</v>
      </c>
      <c r="BI145" s="60">
        <f ca="1">AVERAGE(OFFSET($BH$3,0,0,'Données projet'!$E$11+1,1))-AVERAGE(OFFSET($H$3,0,0,'Données projet'!$E$11+1,1))</f>
        <v>325.2649384779973</v>
      </c>
      <c r="BJ145" s="60">
        <f t="shared" si="146"/>
        <v>146.70159365068315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1.0231815394945443E-12</v>
      </c>
      <c r="BZ145" s="14">
        <f>BY145*VLOOKUP('Données projet'!$B$12,Paramètres!$A$1:$I$89,3,0)*VLOOKUP('Données projet'!$B$12,Paramètres!$A$1:$I$89,5,0)</f>
        <v>4.5224624045658859E-13</v>
      </c>
      <c r="CA145" s="14">
        <f t="shared" si="147"/>
        <v>5.6995607121061449E-12</v>
      </c>
      <c r="CB145" s="22">
        <f t="shared" si="118"/>
        <v>1.0714397109046761E-11</v>
      </c>
      <c r="CC145" s="60">
        <f t="shared" si="119"/>
        <v>293.333333333344</v>
      </c>
      <c r="CD145" s="60">
        <f ca="1">AVERAGE(OFFSET($CC$3,0,0,'Données projet'!$E$12+1,1))-AVERAGE(OFFSET($H$3,0,0,'Données projet'!$E$12+1,1))</f>
        <v>401.84375324751227</v>
      </c>
      <c r="CE145" s="60">
        <f t="shared" si="148"/>
        <v>350.39368043404164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0.37342873336937621</v>
      </c>
      <c r="CM145" s="23">
        <f>EXP(-LN(2)/2)*CM144+(1-EXP(-LN(2)/2))/(LN(2)/2)*CG145*CJ145*VLOOKUP('Données projet'!$B$12,Paramètres!$A$1:$I$89,3,0)*0.475*44/12</f>
        <v>1.93367561424788E-17</v>
      </c>
      <c r="CN145" s="24">
        <f t="shared" si="120"/>
        <v>0.37342873336937621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-1.1368683772161603E-13</v>
      </c>
      <c r="CU145" s="18">
        <f>CT145*VLOOKUP('Données projet'!$B$13,Paramètres!$A$1:$I$89,3,0)*VLOOKUP('Données projet'!$B$13,Paramètres!$A$1:$I$89,5,0)</f>
        <v>-6.7984728957526396E-14</v>
      </c>
      <c r="CV145" s="14" t="e">
        <f t="shared" si="149"/>
        <v>#NUM!</v>
      </c>
      <c r="CW145" s="22" t="e">
        <f t="shared" si="121"/>
        <v>#NUM!</v>
      </c>
      <c r="CX145" s="60" t="e">
        <f t="shared" si="122"/>
        <v>#NUM!</v>
      </c>
      <c r="CY145" s="60">
        <f ca="1">AVERAGE(OFFSET($CX$3,0,0,'Données projet'!$E$13+1,1))-AVERAGE(OFFSET($H$3,0,0,'Données projet'!$E$13+1,1))</f>
        <v>232.73140429491525</v>
      </c>
      <c r="CZ145" s="60">
        <f t="shared" si="150"/>
        <v>201.02719152328638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0.3568052474445545</v>
      </c>
      <c r="DH145" s="23">
        <f>EXP(-LN(2)/2)*DH144+(1-EXP(-LN(2)/2))/(LN(2)/2)*DB145*DE145*VLOOKUP('Données projet'!$B$13,Paramètres!$A$1:$I$89,3,0)*0.475*44/12</f>
        <v>4.2727245232502068E-17</v>
      </c>
      <c r="DI145" s="24">
        <f t="shared" si="123"/>
        <v>0.35680524744455455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>
        <f>DO145*VLOOKUP('Données projet'!$B$14,Paramètres!$A$1:$I$89,3,0)*VLOOKUP('Données projet'!$B$14,Paramètres!$A$1:$I$89,5,0)</f>
        <v>0</v>
      </c>
      <c r="DQ145" s="14" t="e">
        <f t="shared" si="151"/>
        <v>#NUM!</v>
      </c>
      <c r="DR145" s="22" t="e">
        <f t="shared" si="124"/>
        <v>#NUM!</v>
      </c>
      <c r="DS145" s="60" t="e">
        <f t="shared" si="125"/>
        <v>#NUM!</v>
      </c>
      <c r="DT145" s="60">
        <f ca="1">AVERAGE(OFFSET($DS$3,0,0,'Données projet'!$E$14+1,1))-AVERAGE(OFFSET($H$3,0,0,'Données projet'!$E$14+1,1))</f>
        <v>302.15577364214136</v>
      </c>
      <c r="DU145" s="60">
        <f t="shared" si="152"/>
        <v>197.15142751137051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-5.1159076974727213E-13</v>
      </c>
      <c r="EK145" s="18">
        <f>EJ145*VLOOKUP('Données projet'!$B$15,Paramètres!$A$1:$I$89,3,0)*VLOOKUP('Données projet'!$B$15,Paramètres!$A$1:$I$89,5,0)</f>
        <v>-5.3471467253984886E-13</v>
      </c>
      <c r="EL145" s="14" t="e">
        <f t="shared" si="153"/>
        <v>#NUM!</v>
      </c>
      <c r="EM145" s="22" t="e">
        <f t="shared" si="127"/>
        <v>#NUM!</v>
      </c>
      <c r="EN145" s="60" t="e">
        <f t="shared" si="128"/>
        <v>#NUM!</v>
      </c>
      <c r="EO145" s="60">
        <f ca="1">AVERAGE(OFFSET($EN$3,0,0,'Données projet'!$E$15+1,1))-AVERAGE(OFFSET($H$3,0,0,'Données projet'!$E$15+1,1))</f>
        <v>493.70175665335978</v>
      </c>
      <c r="EP145" s="60">
        <f t="shared" si="154"/>
        <v>325.12357781685949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0" t="e">
        <f t="shared" si="131"/>
        <v>#N/A</v>
      </c>
      <c r="FJ145" s="60" t="e">
        <f ca="1">AVERAGE(OFFSET($FI$3,0,0,'Données projet'!$E$16+1,1))-AVERAGE(OFFSET($H$3,0,0,'Données projet'!$E$16+1,1))</f>
        <v>#N/A</v>
      </c>
      <c r="FK145" s="60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0" t="e">
        <f t="shared" si="134"/>
        <v>#N/A</v>
      </c>
      <c r="GE145" s="60" t="e">
        <f ca="1">AVERAGE(OFFSET($GD$3,0,0,'Données projet'!$E$17+1,1))-AVERAGE(OFFSET($H$3,0,0,'Données projet'!$E$17+1,1))</f>
        <v>#N/A</v>
      </c>
      <c r="GF145" s="60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5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8">
        <f t="shared" si="110"/>
        <v>256.66666666666669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0">
        <f t="shared" si="109"/>
        <v>293.3333333333353</v>
      </c>
      <c r="S146" s="60">
        <f ca="1">AVERAGE(OFFSET($R$3,0,0,'Données projet'!$E$9+1,1))-AVERAGE(OFFSET($H$3,0,0,'Données projet'!$E$9+1,1))</f>
        <v>260.02504691866199</v>
      </c>
      <c r="T146" s="60">
        <f t="shared" si="142"/>
        <v>270.11268336406368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1.0677354479891947</v>
      </c>
      <c r="AA146" s="23">
        <f>EXP(-LN(2)/25)*AA145+(1-EXP(-LN(2)/25))/(LN(2)/25)*Calculateur!V146*Calculateur!X146*VLOOKUP('Données projet'!$B$9,Paramètres!$A$1:$I$89,3,0)*0.475*44/12</f>
        <v>0.71637684766305809</v>
      </c>
      <c r="AB146" s="23">
        <f>EXP(-LN(2)/2)*AB145+(1-EXP(-LN(2)/2))/(LN(2)/2)*V146*Y146*VLOOKUP('Données projet'!$B$9,Paramètres!$A$1:$I$89,3,0)*0.475*44/12</f>
        <v>6.221453043465425E-17</v>
      </c>
      <c r="AC146" s="24">
        <f t="shared" si="111"/>
        <v>1.7841122956522528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2.4</v>
      </c>
      <c r="AI146" s="14">
        <f>IF('Données projet'!$A$62&gt;35,AI145+AH146-AQ145,IF(A146&lt;'Données projet'!$A$62,$AF$205^A146,IF(A146='Données projet'!$A$62,'Données projet'!$B$62,AI145+AH146-AQ145)))</f>
        <v>276.19999999999919</v>
      </c>
      <c r="AJ146" s="14">
        <f>AI146*VLOOKUP('Données projet'!$B$10,Paramètres!$A$1:$I$89,3,0)*VLOOKUP('Données projet'!$B$10,Paramètres!$A$1:$I$89,5,0)</f>
        <v>280.0667999999992</v>
      </c>
      <c r="AK146" s="14">
        <f t="shared" si="143"/>
        <v>66.981125445388756</v>
      </c>
      <c r="AL146" s="22">
        <f t="shared" si="112"/>
        <v>604.44180348405064</v>
      </c>
      <c r="AM146" s="60">
        <f t="shared" si="113"/>
        <v>897.77513681738401</v>
      </c>
      <c r="AN146" s="60">
        <f ca="1">AVERAGE(OFFSET($AM$3,0,0,'Données projet'!$E$10+1,1))-AVERAGE(OFFSET($H$3,0,0,'Données projet'!$E$10+1,1))</f>
        <v>475.47920969424894</v>
      </c>
      <c r="AO146" s="60">
        <f t="shared" si="144"/>
        <v>271.73544012419364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1.4</v>
      </c>
      <c r="BD146" s="13">
        <f>IF('Données projet'!$A$88&gt;35,BD145+BC146-BL145,IF(A146&lt;'Données projet'!$A$88,$BA$205^A146,IF(A146='Données projet'!$A$88,'Données projet'!$B$88,BD145+BC146-BL145)))</f>
        <v>214.19999999999982</v>
      </c>
      <c r="BE146" s="14">
        <f>BD146*VLOOKUP('Données projet'!$B$11,Paramètres!$A$1:$I$89,3,0)*VLOOKUP('Données projet'!$B$11,Paramètres!$A$1:$I$89,5,0)</f>
        <v>193.80815999999984</v>
      </c>
      <c r="BF146" s="14">
        <f t="shared" si="145"/>
        <v>48.380908095574647</v>
      </c>
      <c r="BG146" s="22">
        <f t="shared" si="115"/>
        <v>421.81262693312556</v>
      </c>
      <c r="BH146" s="60">
        <f t="shared" si="116"/>
        <v>715.14596026645881</v>
      </c>
      <c r="BI146" s="60">
        <f ca="1">AVERAGE(OFFSET($BH$3,0,0,'Données projet'!$E$11+1,1))-AVERAGE(OFFSET($H$3,0,0,'Données projet'!$E$11+1,1))</f>
        <v>325.2649384779973</v>
      </c>
      <c r="BJ146" s="60">
        <f t="shared" si="146"/>
        <v>146.70159365068315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1.0231815394945443E-12</v>
      </c>
      <c r="BZ146" s="14">
        <f>BY146*VLOOKUP('Données projet'!$B$12,Paramètres!$A$1:$I$89,3,0)*VLOOKUP('Données projet'!$B$12,Paramètres!$A$1:$I$89,5,0)</f>
        <v>4.5224624045658859E-13</v>
      </c>
      <c r="CA146" s="14">
        <f t="shared" si="147"/>
        <v>5.6995607121061449E-12</v>
      </c>
      <c r="CB146" s="22">
        <f t="shared" si="118"/>
        <v>1.0714397109046761E-11</v>
      </c>
      <c r="CC146" s="60">
        <f t="shared" si="119"/>
        <v>293.333333333344</v>
      </c>
      <c r="CD146" s="60">
        <f ca="1">AVERAGE(OFFSET($CC$3,0,0,'Données projet'!$E$12+1,1))-AVERAGE(OFFSET($H$3,0,0,'Données projet'!$E$12+1,1))</f>
        <v>401.84375324751227</v>
      </c>
      <c r="CE146" s="60">
        <f t="shared" si="148"/>
        <v>350.39368043404164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0.363217305017627</v>
      </c>
      <c r="CM146" s="23">
        <f>EXP(-LN(2)/2)*CM145+(1-EXP(-LN(2)/2))/(LN(2)/2)*CG146*CJ146*VLOOKUP('Données projet'!$B$12,Paramètres!$A$1:$I$89,3,0)*0.475*44/12</f>
        <v>1.3673151394497387E-17</v>
      </c>
      <c r="CN146" s="24">
        <f t="shared" si="120"/>
        <v>0.363217305017627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-1.1368683772161603E-13</v>
      </c>
      <c r="CU146" s="18">
        <f>CT146*VLOOKUP('Données projet'!$B$13,Paramètres!$A$1:$I$89,3,0)*VLOOKUP('Données projet'!$B$13,Paramètres!$A$1:$I$89,5,0)</f>
        <v>-6.7984728957526396E-14</v>
      </c>
      <c r="CV146" s="14" t="e">
        <f t="shared" si="149"/>
        <v>#NUM!</v>
      </c>
      <c r="CW146" s="22" t="e">
        <f t="shared" si="121"/>
        <v>#NUM!</v>
      </c>
      <c r="CX146" s="60" t="e">
        <f t="shared" si="122"/>
        <v>#NUM!</v>
      </c>
      <c r="CY146" s="60">
        <f ca="1">AVERAGE(OFFSET($CX$3,0,0,'Données projet'!$E$13+1,1))-AVERAGE(OFFSET($H$3,0,0,'Données projet'!$E$13+1,1))</f>
        <v>232.73140429491525</v>
      </c>
      <c r="CZ146" s="60">
        <f t="shared" si="150"/>
        <v>201.02719152328638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0.34704838918961067</v>
      </c>
      <c r="DH146" s="23">
        <f>EXP(-LN(2)/2)*DH145+(1-EXP(-LN(2)/2))/(LN(2)/2)*DB146*DE146*VLOOKUP('Données projet'!$B$13,Paramètres!$A$1:$I$89,3,0)*0.475*44/12</f>
        <v>3.0212724845322796E-17</v>
      </c>
      <c r="DI146" s="24">
        <f t="shared" si="123"/>
        <v>0.34704838918961073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>
        <f>DO146*VLOOKUP('Données projet'!$B$14,Paramètres!$A$1:$I$89,3,0)*VLOOKUP('Données projet'!$B$14,Paramètres!$A$1:$I$89,5,0)</f>
        <v>0</v>
      </c>
      <c r="DQ146" s="14" t="e">
        <f t="shared" si="151"/>
        <v>#NUM!</v>
      </c>
      <c r="DR146" s="22" t="e">
        <f t="shared" si="124"/>
        <v>#NUM!</v>
      </c>
      <c r="DS146" s="60" t="e">
        <f t="shared" si="125"/>
        <v>#NUM!</v>
      </c>
      <c r="DT146" s="60">
        <f ca="1">AVERAGE(OFFSET($DS$3,0,0,'Données projet'!$E$14+1,1))-AVERAGE(OFFSET($H$3,0,0,'Données projet'!$E$14+1,1))</f>
        <v>302.15577364214136</v>
      </c>
      <c r="DU146" s="60">
        <f t="shared" si="152"/>
        <v>197.15142751137051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-5.1159076974727213E-13</v>
      </c>
      <c r="EK146" s="18">
        <f>EJ146*VLOOKUP('Données projet'!$B$15,Paramètres!$A$1:$I$89,3,0)*VLOOKUP('Données projet'!$B$15,Paramètres!$A$1:$I$89,5,0)</f>
        <v>-5.3471467253984886E-13</v>
      </c>
      <c r="EL146" s="14" t="e">
        <f t="shared" si="153"/>
        <v>#NUM!</v>
      </c>
      <c r="EM146" s="22" t="e">
        <f t="shared" si="127"/>
        <v>#NUM!</v>
      </c>
      <c r="EN146" s="60" t="e">
        <f t="shared" si="128"/>
        <v>#NUM!</v>
      </c>
      <c r="EO146" s="60">
        <f ca="1">AVERAGE(OFFSET($EN$3,0,0,'Données projet'!$E$15+1,1))-AVERAGE(OFFSET($H$3,0,0,'Données projet'!$E$15+1,1))</f>
        <v>493.70175665335978</v>
      </c>
      <c r="EP146" s="60">
        <f t="shared" si="154"/>
        <v>325.12357781685949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0" t="e">
        <f t="shared" si="131"/>
        <v>#N/A</v>
      </c>
      <c r="FJ146" s="60" t="e">
        <f ca="1">AVERAGE(OFFSET($FI$3,0,0,'Données projet'!$E$16+1,1))-AVERAGE(OFFSET($H$3,0,0,'Données projet'!$E$16+1,1))</f>
        <v>#N/A</v>
      </c>
      <c r="FK146" s="60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0" t="e">
        <f t="shared" si="134"/>
        <v>#N/A</v>
      </c>
      <c r="GE146" s="60" t="e">
        <f ca="1">AVERAGE(OFFSET($GD$3,0,0,'Données projet'!$E$17+1,1))-AVERAGE(OFFSET($H$3,0,0,'Données projet'!$E$17+1,1))</f>
        <v>#N/A</v>
      </c>
      <c r="GF146" s="60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5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8">
        <f t="shared" si="110"/>
        <v>256.66666666666669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0">
        <f t="shared" si="109"/>
        <v>293.3333333333353</v>
      </c>
      <c r="S147" s="60">
        <f ca="1">AVERAGE(OFFSET($R$3,0,0,'Données projet'!$E$9+1,1))-AVERAGE(OFFSET($H$3,0,0,'Données projet'!$E$9+1,1))</f>
        <v>260.02504691866199</v>
      </c>
      <c r="T147" s="60">
        <f t="shared" si="142"/>
        <v>270.11268336406368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1.0467978071084438</v>
      </c>
      <c r="AA147" s="23">
        <f>EXP(-LN(2)/25)*AA146+(1-EXP(-LN(2)/25))/(LN(2)/25)*Calculateur!V147*Calculateur!X147*VLOOKUP('Données projet'!$B$9,Paramètres!$A$1:$I$89,3,0)*0.475*44/12</f>
        <v>0.69678748509109067</v>
      </c>
      <c r="AB147" s="23">
        <f>EXP(-LN(2)/2)*AB146+(1-EXP(-LN(2)/2))/(LN(2)/2)*V147*Y147*VLOOKUP('Données projet'!$B$9,Paramètres!$A$1:$I$89,3,0)*0.475*44/12</f>
        <v>4.3992316358680865E-17</v>
      </c>
      <c r="AC147" s="24">
        <f t="shared" si="111"/>
        <v>1.7435852921995345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2.4</v>
      </c>
      <c r="AI147" s="14">
        <f>IF('Données projet'!$A$62&gt;35,AI146+AH147-AQ146,IF(A147&lt;'Données projet'!$A$62,$AF$205^A147,IF(A147='Données projet'!$A$62,'Données projet'!$B$62,AI146+AH147-AQ146)))</f>
        <v>278.59999999999917</v>
      </c>
      <c r="AJ147" s="14">
        <f>AI147*VLOOKUP('Données projet'!$B$10,Paramètres!$A$1:$I$89,3,0)*VLOOKUP('Données projet'!$B$10,Paramètres!$A$1:$I$89,5,0)</f>
        <v>282.50039999999916</v>
      </c>
      <c r="AK147" s="14">
        <f t="shared" si="143"/>
        <v>67.495141560894254</v>
      </c>
      <c r="AL147" s="22">
        <f t="shared" si="112"/>
        <v>609.57556821855599</v>
      </c>
      <c r="AM147" s="60">
        <f t="shared" si="113"/>
        <v>902.90890155188936</v>
      </c>
      <c r="AN147" s="60">
        <f ca="1">AVERAGE(OFFSET($AM$3,0,0,'Données projet'!$E$10+1,1))-AVERAGE(OFFSET($H$3,0,0,'Données projet'!$E$10+1,1))</f>
        <v>475.47920969424894</v>
      </c>
      <c r="AO147" s="60">
        <f t="shared" si="144"/>
        <v>271.73544012419364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1.4</v>
      </c>
      <c r="BD147" s="13">
        <f>IF('Données projet'!$A$88&gt;35,BD146+BC147-BL146,IF(A147&lt;'Données projet'!$A$88,$BA$205^A147,IF(A147='Données projet'!$A$88,'Données projet'!$B$88,BD146+BC147-BL146)))</f>
        <v>215.59999999999982</v>
      </c>
      <c r="BE147" s="14">
        <f>BD147*VLOOKUP('Données projet'!$B$11,Paramètres!$A$1:$I$89,3,0)*VLOOKUP('Données projet'!$B$11,Paramètres!$A$1:$I$89,5,0)</f>
        <v>195.07487999999984</v>
      </c>
      <c r="BF147" s="14">
        <f t="shared" si="145"/>
        <v>48.66020971834471</v>
      </c>
      <c r="BG147" s="22">
        <f t="shared" si="115"/>
        <v>424.50528125944999</v>
      </c>
      <c r="BH147" s="60">
        <f t="shared" si="116"/>
        <v>717.8386145927833</v>
      </c>
      <c r="BI147" s="60">
        <f ca="1">AVERAGE(OFFSET($BH$3,0,0,'Données projet'!$E$11+1,1))-AVERAGE(OFFSET($H$3,0,0,'Données projet'!$E$11+1,1))</f>
        <v>325.2649384779973</v>
      </c>
      <c r="BJ147" s="60">
        <f t="shared" si="146"/>
        <v>146.70159365068315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1.0231815394945443E-12</v>
      </c>
      <c r="BZ147" s="14">
        <f>BY147*VLOOKUP('Données projet'!$B$12,Paramètres!$A$1:$I$89,3,0)*VLOOKUP('Données projet'!$B$12,Paramètres!$A$1:$I$89,5,0)</f>
        <v>4.5224624045658859E-13</v>
      </c>
      <c r="CA147" s="14">
        <f t="shared" si="147"/>
        <v>5.6995607121061449E-12</v>
      </c>
      <c r="CB147" s="22">
        <f t="shared" si="118"/>
        <v>1.0714397109046761E-11</v>
      </c>
      <c r="CC147" s="60">
        <f t="shared" si="119"/>
        <v>293.333333333344</v>
      </c>
      <c r="CD147" s="60">
        <f ca="1">AVERAGE(OFFSET($CC$3,0,0,'Données projet'!$E$12+1,1))-AVERAGE(OFFSET($H$3,0,0,'Données projet'!$E$12+1,1))</f>
        <v>401.84375324751227</v>
      </c>
      <c r="CE147" s="60">
        <f t="shared" si="148"/>
        <v>350.39368043404164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0.35328510871115204</v>
      </c>
      <c r="CM147" s="23">
        <f>EXP(-LN(2)/2)*CM146+(1-EXP(-LN(2)/2))/(LN(2)/2)*CG147*CJ147*VLOOKUP('Données projet'!$B$12,Paramètres!$A$1:$I$89,3,0)*0.475*44/12</f>
        <v>9.6683780712394014E-18</v>
      </c>
      <c r="CN147" s="24">
        <f t="shared" si="120"/>
        <v>0.35328510871115204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-1.1368683772161603E-13</v>
      </c>
      <c r="CU147" s="18">
        <f>CT147*VLOOKUP('Données projet'!$B$13,Paramètres!$A$1:$I$89,3,0)*VLOOKUP('Données projet'!$B$13,Paramètres!$A$1:$I$89,5,0)</f>
        <v>-6.7984728957526396E-14</v>
      </c>
      <c r="CV147" s="14" t="e">
        <f t="shared" si="149"/>
        <v>#NUM!</v>
      </c>
      <c r="CW147" s="22" t="e">
        <f t="shared" si="121"/>
        <v>#NUM!</v>
      </c>
      <c r="CX147" s="60" t="e">
        <f t="shared" si="122"/>
        <v>#NUM!</v>
      </c>
      <c r="CY147" s="60">
        <f ca="1">AVERAGE(OFFSET($CX$3,0,0,'Données projet'!$E$13+1,1))-AVERAGE(OFFSET($H$3,0,0,'Données projet'!$E$13+1,1))</f>
        <v>232.73140429491525</v>
      </c>
      <c r="CZ147" s="60">
        <f t="shared" si="150"/>
        <v>201.02719152328638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0.33755833273673919</v>
      </c>
      <c r="DH147" s="23">
        <f>EXP(-LN(2)/2)*DH146+(1-EXP(-LN(2)/2))/(LN(2)/2)*DB147*DE147*VLOOKUP('Données projet'!$B$13,Paramètres!$A$1:$I$89,3,0)*0.475*44/12</f>
        <v>2.1363622616251034E-17</v>
      </c>
      <c r="DI147" s="24">
        <f t="shared" si="123"/>
        <v>0.33755833273673919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>
        <f>DO147*VLOOKUP('Données projet'!$B$14,Paramètres!$A$1:$I$89,3,0)*VLOOKUP('Données projet'!$B$14,Paramètres!$A$1:$I$89,5,0)</f>
        <v>0</v>
      </c>
      <c r="DQ147" s="14" t="e">
        <f t="shared" si="151"/>
        <v>#NUM!</v>
      </c>
      <c r="DR147" s="22" t="e">
        <f t="shared" si="124"/>
        <v>#NUM!</v>
      </c>
      <c r="DS147" s="60" t="e">
        <f t="shared" si="125"/>
        <v>#NUM!</v>
      </c>
      <c r="DT147" s="60">
        <f ca="1">AVERAGE(OFFSET($DS$3,0,0,'Données projet'!$E$14+1,1))-AVERAGE(OFFSET($H$3,0,0,'Données projet'!$E$14+1,1))</f>
        <v>302.15577364214136</v>
      </c>
      <c r="DU147" s="60">
        <f t="shared" si="152"/>
        <v>197.15142751137051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-5.1159076974727213E-13</v>
      </c>
      <c r="EK147" s="18">
        <f>EJ147*VLOOKUP('Données projet'!$B$15,Paramètres!$A$1:$I$89,3,0)*VLOOKUP('Données projet'!$B$15,Paramètres!$A$1:$I$89,5,0)</f>
        <v>-5.3471467253984886E-13</v>
      </c>
      <c r="EL147" s="14" t="e">
        <f t="shared" si="153"/>
        <v>#NUM!</v>
      </c>
      <c r="EM147" s="22" t="e">
        <f t="shared" si="127"/>
        <v>#NUM!</v>
      </c>
      <c r="EN147" s="60" t="e">
        <f t="shared" si="128"/>
        <v>#NUM!</v>
      </c>
      <c r="EO147" s="60">
        <f ca="1">AVERAGE(OFFSET($EN$3,0,0,'Données projet'!$E$15+1,1))-AVERAGE(OFFSET($H$3,0,0,'Données projet'!$E$15+1,1))</f>
        <v>493.70175665335978</v>
      </c>
      <c r="EP147" s="60">
        <f t="shared" si="154"/>
        <v>325.12357781685949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0" t="e">
        <f t="shared" si="131"/>
        <v>#N/A</v>
      </c>
      <c r="FJ147" s="60" t="e">
        <f ca="1">AVERAGE(OFFSET($FI$3,0,0,'Données projet'!$E$16+1,1))-AVERAGE(OFFSET($H$3,0,0,'Données projet'!$E$16+1,1))</f>
        <v>#N/A</v>
      </c>
      <c r="FK147" s="60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0" t="e">
        <f t="shared" si="134"/>
        <v>#N/A</v>
      </c>
      <c r="GE147" s="60" t="e">
        <f ca="1">AVERAGE(OFFSET($GD$3,0,0,'Données projet'!$E$17+1,1))-AVERAGE(OFFSET($H$3,0,0,'Données projet'!$E$17+1,1))</f>
        <v>#N/A</v>
      </c>
      <c r="GF147" s="60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5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8">
        <f t="shared" si="110"/>
        <v>256.66666666666669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0">
        <f t="shared" si="109"/>
        <v>293.3333333333353</v>
      </c>
      <c r="S148" s="60">
        <f ca="1">AVERAGE(OFFSET($R$3,0,0,'Données projet'!$E$9+1,1))-AVERAGE(OFFSET($H$3,0,0,'Données projet'!$E$9+1,1))</f>
        <v>260.02504691866199</v>
      </c>
      <c r="T148" s="60">
        <f t="shared" si="142"/>
        <v>270.11268336406368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1.0262707405946645</v>
      </c>
      <c r="AA148" s="23">
        <f>EXP(-LN(2)/25)*AA147+(1-EXP(-LN(2)/25))/(LN(2)/25)*Calculateur!V148*Calculateur!X148*VLOOKUP('Données projet'!$B$9,Paramètres!$A$1:$I$89,3,0)*0.475*44/12</f>
        <v>0.67773379466881345</v>
      </c>
      <c r="AB148" s="23">
        <f>EXP(-LN(2)/2)*AB147+(1-EXP(-LN(2)/2))/(LN(2)/2)*V148*Y148*VLOOKUP('Données projet'!$B$9,Paramètres!$A$1:$I$89,3,0)*0.475*44/12</f>
        <v>3.1107265217327125E-17</v>
      </c>
      <c r="AC148" s="24">
        <f t="shared" si="111"/>
        <v>1.7040045352634778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2.4</v>
      </c>
      <c r="AI148" s="14">
        <f>IF('Données projet'!$A$62&gt;35,AI147+AH148-AQ147,IF(A148&lt;'Données projet'!$A$62,$AF$205^A148,IF(A148='Données projet'!$A$62,'Données projet'!$B$62,AI147+AH148-AQ147)))</f>
        <v>280.99999999999915</v>
      </c>
      <c r="AJ148" s="14">
        <f>AI148*VLOOKUP('Données projet'!$B$10,Paramètres!$A$1:$I$89,3,0)*VLOOKUP('Données projet'!$B$10,Paramètres!$A$1:$I$89,5,0)</f>
        <v>284.93399999999917</v>
      </c>
      <c r="AK148" s="14">
        <f t="shared" si="143"/>
        <v>68.008642509673109</v>
      </c>
      <c r="AL148" s="22">
        <f t="shared" si="112"/>
        <v>614.7084357043459</v>
      </c>
      <c r="AM148" s="60">
        <f t="shared" si="113"/>
        <v>908.04176903767916</v>
      </c>
      <c r="AN148" s="60">
        <f ca="1">AVERAGE(OFFSET($AM$3,0,0,'Données projet'!$E$10+1,1))-AVERAGE(OFFSET($H$3,0,0,'Données projet'!$E$10+1,1))</f>
        <v>475.47920969424894</v>
      </c>
      <c r="AO148" s="60">
        <f t="shared" si="144"/>
        <v>271.73544012419364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1.4</v>
      </c>
      <c r="BD148" s="13">
        <f>IF('Données projet'!$A$88&gt;35,BD147+BC148-BL147,IF(A148&lt;'Données projet'!$A$88,$BA$205^A148,IF(A148='Données projet'!$A$88,'Données projet'!$B$88,BD147+BC148-BL147)))</f>
        <v>216.99999999999983</v>
      </c>
      <c r="BE148" s="14">
        <f>BD148*VLOOKUP('Données projet'!$B$11,Paramètres!$A$1:$I$89,3,0)*VLOOKUP('Données projet'!$B$11,Paramètres!$A$1:$I$89,5,0)</f>
        <v>196.34159999999983</v>
      </c>
      <c r="BF148" s="14">
        <f t="shared" si="145"/>
        <v>48.939300310809116</v>
      </c>
      <c r="BG148" s="22">
        <f t="shared" si="115"/>
        <v>427.1975680413255</v>
      </c>
      <c r="BH148" s="60">
        <f t="shared" si="116"/>
        <v>720.53090137465881</v>
      </c>
      <c r="BI148" s="60">
        <f ca="1">AVERAGE(OFFSET($BH$3,0,0,'Données projet'!$E$11+1,1))-AVERAGE(OFFSET($H$3,0,0,'Données projet'!$E$11+1,1))</f>
        <v>325.2649384779973</v>
      </c>
      <c r="BJ148" s="60">
        <f t="shared" si="146"/>
        <v>146.70159365068315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1.0231815394945443E-12</v>
      </c>
      <c r="BZ148" s="14">
        <f>BY148*VLOOKUP('Données projet'!$B$12,Paramètres!$A$1:$I$89,3,0)*VLOOKUP('Données projet'!$B$12,Paramètres!$A$1:$I$89,5,0)</f>
        <v>4.5224624045658859E-13</v>
      </c>
      <c r="CA148" s="14">
        <f t="shared" si="147"/>
        <v>5.6995607121061449E-12</v>
      </c>
      <c r="CB148" s="22">
        <f t="shared" si="118"/>
        <v>1.0714397109046761E-11</v>
      </c>
      <c r="CC148" s="60">
        <f t="shared" si="119"/>
        <v>293.333333333344</v>
      </c>
      <c r="CD148" s="60">
        <f ca="1">AVERAGE(OFFSET($CC$3,0,0,'Données projet'!$E$12+1,1))-AVERAGE(OFFSET($H$3,0,0,'Données projet'!$E$12+1,1))</f>
        <v>401.84375324751227</v>
      </c>
      <c r="CE148" s="60">
        <f t="shared" si="148"/>
        <v>350.39368043404164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0.34362450883498918</v>
      </c>
      <c r="CM148" s="23">
        <f>EXP(-LN(2)/2)*CM147+(1-EXP(-LN(2)/2))/(LN(2)/2)*CG148*CJ148*VLOOKUP('Données projet'!$B$12,Paramètres!$A$1:$I$89,3,0)*0.475*44/12</f>
        <v>6.8365756972486943E-18</v>
      </c>
      <c r="CN148" s="24">
        <f t="shared" si="120"/>
        <v>0.34362450883498918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-1.1368683772161603E-13</v>
      </c>
      <c r="CU148" s="18">
        <f>CT148*VLOOKUP('Données projet'!$B$13,Paramètres!$A$1:$I$89,3,0)*VLOOKUP('Données projet'!$B$13,Paramètres!$A$1:$I$89,5,0)</f>
        <v>-6.7984728957526396E-14</v>
      </c>
      <c r="CV148" s="14" t="e">
        <f t="shared" si="149"/>
        <v>#NUM!</v>
      </c>
      <c r="CW148" s="22" t="e">
        <f t="shared" si="121"/>
        <v>#NUM!</v>
      </c>
      <c r="CX148" s="60" t="e">
        <f t="shared" si="122"/>
        <v>#NUM!</v>
      </c>
      <c r="CY148" s="60">
        <f ca="1">AVERAGE(OFFSET($CX$3,0,0,'Données projet'!$E$13+1,1))-AVERAGE(OFFSET($H$3,0,0,'Données projet'!$E$13+1,1))</f>
        <v>232.73140429491525</v>
      </c>
      <c r="CZ148" s="60">
        <f t="shared" si="150"/>
        <v>201.02719152328638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0.32832778237663185</v>
      </c>
      <c r="DH148" s="23">
        <f>EXP(-LN(2)/2)*DH147+(1-EXP(-LN(2)/2))/(LN(2)/2)*DB148*DE148*VLOOKUP('Données projet'!$B$13,Paramètres!$A$1:$I$89,3,0)*0.475*44/12</f>
        <v>1.5106362422661398E-17</v>
      </c>
      <c r="DI148" s="24">
        <f t="shared" si="123"/>
        <v>0.32832778237663185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>
        <f>DO148*VLOOKUP('Données projet'!$B$14,Paramètres!$A$1:$I$89,3,0)*VLOOKUP('Données projet'!$B$14,Paramètres!$A$1:$I$89,5,0)</f>
        <v>0</v>
      </c>
      <c r="DQ148" s="14" t="e">
        <f t="shared" si="151"/>
        <v>#NUM!</v>
      </c>
      <c r="DR148" s="22" t="e">
        <f t="shared" si="124"/>
        <v>#NUM!</v>
      </c>
      <c r="DS148" s="60" t="e">
        <f t="shared" si="125"/>
        <v>#NUM!</v>
      </c>
      <c r="DT148" s="60">
        <f ca="1">AVERAGE(OFFSET($DS$3,0,0,'Données projet'!$E$14+1,1))-AVERAGE(OFFSET($H$3,0,0,'Données projet'!$E$14+1,1))</f>
        <v>302.15577364214136</v>
      </c>
      <c r="DU148" s="60">
        <f t="shared" si="152"/>
        <v>197.15142751137051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-5.1159076974727213E-13</v>
      </c>
      <c r="EK148" s="18">
        <f>EJ148*VLOOKUP('Données projet'!$B$15,Paramètres!$A$1:$I$89,3,0)*VLOOKUP('Données projet'!$B$15,Paramètres!$A$1:$I$89,5,0)</f>
        <v>-5.3471467253984886E-13</v>
      </c>
      <c r="EL148" s="14" t="e">
        <f t="shared" si="153"/>
        <v>#NUM!</v>
      </c>
      <c r="EM148" s="22" t="e">
        <f t="shared" si="127"/>
        <v>#NUM!</v>
      </c>
      <c r="EN148" s="60" t="e">
        <f t="shared" si="128"/>
        <v>#NUM!</v>
      </c>
      <c r="EO148" s="60">
        <f ca="1">AVERAGE(OFFSET($EN$3,0,0,'Données projet'!$E$15+1,1))-AVERAGE(OFFSET($H$3,0,0,'Données projet'!$E$15+1,1))</f>
        <v>493.70175665335978</v>
      </c>
      <c r="EP148" s="60">
        <f t="shared" si="154"/>
        <v>325.12357781685949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0" t="e">
        <f t="shared" si="131"/>
        <v>#N/A</v>
      </c>
      <c r="FJ148" s="60" t="e">
        <f ca="1">AVERAGE(OFFSET($FI$3,0,0,'Données projet'!$E$16+1,1))-AVERAGE(OFFSET($H$3,0,0,'Données projet'!$E$16+1,1))</f>
        <v>#N/A</v>
      </c>
      <c r="FK148" s="60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0" t="e">
        <f t="shared" si="134"/>
        <v>#N/A</v>
      </c>
      <c r="GE148" s="60" t="e">
        <f ca="1">AVERAGE(OFFSET($GD$3,0,0,'Données projet'!$E$17+1,1))-AVERAGE(OFFSET($H$3,0,0,'Données projet'!$E$17+1,1))</f>
        <v>#N/A</v>
      </c>
      <c r="GF148" s="60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5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8">
        <f t="shared" si="110"/>
        <v>256.66666666666669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0">
        <f t="shared" si="109"/>
        <v>293.3333333333353</v>
      </c>
      <c r="S149" s="60">
        <f ca="1">AVERAGE(OFFSET($R$3,0,0,'Données projet'!$E$9+1,1))-AVERAGE(OFFSET($H$3,0,0,'Données projet'!$E$9+1,1))</f>
        <v>260.02504691866199</v>
      </c>
      <c r="T149" s="60">
        <f t="shared" si="142"/>
        <v>270.11268336406368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1.0061461973349461</v>
      </c>
      <c r="AA149" s="23">
        <f>EXP(-LN(2)/25)*AA148+(1-EXP(-LN(2)/25))/(LN(2)/25)*Calculateur!V149*Calculateur!X149*VLOOKUP('Données projet'!$B$9,Paramètres!$A$1:$I$89,3,0)*0.475*44/12</f>
        <v>0.6592011284131235</v>
      </c>
      <c r="AB149" s="23">
        <f>EXP(-LN(2)/2)*AB148+(1-EXP(-LN(2)/2))/(LN(2)/2)*V149*Y149*VLOOKUP('Données projet'!$B$9,Paramètres!$A$1:$I$89,3,0)*0.475*44/12</f>
        <v>2.1996158179340432E-17</v>
      </c>
      <c r="AC149" s="24">
        <f t="shared" si="111"/>
        <v>1.6653473257480695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2.4</v>
      </c>
      <c r="AI149" s="14">
        <f>IF('Données projet'!$A$62&gt;35,AI148+AH149-AQ148,IF(A149&lt;'Données projet'!$A$62,$AF$205^A149,IF(A149='Données projet'!$A$62,'Données projet'!$B$62,AI148+AH149-AQ148)))</f>
        <v>283.39999999999912</v>
      </c>
      <c r="AJ149" s="14">
        <f>AI149*VLOOKUP('Données projet'!$B$10,Paramètres!$A$1:$I$89,3,0)*VLOOKUP('Données projet'!$B$10,Paramètres!$A$1:$I$89,5,0)</f>
        <v>287.36759999999913</v>
      </c>
      <c r="AK149" s="14">
        <f t="shared" si="143"/>
        <v>68.521633201564995</v>
      </c>
      <c r="AL149" s="22">
        <f t="shared" si="112"/>
        <v>619.84041449272411</v>
      </c>
      <c r="AM149" s="60">
        <f t="shared" si="113"/>
        <v>913.17374782605748</v>
      </c>
      <c r="AN149" s="60">
        <f ca="1">AVERAGE(OFFSET($AM$3,0,0,'Données projet'!$E$10+1,1))-AVERAGE(OFFSET($H$3,0,0,'Données projet'!$E$10+1,1))</f>
        <v>475.47920969424894</v>
      </c>
      <c r="AO149" s="60">
        <f t="shared" si="144"/>
        <v>271.73544012419364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1.4</v>
      </c>
      <c r="BD149" s="13">
        <f>IF('Données projet'!$A$88&gt;35,BD148+BC149-BL148,IF(A149&lt;'Données projet'!$A$88,$BA$205^A149,IF(A149='Données projet'!$A$88,'Données projet'!$B$88,BD148+BC149-BL148)))</f>
        <v>218.39999999999984</v>
      </c>
      <c r="BE149" s="14">
        <f>BD149*VLOOKUP('Données projet'!$B$11,Paramètres!$A$1:$I$89,3,0)*VLOOKUP('Données projet'!$B$11,Paramètres!$A$1:$I$89,5,0)</f>
        <v>197.60831999999985</v>
      </c>
      <c r="BF149" s="14">
        <f t="shared" si="145"/>
        <v>49.218181392381318</v>
      </c>
      <c r="BG149" s="22">
        <f t="shared" si="115"/>
        <v>429.88948992506386</v>
      </c>
      <c r="BH149" s="60">
        <f t="shared" si="116"/>
        <v>723.22282325839717</v>
      </c>
      <c r="BI149" s="60">
        <f ca="1">AVERAGE(OFFSET($BH$3,0,0,'Données projet'!$E$11+1,1))-AVERAGE(OFFSET($H$3,0,0,'Données projet'!$E$11+1,1))</f>
        <v>325.2649384779973</v>
      </c>
      <c r="BJ149" s="60">
        <f t="shared" si="146"/>
        <v>146.70159365068315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1.0231815394945443E-12</v>
      </c>
      <c r="BZ149" s="14">
        <f>BY149*VLOOKUP('Données projet'!$B$12,Paramètres!$A$1:$I$89,3,0)*VLOOKUP('Données projet'!$B$12,Paramètres!$A$1:$I$89,5,0)</f>
        <v>4.5224624045658859E-13</v>
      </c>
      <c r="CA149" s="14">
        <f t="shared" si="147"/>
        <v>5.6995607121061449E-12</v>
      </c>
      <c r="CB149" s="22">
        <f t="shared" si="118"/>
        <v>1.0714397109046761E-11</v>
      </c>
      <c r="CC149" s="60">
        <f t="shared" si="119"/>
        <v>293.333333333344</v>
      </c>
      <c r="CD149" s="60">
        <f ca="1">AVERAGE(OFFSET($CC$3,0,0,'Données projet'!$E$12+1,1))-AVERAGE(OFFSET($H$3,0,0,'Données projet'!$E$12+1,1))</f>
        <v>401.84375324751227</v>
      </c>
      <c r="CE149" s="60">
        <f t="shared" si="148"/>
        <v>350.39368043404164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0.33422807857046882</v>
      </c>
      <c r="CM149" s="23">
        <f>EXP(-LN(2)/2)*CM148+(1-EXP(-LN(2)/2))/(LN(2)/2)*CG149*CJ149*VLOOKUP('Données projet'!$B$12,Paramètres!$A$1:$I$89,3,0)*0.475*44/12</f>
        <v>4.8341890356197015E-18</v>
      </c>
      <c r="CN149" s="24">
        <f t="shared" si="120"/>
        <v>0.33422807857046882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-1.1368683772161603E-13</v>
      </c>
      <c r="CU149" s="18">
        <f>CT149*VLOOKUP('Données projet'!$B$13,Paramètres!$A$1:$I$89,3,0)*VLOOKUP('Données projet'!$B$13,Paramètres!$A$1:$I$89,5,0)</f>
        <v>-6.7984728957526396E-14</v>
      </c>
      <c r="CV149" s="14" t="e">
        <f t="shared" si="149"/>
        <v>#NUM!</v>
      </c>
      <c r="CW149" s="22" t="e">
        <f t="shared" si="121"/>
        <v>#NUM!</v>
      </c>
      <c r="CX149" s="60" t="e">
        <f t="shared" si="122"/>
        <v>#NUM!</v>
      </c>
      <c r="CY149" s="60">
        <f ca="1">AVERAGE(OFFSET($CX$3,0,0,'Données projet'!$E$13+1,1))-AVERAGE(OFFSET($H$3,0,0,'Données projet'!$E$13+1,1))</f>
        <v>232.73140429491525</v>
      </c>
      <c r="CZ149" s="60">
        <f t="shared" si="150"/>
        <v>201.02719152328638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0.3193496419015352</v>
      </c>
      <c r="DH149" s="23">
        <f>EXP(-LN(2)/2)*DH148+(1-EXP(-LN(2)/2))/(LN(2)/2)*DB149*DE149*VLOOKUP('Données projet'!$B$13,Paramètres!$A$1:$I$89,3,0)*0.475*44/12</f>
        <v>1.0681811308125517E-17</v>
      </c>
      <c r="DI149" s="24">
        <f t="shared" si="123"/>
        <v>0.3193496419015352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>
        <f>DO149*VLOOKUP('Données projet'!$B$14,Paramètres!$A$1:$I$89,3,0)*VLOOKUP('Données projet'!$B$14,Paramètres!$A$1:$I$89,5,0)</f>
        <v>0</v>
      </c>
      <c r="DQ149" s="14" t="e">
        <f t="shared" si="151"/>
        <v>#NUM!</v>
      </c>
      <c r="DR149" s="22" t="e">
        <f t="shared" si="124"/>
        <v>#NUM!</v>
      </c>
      <c r="DS149" s="60" t="e">
        <f t="shared" si="125"/>
        <v>#NUM!</v>
      </c>
      <c r="DT149" s="60">
        <f ca="1">AVERAGE(OFFSET($DS$3,0,0,'Données projet'!$E$14+1,1))-AVERAGE(OFFSET($H$3,0,0,'Données projet'!$E$14+1,1))</f>
        <v>302.15577364214136</v>
      </c>
      <c r="DU149" s="60">
        <f t="shared" si="152"/>
        <v>197.15142751137051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-5.1159076974727213E-13</v>
      </c>
      <c r="EK149" s="18">
        <f>EJ149*VLOOKUP('Données projet'!$B$15,Paramètres!$A$1:$I$89,3,0)*VLOOKUP('Données projet'!$B$15,Paramètres!$A$1:$I$89,5,0)</f>
        <v>-5.3471467253984886E-13</v>
      </c>
      <c r="EL149" s="14" t="e">
        <f t="shared" si="153"/>
        <v>#NUM!</v>
      </c>
      <c r="EM149" s="22" t="e">
        <f t="shared" si="127"/>
        <v>#NUM!</v>
      </c>
      <c r="EN149" s="60" t="e">
        <f t="shared" si="128"/>
        <v>#NUM!</v>
      </c>
      <c r="EO149" s="60">
        <f ca="1">AVERAGE(OFFSET($EN$3,0,0,'Données projet'!$E$15+1,1))-AVERAGE(OFFSET($H$3,0,0,'Données projet'!$E$15+1,1))</f>
        <v>493.70175665335978</v>
      </c>
      <c r="EP149" s="60">
        <f t="shared" si="154"/>
        <v>325.12357781685949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0" t="e">
        <f t="shared" si="131"/>
        <v>#N/A</v>
      </c>
      <c r="FJ149" s="60" t="e">
        <f ca="1">AVERAGE(OFFSET($FI$3,0,0,'Données projet'!$E$16+1,1))-AVERAGE(OFFSET($H$3,0,0,'Données projet'!$E$16+1,1))</f>
        <v>#N/A</v>
      </c>
      <c r="FK149" s="60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0" t="e">
        <f t="shared" si="134"/>
        <v>#N/A</v>
      </c>
      <c r="GE149" s="60" t="e">
        <f ca="1">AVERAGE(OFFSET($GD$3,0,0,'Données projet'!$E$17+1,1))-AVERAGE(OFFSET($H$3,0,0,'Données projet'!$E$17+1,1))</f>
        <v>#N/A</v>
      </c>
      <c r="GF149" s="60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5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8">
        <f t="shared" si="110"/>
        <v>256.66666666666669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0">
        <f t="shared" si="109"/>
        <v>293.3333333333353</v>
      </c>
      <c r="S150" s="60">
        <f ca="1">AVERAGE(OFFSET($R$3,0,0,'Données projet'!$E$9+1,1))-AVERAGE(OFFSET($H$3,0,0,'Données projet'!$E$9+1,1))</f>
        <v>260.02504691866199</v>
      </c>
      <c r="T150" s="60">
        <f t="shared" si="142"/>
        <v>270.11268336406368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0.98641628409379156</v>
      </c>
      <c r="AA150" s="23">
        <f>EXP(-LN(2)/25)*AA149+(1-EXP(-LN(2)/25))/(LN(2)/25)*Calculateur!V150*Calculateur!X150*VLOOKUP('Données projet'!$B$9,Paramètres!$A$1:$I$89,3,0)*0.475*44/12</f>
        <v>0.64117523889078587</v>
      </c>
      <c r="AB150" s="23">
        <f>EXP(-LN(2)/2)*AB149+(1-EXP(-LN(2)/2))/(LN(2)/2)*V150*Y150*VLOOKUP('Données projet'!$B$9,Paramètres!$A$1:$I$89,3,0)*0.475*44/12</f>
        <v>1.5553632608663563E-17</v>
      </c>
      <c r="AC150" s="24">
        <f t="shared" si="111"/>
        <v>1.6275915229845774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2.4</v>
      </c>
      <c r="AI150" s="14">
        <f>IF('Données projet'!$A$62&gt;35,AI149+AH150-AQ149,IF(A150&lt;'Données projet'!$A$62,$AF$205^A150,IF(A150='Données projet'!$A$62,'Données projet'!$B$62,AI149+AH150-AQ149)))</f>
        <v>285.7999999999991</v>
      </c>
      <c r="AJ150" s="14">
        <f>AI150*VLOOKUP('Données projet'!$B$10,Paramètres!$A$1:$I$89,3,0)*VLOOKUP('Données projet'!$B$10,Paramètres!$A$1:$I$89,5,0)</f>
        <v>289.80119999999908</v>
      </c>
      <c r="AK150" s="14">
        <f t="shared" si="143"/>
        <v>69.034118458450664</v>
      </c>
      <c r="AL150" s="22">
        <f t="shared" si="112"/>
        <v>624.97151298179995</v>
      </c>
      <c r="AM150" s="60">
        <f t="shared" si="113"/>
        <v>918.30484631513332</v>
      </c>
      <c r="AN150" s="60">
        <f ca="1">AVERAGE(OFFSET($AM$3,0,0,'Données projet'!$E$10+1,1))-AVERAGE(OFFSET($H$3,0,0,'Données projet'!$E$10+1,1))</f>
        <v>475.47920969424894</v>
      </c>
      <c r="AO150" s="60">
        <f t="shared" si="144"/>
        <v>271.73544012419364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1.4</v>
      </c>
      <c r="BD150" s="13">
        <f>IF('Données projet'!$A$88&gt;35,BD149+BC150-BL149,IF(A150&lt;'Données projet'!$A$88,$BA$205^A150,IF(A150='Données projet'!$A$88,'Données projet'!$B$88,BD149+BC150-BL149)))</f>
        <v>219.79999999999984</v>
      </c>
      <c r="BE150" s="14">
        <f>BD150*VLOOKUP('Données projet'!$B$11,Paramètres!$A$1:$I$89,3,0)*VLOOKUP('Données projet'!$B$11,Paramètres!$A$1:$I$89,5,0)</f>
        <v>198.87503999999984</v>
      </c>
      <c r="BF150" s="14">
        <f t="shared" si="145"/>
        <v>49.496854461868558</v>
      </c>
      <c r="BG150" s="22">
        <f t="shared" si="115"/>
        <v>432.58104952108744</v>
      </c>
      <c r="BH150" s="60">
        <f t="shared" si="116"/>
        <v>725.91438285442075</v>
      </c>
      <c r="BI150" s="60">
        <f ca="1">AVERAGE(OFFSET($BH$3,0,0,'Données projet'!$E$11+1,1))-AVERAGE(OFFSET($H$3,0,0,'Données projet'!$E$11+1,1))</f>
        <v>325.2649384779973</v>
      </c>
      <c r="BJ150" s="60">
        <f t="shared" si="146"/>
        <v>146.70159365068315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1.0231815394945443E-12</v>
      </c>
      <c r="BZ150" s="14">
        <f>BY150*VLOOKUP('Données projet'!$B$12,Paramètres!$A$1:$I$89,3,0)*VLOOKUP('Données projet'!$B$12,Paramètres!$A$1:$I$89,5,0)</f>
        <v>4.5224624045658859E-13</v>
      </c>
      <c r="CA150" s="14">
        <f t="shared" si="147"/>
        <v>5.6995607121061449E-12</v>
      </c>
      <c r="CB150" s="22">
        <f t="shared" si="118"/>
        <v>1.0714397109046761E-11</v>
      </c>
      <c r="CC150" s="60">
        <f t="shared" si="119"/>
        <v>293.333333333344</v>
      </c>
      <c r="CD150" s="60">
        <f ca="1">AVERAGE(OFFSET($CC$3,0,0,'Données projet'!$E$12+1,1))-AVERAGE(OFFSET($H$3,0,0,'Données projet'!$E$12+1,1))</f>
        <v>401.84375324751227</v>
      </c>
      <c r="CE150" s="60">
        <f t="shared" si="148"/>
        <v>350.39368043404164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0.3250885941856686</v>
      </c>
      <c r="CM150" s="23">
        <f>EXP(-LN(2)/2)*CM149+(1-EXP(-LN(2)/2))/(LN(2)/2)*CG150*CJ150*VLOOKUP('Données projet'!$B$12,Paramètres!$A$1:$I$89,3,0)*0.475*44/12</f>
        <v>3.4182878486243475E-18</v>
      </c>
      <c r="CN150" s="24">
        <f t="shared" si="120"/>
        <v>0.3250885941856686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-1.1368683772161603E-13</v>
      </c>
      <c r="CU150" s="18">
        <f>CT150*VLOOKUP('Données projet'!$B$13,Paramètres!$A$1:$I$89,3,0)*VLOOKUP('Données projet'!$B$13,Paramètres!$A$1:$I$89,5,0)</f>
        <v>-6.7984728957526396E-14</v>
      </c>
      <c r="CV150" s="14" t="e">
        <f t="shared" si="149"/>
        <v>#NUM!</v>
      </c>
      <c r="CW150" s="22" t="e">
        <f t="shared" si="121"/>
        <v>#NUM!</v>
      </c>
      <c r="CX150" s="60" t="e">
        <f t="shared" si="122"/>
        <v>#NUM!</v>
      </c>
      <c r="CY150" s="60">
        <f ca="1">AVERAGE(OFFSET($CX$3,0,0,'Données projet'!$E$13+1,1))-AVERAGE(OFFSET($H$3,0,0,'Données projet'!$E$13+1,1))</f>
        <v>232.73140429491525</v>
      </c>
      <c r="CZ150" s="60">
        <f t="shared" si="150"/>
        <v>201.02719152328638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0.31061700914986995</v>
      </c>
      <c r="DH150" s="23">
        <f>EXP(-LN(2)/2)*DH149+(1-EXP(-LN(2)/2))/(LN(2)/2)*DB150*DE150*VLOOKUP('Données projet'!$B$13,Paramètres!$A$1:$I$89,3,0)*0.475*44/12</f>
        <v>7.5531812113306989E-18</v>
      </c>
      <c r="DI150" s="24">
        <f t="shared" si="123"/>
        <v>0.31061700914986995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>
        <f>DO150*VLOOKUP('Données projet'!$B$14,Paramètres!$A$1:$I$89,3,0)*VLOOKUP('Données projet'!$B$14,Paramètres!$A$1:$I$89,5,0)</f>
        <v>0</v>
      </c>
      <c r="DQ150" s="14" t="e">
        <f t="shared" si="151"/>
        <v>#NUM!</v>
      </c>
      <c r="DR150" s="22" t="e">
        <f t="shared" si="124"/>
        <v>#NUM!</v>
      </c>
      <c r="DS150" s="60" t="e">
        <f t="shared" si="125"/>
        <v>#NUM!</v>
      </c>
      <c r="DT150" s="60">
        <f ca="1">AVERAGE(OFFSET($DS$3,0,0,'Données projet'!$E$14+1,1))-AVERAGE(OFFSET($H$3,0,0,'Données projet'!$E$14+1,1))</f>
        <v>302.15577364214136</v>
      </c>
      <c r="DU150" s="60">
        <f t="shared" si="152"/>
        <v>197.15142751137051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-5.1159076974727213E-13</v>
      </c>
      <c r="EK150" s="18">
        <f>EJ150*VLOOKUP('Données projet'!$B$15,Paramètres!$A$1:$I$89,3,0)*VLOOKUP('Données projet'!$B$15,Paramètres!$A$1:$I$89,5,0)</f>
        <v>-5.3471467253984886E-13</v>
      </c>
      <c r="EL150" s="14" t="e">
        <f t="shared" si="153"/>
        <v>#NUM!</v>
      </c>
      <c r="EM150" s="22" t="e">
        <f t="shared" si="127"/>
        <v>#NUM!</v>
      </c>
      <c r="EN150" s="60" t="e">
        <f t="shared" si="128"/>
        <v>#NUM!</v>
      </c>
      <c r="EO150" s="60">
        <f ca="1">AVERAGE(OFFSET($EN$3,0,0,'Données projet'!$E$15+1,1))-AVERAGE(OFFSET($H$3,0,0,'Données projet'!$E$15+1,1))</f>
        <v>493.70175665335978</v>
      </c>
      <c r="EP150" s="60">
        <f t="shared" si="154"/>
        <v>325.12357781685949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0" t="e">
        <f t="shared" si="131"/>
        <v>#N/A</v>
      </c>
      <c r="FJ150" s="60" t="e">
        <f ca="1">AVERAGE(OFFSET($FI$3,0,0,'Données projet'!$E$16+1,1))-AVERAGE(OFFSET($H$3,0,0,'Données projet'!$E$16+1,1))</f>
        <v>#N/A</v>
      </c>
      <c r="FK150" s="60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0" t="e">
        <f t="shared" si="134"/>
        <v>#N/A</v>
      </c>
      <c r="GE150" s="60" t="e">
        <f ca="1">AVERAGE(OFFSET($GD$3,0,0,'Données projet'!$E$17+1,1))-AVERAGE(OFFSET($H$3,0,0,'Données projet'!$E$17+1,1))</f>
        <v>#N/A</v>
      </c>
      <c r="GF150" s="60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5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8">
        <f t="shared" si="110"/>
        <v>256.66666666666669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0">
        <f t="shared" si="109"/>
        <v>293.3333333333353</v>
      </c>
      <c r="S151" s="60">
        <f ca="1">AVERAGE(OFFSET($R$3,0,0,'Données projet'!$E$9+1,1))-AVERAGE(OFFSET($H$3,0,0,'Données projet'!$E$9+1,1))</f>
        <v>260.02504691866199</v>
      </c>
      <c r="T151" s="60">
        <f t="shared" si="142"/>
        <v>270.11268336406368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0.96707326241723712</v>
      </c>
      <c r="AA151" s="23">
        <f>EXP(-LN(2)/25)*AA150+(1-EXP(-LN(2)/25))/(LN(2)/25)*Calculateur!V151*Calculateur!X151*VLOOKUP('Données projet'!$B$9,Paramètres!$A$1:$I$89,3,0)*0.475*44/12</f>
        <v>0.62364226826537694</v>
      </c>
      <c r="AB151" s="23">
        <f>EXP(-LN(2)/2)*AB150+(1-EXP(-LN(2)/2))/(LN(2)/2)*V151*Y151*VLOOKUP('Données projet'!$B$9,Paramètres!$A$1:$I$89,3,0)*0.475*44/12</f>
        <v>1.0998079089670216E-17</v>
      </c>
      <c r="AC151" s="24">
        <f t="shared" si="111"/>
        <v>1.5907155306826142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2.4</v>
      </c>
      <c r="AI151" s="14">
        <f>IF('Données projet'!$A$62&gt;35,AI150+AH151-AQ150,IF(A151&lt;'Données projet'!$A$62,$AF$205^A151,IF(A151='Données projet'!$A$62,'Données projet'!$B$62,AI150+AH151-AQ150)))</f>
        <v>288.19999999999908</v>
      </c>
      <c r="AJ151" s="14">
        <f>AI151*VLOOKUP('Données projet'!$B$10,Paramètres!$A$1:$I$89,3,0)*VLOOKUP('Données projet'!$B$10,Paramètres!$A$1:$I$89,5,0)</f>
        <v>292.2347999999991</v>
      </c>
      <c r="AK151" s="14">
        <f t="shared" si="143"/>
        <v>69.546103016553573</v>
      </c>
      <c r="AL151" s="22">
        <f t="shared" si="112"/>
        <v>630.10173942049585</v>
      </c>
      <c r="AM151" s="60">
        <f t="shared" si="113"/>
        <v>923.43507275382922</v>
      </c>
      <c r="AN151" s="60">
        <f ca="1">AVERAGE(OFFSET($AM$3,0,0,'Données projet'!$E$10+1,1))-AVERAGE(OFFSET($H$3,0,0,'Données projet'!$E$10+1,1))</f>
        <v>475.47920969424894</v>
      </c>
      <c r="AO151" s="60">
        <f t="shared" si="144"/>
        <v>271.73544012419364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1.4</v>
      </c>
      <c r="BD151" s="13">
        <f>IF('Données projet'!$A$88&gt;35,BD150+BC151-BL150,IF(A151&lt;'Données projet'!$A$88,$BA$205^A151,IF(A151='Données projet'!$A$88,'Données projet'!$B$88,BD150+BC151-BL150)))</f>
        <v>221.19999999999985</v>
      </c>
      <c r="BE151" s="14">
        <f>BD151*VLOOKUP('Données projet'!$B$11,Paramètres!$A$1:$I$89,3,0)*VLOOKUP('Données projet'!$B$11,Paramètres!$A$1:$I$89,5,0)</f>
        <v>200.14175999999986</v>
      </c>
      <c r="BF151" s="14">
        <f t="shared" si="145"/>
        <v>49.775320997880797</v>
      </c>
      <c r="BG151" s="22">
        <f t="shared" si="115"/>
        <v>435.27224940464208</v>
      </c>
      <c r="BH151" s="60">
        <f t="shared" si="116"/>
        <v>728.6055827379754</v>
      </c>
      <c r="BI151" s="60">
        <f ca="1">AVERAGE(OFFSET($BH$3,0,0,'Données projet'!$E$11+1,1))-AVERAGE(OFFSET($H$3,0,0,'Données projet'!$E$11+1,1))</f>
        <v>325.2649384779973</v>
      </c>
      <c r="BJ151" s="60">
        <f t="shared" si="146"/>
        <v>146.70159365068315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1.0231815394945443E-12</v>
      </c>
      <c r="BZ151" s="14">
        <f>BY151*VLOOKUP('Données projet'!$B$12,Paramètres!$A$1:$I$89,3,0)*VLOOKUP('Données projet'!$B$12,Paramètres!$A$1:$I$89,5,0)</f>
        <v>4.5224624045658859E-13</v>
      </c>
      <c r="CA151" s="14">
        <f t="shared" si="147"/>
        <v>5.6995607121061449E-12</v>
      </c>
      <c r="CB151" s="22">
        <f t="shared" si="118"/>
        <v>1.0714397109046761E-11</v>
      </c>
      <c r="CC151" s="60">
        <f t="shared" si="119"/>
        <v>293.333333333344</v>
      </c>
      <c r="CD151" s="60">
        <f ca="1">AVERAGE(OFFSET($CC$3,0,0,'Données projet'!$E$12+1,1))-AVERAGE(OFFSET($H$3,0,0,'Données projet'!$E$12+1,1))</f>
        <v>401.84375324751227</v>
      </c>
      <c r="CE151" s="60">
        <f t="shared" si="148"/>
        <v>350.39368043404164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0.3161990294819953</v>
      </c>
      <c r="CM151" s="23">
        <f>EXP(-LN(2)/2)*CM150+(1-EXP(-LN(2)/2))/(LN(2)/2)*CG151*CJ151*VLOOKUP('Données projet'!$B$12,Paramètres!$A$1:$I$89,3,0)*0.475*44/12</f>
        <v>2.4170945178098511E-18</v>
      </c>
      <c r="CN151" s="24">
        <f t="shared" si="120"/>
        <v>0.3161990294819953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-1.1368683772161603E-13</v>
      </c>
      <c r="CU151" s="18">
        <f>CT151*VLOOKUP('Données projet'!$B$13,Paramètres!$A$1:$I$89,3,0)*VLOOKUP('Données projet'!$B$13,Paramètres!$A$1:$I$89,5,0)</f>
        <v>-6.7984728957526396E-14</v>
      </c>
      <c r="CV151" s="14" t="e">
        <f t="shared" si="149"/>
        <v>#NUM!</v>
      </c>
      <c r="CW151" s="22" t="e">
        <f t="shared" si="121"/>
        <v>#NUM!</v>
      </c>
      <c r="CX151" s="60" t="e">
        <f t="shared" si="122"/>
        <v>#NUM!</v>
      </c>
      <c r="CY151" s="60">
        <f ca="1">AVERAGE(OFFSET($CX$3,0,0,'Données projet'!$E$13+1,1))-AVERAGE(OFFSET($H$3,0,0,'Données projet'!$E$13+1,1))</f>
        <v>232.73140429491525</v>
      </c>
      <c r="CZ151" s="60">
        <f t="shared" si="150"/>
        <v>201.02719152328638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0.30212317070002814</v>
      </c>
      <c r="DH151" s="23">
        <f>EXP(-LN(2)/2)*DH150+(1-EXP(-LN(2)/2))/(LN(2)/2)*DB151*DE151*VLOOKUP('Données projet'!$B$13,Paramètres!$A$1:$I$89,3,0)*0.475*44/12</f>
        <v>5.3409056540627585E-18</v>
      </c>
      <c r="DI151" s="24">
        <f t="shared" si="123"/>
        <v>0.30212317070002814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>
        <f>DO151*VLOOKUP('Données projet'!$B$14,Paramètres!$A$1:$I$89,3,0)*VLOOKUP('Données projet'!$B$14,Paramètres!$A$1:$I$89,5,0)</f>
        <v>0</v>
      </c>
      <c r="DQ151" s="14" t="e">
        <f t="shared" si="151"/>
        <v>#NUM!</v>
      </c>
      <c r="DR151" s="22" t="e">
        <f t="shared" si="124"/>
        <v>#NUM!</v>
      </c>
      <c r="DS151" s="60" t="e">
        <f t="shared" si="125"/>
        <v>#NUM!</v>
      </c>
      <c r="DT151" s="60">
        <f ca="1">AVERAGE(OFFSET($DS$3,0,0,'Données projet'!$E$14+1,1))-AVERAGE(OFFSET($H$3,0,0,'Données projet'!$E$14+1,1))</f>
        <v>302.15577364214136</v>
      </c>
      <c r="DU151" s="60">
        <f t="shared" si="152"/>
        <v>197.15142751137051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-5.1159076974727213E-13</v>
      </c>
      <c r="EK151" s="18">
        <f>EJ151*VLOOKUP('Données projet'!$B$15,Paramètres!$A$1:$I$89,3,0)*VLOOKUP('Données projet'!$B$15,Paramètres!$A$1:$I$89,5,0)</f>
        <v>-5.3471467253984886E-13</v>
      </c>
      <c r="EL151" s="14" t="e">
        <f t="shared" si="153"/>
        <v>#NUM!</v>
      </c>
      <c r="EM151" s="22" t="e">
        <f t="shared" si="127"/>
        <v>#NUM!</v>
      </c>
      <c r="EN151" s="60" t="e">
        <f t="shared" si="128"/>
        <v>#NUM!</v>
      </c>
      <c r="EO151" s="60">
        <f ca="1">AVERAGE(OFFSET($EN$3,0,0,'Données projet'!$E$15+1,1))-AVERAGE(OFFSET($H$3,0,0,'Données projet'!$E$15+1,1))</f>
        <v>493.70175665335978</v>
      </c>
      <c r="EP151" s="60">
        <f t="shared" si="154"/>
        <v>325.12357781685949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0" t="e">
        <f t="shared" si="131"/>
        <v>#N/A</v>
      </c>
      <c r="FJ151" s="60" t="e">
        <f ca="1">AVERAGE(OFFSET($FI$3,0,0,'Données projet'!$E$16+1,1))-AVERAGE(OFFSET($H$3,0,0,'Données projet'!$E$16+1,1))</f>
        <v>#N/A</v>
      </c>
      <c r="FK151" s="60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0" t="e">
        <f t="shared" si="134"/>
        <v>#N/A</v>
      </c>
      <c r="GE151" s="60" t="e">
        <f ca="1">AVERAGE(OFFSET($GD$3,0,0,'Données projet'!$E$17+1,1))-AVERAGE(OFFSET($H$3,0,0,'Données projet'!$E$17+1,1))</f>
        <v>#N/A</v>
      </c>
      <c r="GF151" s="60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5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8">
        <f t="shared" si="110"/>
        <v>256.66666666666669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0">
        <f t="shared" si="109"/>
        <v>293.3333333333353</v>
      </c>
      <c r="S152" s="60">
        <f ca="1">AVERAGE(OFFSET($R$3,0,0,'Données projet'!$E$9+1,1))-AVERAGE(OFFSET($H$3,0,0,'Données projet'!$E$9+1,1))</f>
        <v>260.02504691866199</v>
      </c>
      <c r="T152" s="60">
        <f t="shared" si="142"/>
        <v>270.11268336406368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0.94810954559768168</v>
      </c>
      <c r="AA152" s="23">
        <f>EXP(-LN(2)/25)*AA151+(1-EXP(-LN(2)/25))/(LN(2)/25)*Calculateur!V152*Calculateur!X152*VLOOKUP('Données projet'!$B$9,Paramètres!$A$1:$I$89,3,0)*0.475*44/12</f>
        <v>0.60658873764373866</v>
      </c>
      <c r="AB152" s="23">
        <f>EXP(-LN(2)/2)*AB151+(1-EXP(-LN(2)/2))/(LN(2)/2)*V152*Y152*VLOOKUP('Données projet'!$B$9,Paramètres!$A$1:$I$89,3,0)*0.475*44/12</f>
        <v>7.7768163043317813E-18</v>
      </c>
      <c r="AC152" s="24">
        <f t="shared" si="111"/>
        <v>1.5546982832414202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2.4</v>
      </c>
      <c r="AI152" s="14">
        <f>IF('Données projet'!$A$62&gt;35,AI151+AH152-AQ151,IF(A152&lt;'Données projet'!$A$62,$AF$205^A152,IF(A152='Données projet'!$A$62,'Données projet'!$B$62,AI151+AH152-AQ151)))</f>
        <v>290.59999999999906</v>
      </c>
      <c r="AJ152" s="14">
        <f>AI152*VLOOKUP('Données projet'!$B$10,Paramètres!$A$1:$I$89,3,0)*VLOOKUP('Données projet'!$B$10,Paramètres!$A$1:$I$89,5,0)</f>
        <v>294.66839999999905</v>
      </c>
      <c r="AK152" s="14">
        <f t="shared" si="143"/>
        <v>70.057591528661362</v>
      </c>
      <c r="AL152" s="22">
        <f t="shared" si="112"/>
        <v>635.23110191241688</v>
      </c>
      <c r="AM152" s="60">
        <f t="shared" si="113"/>
        <v>928.56443524575025</v>
      </c>
      <c r="AN152" s="60">
        <f ca="1">AVERAGE(OFFSET($AM$3,0,0,'Données projet'!$E$10+1,1))-AVERAGE(OFFSET($H$3,0,0,'Données projet'!$E$10+1,1))</f>
        <v>475.47920969424894</v>
      </c>
      <c r="AO152" s="60">
        <f t="shared" si="144"/>
        <v>271.73544012419364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1.4</v>
      </c>
      <c r="BD152" s="13">
        <f>IF('Données projet'!$A$88&gt;35,BD151+BC152-BL151,IF(A152&lt;'Données projet'!$A$88,$BA$205^A152,IF(A152='Données projet'!$A$88,'Données projet'!$B$88,BD151+BC152-BL151)))</f>
        <v>222.59999999999985</v>
      </c>
      <c r="BE152" s="14">
        <f>BD152*VLOOKUP('Données projet'!$B$11,Paramètres!$A$1:$I$89,3,0)*VLOOKUP('Données projet'!$B$11,Paramètres!$A$1:$I$89,5,0)</f>
        <v>201.40847999999988</v>
      </c>
      <c r="BF152" s="14">
        <f t="shared" si="145"/>
        <v>50.053582459229212</v>
      </c>
      <c r="BG152" s="22">
        <f t="shared" si="115"/>
        <v>437.9630921164906</v>
      </c>
      <c r="BH152" s="60">
        <f t="shared" si="116"/>
        <v>731.29642544982391</v>
      </c>
      <c r="BI152" s="60">
        <f ca="1">AVERAGE(OFFSET($BH$3,0,0,'Données projet'!$E$11+1,1))-AVERAGE(OFFSET($H$3,0,0,'Données projet'!$E$11+1,1))</f>
        <v>325.2649384779973</v>
      </c>
      <c r="BJ152" s="60">
        <f t="shared" si="146"/>
        <v>146.70159365068315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1.0231815394945443E-12</v>
      </c>
      <c r="BZ152" s="14">
        <f>BY152*VLOOKUP('Données projet'!$B$12,Paramètres!$A$1:$I$89,3,0)*VLOOKUP('Données projet'!$B$12,Paramètres!$A$1:$I$89,5,0)</f>
        <v>4.5224624045658859E-13</v>
      </c>
      <c r="CA152" s="14">
        <f t="shared" si="147"/>
        <v>5.6995607121061449E-12</v>
      </c>
      <c r="CB152" s="22">
        <f t="shared" si="118"/>
        <v>1.0714397109046761E-11</v>
      </c>
      <c r="CC152" s="60">
        <f t="shared" si="119"/>
        <v>293.333333333344</v>
      </c>
      <c r="CD152" s="60">
        <f ca="1">AVERAGE(OFFSET($CC$3,0,0,'Données projet'!$E$12+1,1))-AVERAGE(OFFSET($H$3,0,0,'Données projet'!$E$12+1,1))</f>
        <v>401.84375324751227</v>
      </c>
      <c r="CE152" s="60">
        <f t="shared" si="148"/>
        <v>350.39368043404164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0.30755255039262586</v>
      </c>
      <c r="CM152" s="23">
        <f>EXP(-LN(2)/2)*CM151+(1-EXP(-LN(2)/2))/(LN(2)/2)*CG152*CJ152*VLOOKUP('Données projet'!$B$12,Paramètres!$A$1:$I$89,3,0)*0.475*44/12</f>
        <v>1.7091439243121741E-18</v>
      </c>
      <c r="CN152" s="24">
        <f t="shared" si="120"/>
        <v>0.30755255039262586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-1.1368683772161603E-13</v>
      </c>
      <c r="CU152" s="18">
        <f>CT152*VLOOKUP('Données projet'!$B$13,Paramètres!$A$1:$I$89,3,0)*VLOOKUP('Données projet'!$B$13,Paramètres!$A$1:$I$89,5,0)</f>
        <v>-6.7984728957526396E-14</v>
      </c>
      <c r="CV152" s="14" t="e">
        <f t="shared" si="149"/>
        <v>#NUM!</v>
      </c>
      <c r="CW152" s="22" t="e">
        <f t="shared" si="121"/>
        <v>#NUM!</v>
      </c>
      <c r="CX152" s="60" t="e">
        <f t="shared" si="122"/>
        <v>#NUM!</v>
      </c>
      <c r="CY152" s="60">
        <f ca="1">AVERAGE(OFFSET($CX$3,0,0,'Données projet'!$E$13+1,1))-AVERAGE(OFFSET($H$3,0,0,'Données projet'!$E$13+1,1))</f>
        <v>232.73140429491525</v>
      </c>
      <c r="CZ152" s="60">
        <f t="shared" si="150"/>
        <v>201.02719152328638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0.29386159670926881</v>
      </c>
      <c r="DH152" s="23">
        <f>EXP(-LN(2)/2)*DH151+(1-EXP(-LN(2)/2))/(LN(2)/2)*DB152*DE152*VLOOKUP('Données projet'!$B$13,Paramètres!$A$1:$I$89,3,0)*0.475*44/12</f>
        <v>3.7765906056653495E-18</v>
      </c>
      <c r="DI152" s="24">
        <f t="shared" si="123"/>
        <v>0.29386159670926881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>
        <f>DO152*VLOOKUP('Données projet'!$B$14,Paramètres!$A$1:$I$89,3,0)*VLOOKUP('Données projet'!$B$14,Paramètres!$A$1:$I$89,5,0)</f>
        <v>0</v>
      </c>
      <c r="DQ152" s="14" t="e">
        <f t="shared" si="151"/>
        <v>#NUM!</v>
      </c>
      <c r="DR152" s="22" t="e">
        <f t="shared" si="124"/>
        <v>#NUM!</v>
      </c>
      <c r="DS152" s="60" t="e">
        <f t="shared" si="125"/>
        <v>#NUM!</v>
      </c>
      <c r="DT152" s="60">
        <f ca="1">AVERAGE(OFFSET($DS$3,0,0,'Données projet'!$E$14+1,1))-AVERAGE(OFFSET($H$3,0,0,'Données projet'!$E$14+1,1))</f>
        <v>302.15577364214136</v>
      </c>
      <c r="DU152" s="60">
        <f t="shared" si="152"/>
        <v>197.15142751137051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-5.1159076974727213E-13</v>
      </c>
      <c r="EK152" s="18">
        <f>EJ152*VLOOKUP('Données projet'!$B$15,Paramètres!$A$1:$I$89,3,0)*VLOOKUP('Données projet'!$B$15,Paramètres!$A$1:$I$89,5,0)</f>
        <v>-5.3471467253984886E-13</v>
      </c>
      <c r="EL152" s="14" t="e">
        <f t="shared" si="153"/>
        <v>#NUM!</v>
      </c>
      <c r="EM152" s="22" t="e">
        <f t="shared" si="127"/>
        <v>#NUM!</v>
      </c>
      <c r="EN152" s="60" t="e">
        <f t="shared" si="128"/>
        <v>#NUM!</v>
      </c>
      <c r="EO152" s="60">
        <f ca="1">AVERAGE(OFFSET($EN$3,0,0,'Données projet'!$E$15+1,1))-AVERAGE(OFFSET($H$3,0,0,'Données projet'!$E$15+1,1))</f>
        <v>493.70175665335978</v>
      </c>
      <c r="EP152" s="60">
        <f t="shared" si="154"/>
        <v>325.12357781685949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0" t="e">
        <f t="shared" si="131"/>
        <v>#N/A</v>
      </c>
      <c r="FJ152" s="60" t="e">
        <f ca="1">AVERAGE(OFFSET($FI$3,0,0,'Données projet'!$E$16+1,1))-AVERAGE(OFFSET($H$3,0,0,'Données projet'!$E$16+1,1))</f>
        <v>#N/A</v>
      </c>
      <c r="FK152" s="60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0" t="e">
        <f t="shared" si="134"/>
        <v>#N/A</v>
      </c>
      <c r="GE152" s="60" t="e">
        <f ca="1">AVERAGE(OFFSET($GD$3,0,0,'Données projet'!$E$17+1,1))-AVERAGE(OFFSET($H$3,0,0,'Données projet'!$E$17+1,1))</f>
        <v>#N/A</v>
      </c>
      <c r="GF152" s="60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5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8">
        <f t="shared" si="110"/>
        <v>256.66666666666669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0">
        <f t="shared" si="109"/>
        <v>293.3333333333353</v>
      </c>
      <c r="S153" s="60">
        <f ca="1">AVERAGE(OFFSET($R$3,0,0,'Données projet'!$E$9+1,1))-AVERAGE(OFFSET($H$3,0,0,'Données projet'!$E$9+1,1))</f>
        <v>260.02504691866199</v>
      </c>
      <c r="T153" s="60">
        <f t="shared" si="142"/>
        <v>270.11268336406368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0.92951769569823262</v>
      </c>
      <c r="AA153" s="23">
        <f>EXP(-LN(2)/25)*AA152+(1-EXP(-LN(2)/25))/(LN(2)/25)*Calculateur!V153*Calculateur!X153*VLOOKUP('Données projet'!$B$9,Paramètres!$A$1:$I$89,3,0)*0.475*44/12</f>
        <v>0.59000153671375533</v>
      </c>
      <c r="AB153" s="23">
        <f>EXP(-LN(2)/2)*AB152+(1-EXP(-LN(2)/2))/(LN(2)/2)*V153*Y153*VLOOKUP('Données projet'!$B$9,Paramètres!$A$1:$I$89,3,0)*0.475*44/12</f>
        <v>5.4990395448351081E-18</v>
      </c>
      <c r="AC153" s="24">
        <f t="shared" si="111"/>
        <v>1.5195192324119879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293</v>
      </c>
      <c r="AG153" s="13">
        <f>VLOOKUP(A153,'Données projet'!$A$61:$I$81,9,0)</f>
        <v>2.4</v>
      </c>
      <c r="AH153" s="13">
        <f t="array" ref="AH153">INDEX(AG:AG,MIN(IF(ISNUMBER(AG153:AG349),ROW(AG153:AG349),"")))</f>
        <v>2.4</v>
      </c>
      <c r="AI153" s="14">
        <f>IF('Données projet'!$A$62&gt;35,AI152+AH153-AQ152,IF(A153&lt;'Données projet'!$A$62,$AF$205^A153,IF(A153='Données projet'!$A$62,'Données projet'!$B$62,AI152+AH153-AQ152)))</f>
        <v>292.99999999999903</v>
      </c>
      <c r="AJ153" s="14">
        <f>AI153*VLOOKUP('Données projet'!$B$10,Paramètres!$A$1:$I$89,3,0)*VLOOKUP('Données projet'!$B$10,Paramètres!$A$1:$I$89,5,0)</f>
        <v>297.10199999999907</v>
      </c>
      <c r="AK153" s="14">
        <f t="shared" si="143"/>
        <v>70.568588566272624</v>
      </c>
      <c r="AL153" s="22">
        <f t="shared" si="112"/>
        <v>640.3596084195899</v>
      </c>
      <c r="AM153" s="60">
        <f t="shared" si="113"/>
        <v>933.69294175292316</v>
      </c>
      <c r="AN153" s="60">
        <f ca="1">AVERAGE(OFFSET($AM$3,0,0,'Données projet'!$E$10+1,1))-AVERAGE(OFFSET($H$3,0,0,'Données projet'!$E$10+1,1))</f>
        <v>475.47920969424894</v>
      </c>
      <c r="AO153" s="60">
        <f t="shared" si="144"/>
        <v>271.73544012419364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293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224</v>
      </c>
      <c r="BB153" s="13">
        <f>VLOOKUP(A153,'Données projet'!$A$87:$I$107,9,0)</f>
        <v>1.4</v>
      </c>
      <c r="BC153" s="13">
        <f t="array" ref="BC153">INDEX(BB:BB,MIN(IF(ISNUMBER(BB153:BB349),ROW(BB153:BB349),"")))</f>
        <v>1.4</v>
      </c>
      <c r="BD153" s="13">
        <f>IF('Données projet'!$A$88&gt;35,BD152+BC153-BL152,IF(A153&lt;'Données projet'!$A$88,$BA$205^A153,IF(A153='Données projet'!$A$88,'Données projet'!$B$88,BD152+BC153-BL152)))</f>
        <v>223.99999999999986</v>
      </c>
      <c r="BE153" s="14">
        <f>BD153*VLOOKUP('Données projet'!$B$11,Paramètres!$A$1:$I$89,3,0)*VLOOKUP('Données projet'!$B$11,Paramètres!$A$1:$I$89,5,0)</f>
        <v>202.67519999999985</v>
      </c>
      <c r="BF153" s="14">
        <f t="shared" si="145"/>
        <v>50.33164028531364</v>
      </c>
      <c r="BG153" s="22">
        <f t="shared" si="115"/>
        <v>440.65358016358772</v>
      </c>
      <c r="BH153" s="60">
        <f t="shared" si="116"/>
        <v>733.98691349692103</v>
      </c>
      <c r="BI153" s="60">
        <f ca="1">AVERAGE(OFFSET($BH$3,0,0,'Données projet'!$E$11+1,1))-AVERAGE(OFFSET($H$3,0,0,'Données projet'!$E$11+1,1))</f>
        <v>325.2649384779973</v>
      </c>
      <c r="BJ153" s="60">
        <f t="shared" si="146"/>
        <v>146.70159365068315</v>
      </c>
      <c r="BK153" s="16">
        <f>IF(ISNA(VLOOKUP(A153,'Données projet'!$A$87:$I$107,3,0)),0,VLOOKUP(A153,'Données projet'!$A$87:$I$107,3,0))</f>
        <v>13</v>
      </c>
      <c r="BL153" s="16">
        <f>IF(ISNA(VLOOKUP(A153,'Données projet'!$A$87:$I$107,4,0)),0,VLOOKUP(A153,'Données projet'!$A$87:$I$107,4,0))</f>
        <v>224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1.0231815394945443E-12</v>
      </c>
      <c r="BZ153" s="14">
        <f>BY153*VLOOKUP('Données projet'!$B$12,Paramètres!$A$1:$I$89,3,0)*VLOOKUP('Données projet'!$B$12,Paramètres!$A$1:$I$89,5,0)</f>
        <v>4.5224624045658859E-13</v>
      </c>
      <c r="CA153" s="14">
        <f t="shared" si="147"/>
        <v>5.6995607121061449E-12</v>
      </c>
      <c r="CB153" s="22">
        <f t="shared" si="118"/>
        <v>1.0714397109046761E-11</v>
      </c>
      <c r="CC153" s="60">
        <f t="shared" si="119"/>
        <v>293.333333333344</v>
      </c>
      <c r="CD153" s="60">
        <f ca="1">AVERAGE(OFFSET($CC$3,0,0,'Données projet'!$E$12+1,1))-AVERAGE(OFFSET($H$3,0,0,'Données projet'!$E$12+1,1))</f>
        <v>401.84375324751227</v>
      </c>
      <c r="CE153" s="60">
        <f t="shared" si="148"/>
        <v>350.39368043404164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0.2991425097286538</v>
      </c>
      <c r="CM153" s="23">
        <f>EXP(-LN(2)/2)*CM152+(1-EXP(-LN(2)/2))/(LN(2)/2)*CG153*CJ153*VLOOKUP('Données projet'!$B$12,Paramètres!$A$1:$I$89,3,0)*0.475*44/12</f>
        <v>1.2085472589049258E-18</v>
      </c>
      <c r="CN153" s="24">
        <f t="shared" si="120"/>
        <v>0.2991425097286538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-1.1368683772161603E-13</v>
      </c>
      <c r="CU153" s="18">
        <f>CT153*VLOOKUP('Données projet'!$B$13,Paramètres!$A$1:$I$89,3,0)*VLOOKUP('Données projet'!$B$13,Paramètres!$A$1:$I$89,5,0)</f>
        <v>-6.7984728957526396E-14</v>
      </c>
      <c r="CV153" s="14" t="e">
        <f t="shared" si="149"/>
        <v>#NUM!</v>
      </c>
      <c r="CW153" s="22" t="e">
        <f t="shared" si="121"/>
        <v>#NUM!</v>
      </c>
      <c r="CX153" s="60" t="e">
        <f t="shared" si="122"/>
        <v>#NUM!</v>
      </c>
      <c r="CY153" s="60">
        <f ca="1">AVERAGE(OFFSET($CX$3,0,0,'Données projet'!$E$13+1,1))-AVERAGE(OFFSET($H$3,0,0,'Données projet'!$E$13+1,1))</f>
        <v>232.73140429491525</v>
      </c>
      <c r="CZ153" s="60">
        <f t="shared" si="150"/>
        <v>201.02719152328638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0.28582593589374411</v>
      </c>
      <c r="DH153" s="23">
        <f>EXP(-LN(2)/2)*DH152+(1-EXP(-LN(2)/2))/(LN(2)/2)*DB153*DE153*VLOOKUP('Données projet'!$B$13,Paramètres!$A$1:$I$89,3,0)*0.475*44/12</f>
        <v>2.6704528270313793E-18</v>
      </c>
      <c r="DI153" s="24">
        <f t="shared" si="123"/>
        <v>0.28582593589374411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>
        <f>DO153*VLOOKUP('Données projet'!$B$14,Paramètres!$A$1:$I$89,3,0)*VLOOKUP('Données projet'!$B$14,Paramètres!$A$1:$I$89,5,0)</f>
        <v>0</v>
      </c>
      <c r="DQ153" s="14" t="e">
        <f t="shared" si="151"/>
        <v>#NUM!</v>
      </c>
      <c r="DR153" s="22" t="e">
        <f t="shared" si="124"/>
        <v>#NUM!</v>
      </c>
      <c r="DS153" s="60" t="e">
        <f t="shared" si="125"/>
        <v>#NUM!</v>
      </c>
      <c r="DT153" s="60">
        <f ca="1">AVERAGE(OFFSET($DS$3,0,0,'Données projet'!$E$14+1,1))-AVERAGE(OFFSET($H$3,0,0,'Données projet'!$E$14+1,1))</f>
        <v>302.15577364214136</v>
      </c>
      <c r="DU153" s="60">
        <f t="shared" si="152"/>
        <v>197.15142751137051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-5.1159076974727213E-13</v>
      </c>
      <c r="EK153" s="18">
        <f>EJ153*VLOOKUP('Données projet'!$B$15,Paramètres!$A$1:$I$89,3,0)*VLOOKUP('Données projet'!$B$15,Paramètres!$A$1:$I$89,5,0)</f>
        <v>-5.3471467253984886E-13</v>
      </c>
      <c r="EL153" s="14" t="e">
        <f t="shared" si="153"/>
        <v>#NUM!</v>
      </c>
      <c r="EM153" s="22" t="e">
        <f t="shared" si="127"/>
        <v>#NUM!</v>
      </c>
      <c r="EN153" s="60" t="e">
        <f t="shared" si="128"/>
        <v>#NUM!</v>
      </c>
      <c r="EO153" s="60">
        <f ca="1">AVERAGE(OFFSET($EN$3,0,0,'Données projet'!$E$15+1,1))-AVERAGE(OFFSET($H$3,0,0,'Données projet'!$E$15+1,1))</f>
        <v>493.70175665335978</v>
      </c>
      <c r="EP153" s="60">
        <f t="shared" si="154"/>
        <v>325.12357781685949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0" t="e">
        <f t="shared" si="131"/>
        <v>#N/A</v>
      </c>
      <c r="FJ153" s="60" t="e">
        <f ca="1">AVERAGE(OFFSET($FI$3,0,0,'Données projet'!$E$16+1,1))-AVERAGE(OFFSET($H$3,0,0,'Données projet'!$E$16+1,1))</f>
        <v>#N/A</v>
      </c>
      <c r="FK153" s="60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0" t="e">
        <f t="shared" si="134"/>
        <v>#N/A</v>
      </c>
      <c r="GE153" s="60" t="e">
        <f ca="1">AVERAGE(OFFSET($GD$3,0,0,'Données projet'!$E$17+1,1))-AVERAGE(OFFSET($H$3,0,0,'Données projet'!$E$17+1,1))</f>
        <v>#N/A</v>
      </c>
      <c r="GF153" s="60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5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8">
        <f t="shared" si="110"/>
        <v>256.66666666666669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0">
        <f t="shared" si="109"/>
        <v>293.3333333333353</v>
      </c>
      <c r="S154" s="60">
        <f ca="1">AVERAGE(OFFSET($R$3,0,0,'Données projet'!$E$9+1,1))-AVERAGE(OFFSET($H$3,0,0,'Données projet'!$E$9+1,1))</f>
        <v>260.02504691866199</v>
      </c>
      <c r="T154" s="60">
        <f t="shared" si="142"/>
        <v>270.11268336406368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0.911290420635403</v>
      </c>
      <c r="AA154" s="23">
        <f>EXP(-LN(2)/25)*AA153+(1-EXP(-LN(2)/25))/(LN(2)/25)*Calculateur!V154*Calculateur!X154*VLOOKUP('Données projet'!$B$9,Paramètres!$A$1:$I$89,3,0)*0.475*44/12</f>
        <v>0.57386791366548529</v>
      </c>
      <c r="AB154" s="23">
        <f>EXP(-LN(2)/2)*AB153+(1-EXP(-LN(2)/2))/(LN(2)/2)*V154*Y154*VLOOKUP('Données projet'!$B$9,Paramètres!$A$1:$I$89,3,0)*0.475*44/12</f>
        <v>3.8884081521658906E-18</v>
      </c>
      <c r="AC154" s="24">
        <f t="shared" ref="AC154:AC203" si="163">SUM(Z154:AB154)</f>
        <v>1.4851583343008883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-9.6633812063373625E-13</v>
      </c>
      <c r="AJ154" s="14">
        <f>AI154*VLOOKUP('Données projet'!$B$10,Paramètres!$A$1:$I$89,3,0)*VLOOKUP('Données projet'!$B$10,Paramètres!$A$1:$I$89,5,0)</f>
        <v>-9.7986685432260874E-13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0" t="e">
        <f t="shared" si="113"/>
        <v>#NUM!</v>
      </c>
      <c r="AN154" s="60">
        <f ca="1">AVERAGE(OFFSET($AM$3,0,0,'Données projet'!$E$10+1,1))-AVERAGE(OFFSET($H$3,0,0,'Données projet'!$E$10+1,1))</f>
        <v>475.47920969424894</v>
      </c>
      <c r="AO154" s="60">
        <f t="shared" si="144"/>
        <v>271.73544012419364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-1.4210854715202004E-13</v>
      </c>
      <c r="BE154" s="14">
        <f>BD154*VLOOKUP('Données projet'!$B$11,Paramètres!$A$1:$I$89,3,0)*VLOOKUP('Données projet'!$B$11,Paramètres!$A$1:$I$89,5,0)</f>
        <v>-1.2857981346314773E-13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325.2649384779973</v>
      </c>
      <c r="BJ154" s="60">
        <f t="shared" si="146"/>
        <v>146.70159365068315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1.0231815394945443E-12</v>
      </c>
      <c r="BZ154" s="14">
        <f>BY154*VLOOKUP('Données projet'!$B$12,Paramètres!$A$1:$I$89,3,0)*VLOOKUP('Données projet'!$B$12,Paramètres!$A$1:$I$89,5,0)</f>
        <v>4.5224624045658859E-13</v>
      </c>
      <c r="CA154" s="14">
        <f t="shared" ref="CA154:CA203" si="170">EXP(-1.0587+0.8836*LN(BZ154)+0.284)</f>
        <v>5.6995607121061449E-12</v>
      </c>
      <c r="CB154" s="22">
        <f t="shared" ref="CB154:CB203" si="171">(BZ154+CA154)*0.475*44/12</f>
        <v>1.0714397109046761E-11</v>
      </c>
      <c r="CC154" s="60">
        <f t="shared" si="119"/>
        <v>293.333333333344</v>
      </c>
      <c r="CD154" s="60">
        <f ca="1">AVERAGE(OFFSET($CC$3,0,0,'Données projet'!$E$12+1,1))-AVERAGE(OFFSET($H$3,0,0,'Données projet'!$E$12+1,1))</f>
        <v>401.84375324751227</v>
      </c>
      <c r="CE154" s="60">
        <f t="shared" si="148"/>
        <v>350.39368043404164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0.29096244206890287</v>
      </c>
      <c r="CM154" s="23">
        <f>EXP(-LN(2)/2)*CM153+(1-EXP(-LN(2)/2))/(LN(2)/2)*CG154*CJ154*VLOOKUP('Données projet'!$B$12,Paramètres!$A$1:$I$89,3,0)*0.475*44/12</f>
        <v>8.5457196215608717E-19</v>
      </c>
      <c r="CN154" s="24">
        <f t="shared" ref="CN154:CN203" si="172">SUM(CK154:CM154)</f>
        <v>0.29096244206890287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-1.1368683772161603E-13</v>
      </c>
      <c r="CU154" s="18">
        <f>CT154*VLOOKUP('Données projet'!$B$13,Paramètres!$A$1:$I$89,3,0)*VLOOKUP('Données projet'!$B$13,Paramètres!$A$1:$I$89,5,0)</f>
        <v>-6.7984728957526396E-14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0" t="e">
        <f t="shared" si="122"/>
        <v>#NUM!</v>
      </c>
      <c r="CY154" s="60">
        <f ca="1">AVERAGE(OFFSET($CX$3,0,0,'Données projet'!$E$13+1,1))-AVERAGE(OFFSET($H$3,0,0,'Données projet'!$E$13+1,1))</f>
        <v>232.73140429491525</v>
      </c>
      <c r="CZ154" s="60">
        <f t="shared" si="150"/>
        <v>201.02719152328638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0.27801001064579695</v>
      </c>
      <c r="DH154" s="23">
        <f>EXP(-LN(2)/2)*DH153+(1-EXP(-LN(2)/2))/(LN(2)/2)*DB154*DE154*VLOOKUP('Données projet'!$B$13,Paramètres!$A$1:$I$89,3,0)*0.475*44/12</f>
        <v>1.8882953028326747E-18</v>
      </c>
      <c r="DI154" s="24">
        <f t="shared" ref="DI154:DI203" si="175">SUM(DF154:DH154)</f>
        <v>0.27801001064579695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>
        <f>DO154*VLOOKUP('Données projet'!$B$14,Paramètres!$A$1:$I$89,3,0)*VLOOKUP('Données projet'!$B$14,Paramètres!$A$1:$I$89,5,0)</f>
        <v>0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0" t="e">
        <f t="shared" si="125"/>
        <v>#NUM!</v>
      </c>
      <c r="DT154" s="60">
        <f ca="1">AVERAGE(OFFSET($DS$3,0,0,'Données projet'!$E$14+1,1))-AVERAGE(OFFSET($H$3,0,0,'Données projet'!$E$14+1,1))</f>
        <v>302.15577364214136</v>
      </c>
      <c r="DU154" s="60">
        <f t="shared" si="152"/>
        <v>197.15142751137051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-5.1159076974727213E-13</v>
      </c>
      <c r="EK154" s="18">
        <f>EJ154*VLOOKUP('Données projet'!$B$15,Paramètres!$A$1:$I$89,3,0)*VLOOKUP('Données projet'!$B$15,Paramètres!$A$1:$I$89,5,0)</f>
        <v>-5.3471467253984886E-13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0" t="e">
        <f t="shared" si="128"/>
        <v>#NUM!</v>
      </c>
      <c r="EO154" s="60">
        <f ca="1">AVERAGE(OFFSET($EN$3,0,0,'Données projet'!$E$15+1,1))-AVERAGE(OFFSET($H$3,0,0,'Données projet'!$E$15+1,1))</f>
        <v>493.70175665335978</v>
      </c>
      <c r="EP154" s="60">
        <f t="shared" si="154"/>
        <v>325.12357781685949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0" t="e">
        <f t="shared" si="131"/>
        <v>#N/A</v>
      </c>
      <c r="FJ154" s="60" t="e">
        <f ca="1">AVERAGE(OFFSET($FI$3,0,0,'Données projet'!$E$16+1,1))-AVERAGE(OFFSET($H$3,0,0,'Données projet'!$E$16+1,1))</f>
        <v>#N/A</v>
      </c>
      <c r="FK154" s="60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0" t="e">
        <f t="shared" si="134"/>
        <v>#N/A</v>
      </c>
      <c r="GE154" s="60" t="e">
        <f ca="1">AVERAGE(OFFSET($GD$3,0,0,'Données projet'!$E$17+1,1))-AVERAGE(OFFSET($H$3,0,0,'Données projet'!$E$17+1,1))</f>
        <v>#N/A</v>
      </c>
      <c r="GF154" s="60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5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8">
        <f t="shared" si="110"/>
        <v>256.66666666666669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0">
        <f t="shared" si="109"/>
        <v>293.3333333333353</v>
      </c>
      <c r="S155" s="60">
        <f ca="1">AVERAGE(OFFSET($R$3,0,0,'Données projet'!$E$9+1,1))-AVERAGE(OFFSET($H$3,0,0,'Données projet'!$E$9+1,1))</f>
        <v>260.02504691866199</v>
      </c>
      <c r="T155" s="60">
        <f t="shared" si="142"/>
        <v>270.11268336406368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0.89342057131901542</v>
      </c>
      <c r="AA155" s="23">
        <f>EXP(-LN(2)/25)*AA154+(1-EXP(-LN(2)/25))/(LN(2)/25)*Calculateur!V155*Calculateur!X155*VLOOKUP('Données projet'!$B$9,Paramètres!$A$1:$I$89,3,0)*0.475*44/12</f>
        <v>0.55817546538790064</v>
      </c>
      <c r="AB155" s="23">
        <f>EXP(-LN(2)/2)*AB154+(1-EXP(-LN(2)/2))/(LN(2)/2)*V155*Y155*VLOOKUP('Données projet'!$B$9,Paramètres!$A$1:$I$89,3,0)*0.475*44/12</f>
        <v>2.749519772417554E-18</v>
      </c>
      <c r="AC155" s="24">
        <f t="shared" si="163"/>
        <v>1.4515960367069161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-9.6633812063373625E-13</v>
      </c>
      <c r="AJ155" s="14">
        <f>AI155*VLOOKUP('Données projet'!$B$10,Paramètres!$A$1:$I$89,3,0)*VLOOKUP('Données projet'!$B$10,Paramètres!$A$1:$I$89,5,0)</f>
        <v>-9.7986685432260874E-13</v>
      </c>
      <c r="AK155" s="14" t="e">
        <f t="shared" si="164"/>
        <v>#NUM!</v>
      </c>
      <c r="AL155" s="22" t="e">
        <f t="shared" si="165"/>
        <v>#NUM!</v>
      </c>
      <c r="AM155" s="60" t="e">
        <f t="shared" si="113"/>
        <v>#NUM!</v>
      </c>
      <c r="AN155" s="60">
        <f ca="1">AVERAGE(OFFSET($AM$3,0,0,'Données projet'!$E$10+1,1))-AVERAGE(OFFSET($H$3,0,0,'Données projet'!$E$10+1,1))</f>
        <v>475.47920969424894</v>
      </c>
      <c r="AO155" s="60">
        <f t="shared" si="144"/>
        <v>271.73544012419364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-1.4210854715202004E-13</v>
      </c>
      <c r="BE155" s="14">
        <f>BD155*VLOOKUP('Données projet'!$B$11,Paramètres!$A$1:$I$89,3,0)*VLOOKUP('Données projet'!$B$11,Paramètres!$A$1:$I$89,5,0)</f>
        <v>-1.2857981346314773E-13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325.2649384779973</v>
      </c>
      <c r="BJ155" s="60">
        <f t="shared" si="146"/>
        <v>146.70159365068315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1.0231815394945443E-12</v>
      </c>
      <c r="BZ155" s="14">
        <f>BY155*VLOOKUP('Données projet'!$B$12,Paramètres!$A$1:$I$89,3,0)*VLOOKUP('Données projet'!$B$12,Paramètres!$A$1:$I$89,5,0)</f>
        <v>4.5224624045658859E-13</v>
      </c>
      <c r="CA155" s="14">
        <f t="shared" si="170"/>
        <v>5.6995607121061449E-12</v>
      </c>
      <c r="CB155" s="22">
        <f t="shared" si="171"/>
        <v>1.0714397109046761E-11</v>
      </c>
      <c r="CC155" s="60">
        <f t="shared" si="119"/>
        <v>293.333333333344</v>
      </c>
      <c r="CD155" s="60">
        <f ca="1">AVERAGE(OFFSET($CC$3,0,0,'Données projet'!$E$12+1,1))-AVERAGE(OFFSET($H$3,0,0,'Données projet'!$E$12+1,1))</f>
        <v>401.84375324751227</v>
      </c>
      <c r="CE155" s="60">
        <f t="shared" si="148"/>
        <v>350.39368043404164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0.28300605878947888</v>
      </c>
      <c r="CM155" s="23">
        <f>EXP(-LN(2)/2)*CM154+(1-EXP(-LN(2)/2))/(LN(2)/2)*CG155*CJ155*VLOOKUP('Données projet'!$B$12,Paramètres!$A$1:$I$89,3,0)*0.475*44/12</f>
        <v>6.0427362945246298E-19</v>
      </c>
      <c r="CN155" s="24">
        <f t="shared" si="172"/>
        <v>0.28300605878947888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-1.1368683772161603E-13</v>
      </c>
      <c r="CU155" s="18">
        <f>CT155*VLOOKUP('Données projet'!$B$13,Paramètres!$A$1:$I$89,3,0)*VLOOKUP('Données projet'!$B$13,Paramètres!$A$1:$I$89,5,0)</f>
        <v>-6.7984728957526396E-14</v>
      </c>
      <c r="CV155" s="14" t="e">
        <f t="shared" si="173"/>
        <v>#NUM!</v>
      </c>
      <c r="CW155" s="22" t="e">
        <f t="shared" si="174"/>
        <v>#NUM!</v>
      </c>
      <c r="CX155" s="60" t="e">
        <f t="shared" si="122"/>
        <v>#NUM!</v>
      </c>
      <c r="CY155" s="60">
        <f ca="1">AVERAGE(OFFSET($CX$3,0,0,'Données projet'!$E$13+1,1))-AVERAGE(OFFSET($H$3,0,0,'Données projet'!$E$13+1,1))</f>
        <v>232.73140429491525</v>
      </c>
      <c r="CZ155" s="60">
        <f t="shared" si="150"/>
        <v>201.02719152328638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0.27040781228477656</v>
      </c>
      <c r="DH155" s="23">
        <f>EXP(-LN(2)/2)*DH154+(1-EXP(-LN(2)/2))/(LN(2)/2)*DB155*DE155*VLOOKUP('Données projet'!$B$13,Paramètres!$A$1:$I$89,3,0)*0.475*44/12</f>
        <v>1.3352264135156896E-18</v>
      </c>
      <c r="DI155" s="24">
        <f t="shared" si="175"/>
        <v>0.27040781228477656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>
        <f>DO155*VLOOKUP('Données projet'!$B$14,Paramètres!$A$1:$I$89,3,0)*VLOOKUP('Données projet'!$B$14,Paramètres!$A$1:$I$89,5,0)</f>
        <v>0</v>
      </c>
      <c r="DQ155" s="14" t="e">
        <f t="shared" si="176"/>
        <v>#NUM!</v>
      </c>
      <c r="DR155" s="22" t="e">
        <f t="shared" si="177"/>
        <v>#NUM!</v>
      </c>
      <c r="DS155" s="60" t="e">
        <f t="shared" si="125"/>
        <v>#NUM!</v>
      </c>
      <c r="DT155" s="60">
        <f ca="1">AVERAGE(OFFSET($DS$3,0,0,'Données projet'!$E$14+1,1))-AVERAGE(OFFSET($H$3,0,0,'Données projet'!$E$14+1,1))</f>
        <v>302.15577364214136</v>
      </c>
      <c r="DU155" s="60">
        <f t="shared" si="152"/>
        <v>197.15142751137051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-5.1159076974727213E-13</v>
      </c>
      <c r="EK155" s="18">
        <f>EJ155*VLOOKUP('Données projet'!$B$15,Paramètres!$A$1:$I$89,3,0)*VLOOKUP('Données projet'!$B$15,Paramètres!$A$1:$I$89,5,0)</f>
        <v>-5.3471467253984886E-13</v>
      </c>
      <c r="EL155" s="14" t="e">
        <f t="shared" si="179"/>
        <v>#NUM!</v>
      </c>
      <c r="EM155" s="22" t="e">
        <f t="shared" si="180"/>
        <v>#NUM!</v>
      </c>
      <c r="EN155" s="60" t="e">
        <f t="shared" si="128"/>
        <v>#NUM!</v>
      </c>
      <c r="EO155" s="60">
        <f ca="1">AVERAGE(OFFSET($EN$3,0,0,'Données projet'!$E$15+1,1))-AVERAGE(OFFSET($H$3,0,0,'Données projet'!$E$15+1,1))</f>
        <v>493.70175665335978</v>
      </c>
      <c r="EP155" s="60">
        <f t="shared" si="154"/>
        <v>325.12357781685949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0" t="e">
        <f t="shared" si="131"/>
        <v>#N/A</v>
      </c>
      <c r="FJ155" s="60" t="e">
        <f ca="1">AVERAGE(OFFSET($FI$3,0,0,'Données projet'!$E$16+1,1))-AVERAGE(OFFSET($H$3,0,0,'Données projet'!$E$16+1,1))</f>
        <v>#N/A</v>
      </c>
      <c r="FK155" s="60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0" t="e">
        <f t="shared" si="134"/>
        <v>#N/A</v>
      </c>
      <c r="GE155" s="60" t="e">
        <f ca="1">AVERAGE(OFFSET($GD$3,0,0,'Données projet'!$E$17+1,1))-AVERAGE(OFFSET($H$3,0,0,'Données projet'!$E$17+1,1))</f>
        <v>#N/A</v>
      </c>
      <c r="GF155" s="60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5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8">
        <f t="shared" si="110"/>
        <v>256.66666666666669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0">
        <f t="shared" si="109"/>
        <v>293.3333333333353</v>
      </c>
      <c r="S156" s="60">
        <f ca="1">AVERAGE(OFFSET($R$3,0,0,'Données projet'!$E$9+1,1))-AVERAGE(OFFSET($H$3,0,0,'Données projet'!$E$9+1,1))</f>
        <v>260.02504691866199</v>
      </c>
      <c r="T156" s="60">
        <f t="shared" si="142"/>
        <v>270.11268336406368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0.87590113884819043</v>
      </c>
      <c r="AA156" s="23">
        <f>EXP(-LN(2)/25)*AA155+(1-EXP(-LN(2)/25))/(LN(2)/25)*Calculateur!V156*Calculateur!X156*VLOOKUP('Données projet'!$B$9,Paramètres!$A$1:$I$89,3,0)*0.475*44/12</f>
        <v>0.54291212793369648</v>
      </c>
      <c r="AB156" s="23">
        <f>EXP(-LN(2)/2)*AB155+(1-EXP(-LN(2)/2))/(LN(2)/2)*V156*Y156*VLOOKUP('Données projet'!$B$9,Paramètres!$A$1:$I$89,3,0)*0.475*44/12</f>
        <v>1.9442040760829453E-18</v>
      </c>
      <c r="AC156" s="24">
        <f t="shared" si="163"/>
        <v>1.4188132667818869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-9.6633812063373625E-13</v>
      </c>
      <c r="AJ156" s="14">
        <f>AI156*VLOOKUP('Données projet'!$B$10,Paramètres!$A$1:$I$89,3,0)*VLOOKUP('Données projet'!$B$10,Paramètres!$A$1:$I$89,5,0)</f>
        <v>-9.7986685432260874E-13</v>
      </c>
      <c r="AK156" s="14" t="e">
        <f t="shared" si="164"/>
        <v>#NUM!</v>
      </c>
      <c r="AL156" s="22" t="e">
        <f t="shared" si="165"/>
        <v>#NUM!</v>
      </c>
      <c r="AM156" s="60" t="e">
        <f t="shared" si="113"/>
        <v>#NUM!</v>
      </c>
      <c r="AN156" s="60">
        <f ca="1">AVERAGE(OFFSET($AM$3,0,0,'Données projet'!$E$10+1,1))-AVERAGE(OFFSET($H$3,0,0,'Données projet'!$E$10+1,1))</f>
        <v>475.47920969424894</v>
      </c>
      <c r="AO156" s="60">
        <f t="shared" si="144"/>
        <v>271.73544012419364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-1.4210854715202004E-13</v>
      </c>
      <c r="BE156" s="14">
        <f>BD156*VLOOKUP('Données projet'!$B$11,Paramètres!$A$1:$I$89,3,0)*VLOOKUP('Données projet'!$B$11,Paramètres!$A$1:$I$89,5,0)</f>
        <v>-1.2857981346314773E-13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325.2649384779973</v>
      </c>
      <c r="BJ156" s="60">
        <f t="shared" si="146"/>
        <v>146.70159365068315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1.0231815394945443E-12</v>
      </c>
      <c r="BZ156" s="14">
        <f>BY156*VLOOKUP('Données projet'!$B$12,Paramètres!$A$1:$I$89,3,0)*VLOOKUP('Données projet'!$B$12,Paramètres!$A$1:$I$89,5,0)</f>
        <v>4.5224624045658859E-13</v>
      </c>
      <c r="CA156" s="14">
        <f t="shared" si="170"/>
        <v>5.6995607121061449E-12</v>
      </c>
      <c r="CB156" s="22">
        <f t="shared" si="171"/>
        <v>1.0714397109046761E-11</v>
      </c>
      <c r="CC156" s="60">
        <f t="shared" si="119"/>
        <v>293.333333333344</v>
      </c>
      <c r="CD156" s="60">
        <f ca="1">AVERAGE(OFFSET($CC$3,0,0,'Données projet'!$E$12+1,1))-AVERAGE(OFFSET($H$3,0,0,'Données projet'!$E$12+1,1))</f>
        <v>401.84375324751227</v>
      </c>
      <c r="CE156" s="60">
        <f t="shared" si="148"/>
        <v>350.39368043404164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0.27526724322923879</v>
      </c>
      <c r="CM156" s="23">
        <f>EXP(-LN(2)/2)*CM155+(1-EXP(-LN(2)/2))/(LN(2)/2)*CG156*CJ156*VLOOKUP('Données projet'!$B$12,Paramètres!$A$1:$I$89,3,0)*0.475*44/12</f>
        <v>4.2728598107804368E-19</v>
      </c>
      <c r="CN156" s="24">
        <f t="shared" si="172"/>
        <v>0.27526724322923879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-1.1368683772161603E-13</v>
      </c>
      <c r="CU156" s="18">
        <f>CT156*VLOOKUP('Données projet'!$B$13,Paramètres!$A$1:$I$89,3,0)*VLOOKUP('Données projet'!$B$13,Paramètres!$A$1:$I$89,5,0)</f>
        <v>-6.7984728957526396E-14</v>
      </c>
      <c r="CV156" s="14" t="e">
        <f t="shared" si="173"/>
        <v>#NUM!</v>
      </c>
      <c r="CW156" s="22" t="e">
        <f t="shared" si="174"/>
        <v>#NUM!</v>
      </c>
      <c r="CX156" s="60" t="e">
        <f t="shared" si="122"/>
        <v>#NUM!</v>
      </c>
      <c r="CY156" s="60">
        <f ca="1">AVERAGE(OFFSET($CX$3,0,0,'Données projet'!$E$13+1,1))-AVERAGE(OFFSET($H$3,0,0,'Données projet'!$E$13+1,1))</f>
        <v>232.73140429491525</v>
      </c>
      <c r="CZ156" s="60">
        <f t="shared" si="150"/>
        <v>201.02719152328638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0.26301349643772054</v>
      </c>
      <c r="DH156" s="23">
        <f>EXP(-LN(2)/2)*DH155+(1-EXP(-LN(2)/2))/(LN(2)/2)*DB156*DE156*VLOOKUP('Données projet'!$B$13,Paramètres!$A$1:$I$89,3,0)*0.475*44/12</f>
        <v>9.4414765141633737E-19</v>
      </c>
      <c r="DI156" s="24">
        <f t="shared" si="175"/>
        <v>0.26301349643772054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>
        <f>DO156*VLOOKUP('Données projet'!$B$14,Paramètres!$A$1:$I$89,3,0)*VLOOKUP('Données projet'!$B$14,Paramètres!$A$1:$I$89,5,0)</f>
        <v>0</v>
      </c>
      <c r="DQ156" s="14" t="e">
        <f t="shared" si="176"/>
        <v>#NUM!</v>
      </c>
      <c r="DR156" s="22" t="e">
        <f t="shared" si="177"/>
        <v>#NUM!</v>
      </c>
      <c r="DS156" s="60" t="e">
        <f t="shared" si="125"/>
        <v>#NUM!</v>
      </c>
      <c r="DT156" s="60">
        <f ca="1">AVERAGE(OFFSET($DS$3,0,0,'Données projet'!$E$14+1,1))-AVERAGE(OFFSET($H$3,0,0,'Données projet'!$E$14+1,1))</f>
        <v>302.15577364214136</v>
      </c>
      <c r="DU156" s="60">
        <f t="shared" si="152"/>
        <v>197.15142751137051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-5.1159076974727213E-13</v>
      </c>
      <c r="EK156" s="18">
        <f>EJ156*VLOOKUP('Données projet'!$B$15,Paramètres!$A$1:$I$89,3,0)*VLOOKUP('Données projet'!$B$15,Paramètres!$A$1:$I$89,5,0)</f>
        <v>-5.3471467253984886E-13</v>
      </c>
      <c r="EL156" s="14" t="e">
        <f t="shared" si="179"/>
        <v>#NUM!</v>
      </c>
      <c r="EM156" s="22" t="e">
        <f t="shared" si="180"/>
        <v>#NUM!</v>
      </c>
      <c r="EN156" s="60" t="e">
        <f t="shared" si="128"/>
        <v>#NUM!</v>
      </c>
      <c r="EO156" s="60">
        <f ca="1">AVERAGE(OFFSET($EN$3,0,0,'Données projet'!$E$15+1,1))-AVERAGE(OFFSET($H$3,0,0,'Données projet'!$E$15+1,1))</f>
        <v>493.70175665335978</v>
      </c>
      <c r="EP156" s="60">
        <f t="shared" si="154"/>
        <v>325.12357781685949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0" t="e">
        <f t="shared" si="131"/>
        <v>#N/A</v>
      </c>
      <c r="FJ156" s="60" t="e">
        <f ca="1">AVERAGE(OFFSET($FI$3,0,0,'Données projet'!$E$16+1,1))-AVERAGE(OFFSET($H$3,0,0,'Données projet'!$E$16+1,1))</f>
        <v>#N/A</v>
      </c>
      <c r="FK156" s="60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0" t="e">
        <f t="shared" si="134"/>
        <v>#N/A</v>
      </c>
      <c r="GE156" s="60" t="e">
        <f ca="1">AVERAGE(OFFSET($GD$3,0,0,'Données projet'!$E$17+1,1))-AVERAGE(OFFSET($H$3,0,0,'Données projet'!$E$17+1,1))</f>
        <v>#N/A</v>
      </c>
      <c r="GF156" s="60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5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8">
        <f t="shared" si="110"/>
        <v>256.66666666666669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0">
        <f t="shared" si="109"/>
        <v>293.3333333333353</v>
      </c>
      <c r="S157" s="60">
        <f ca="1">AVERAGE(OFFSET($R$3,0,0,'Données projet'!$E$9+1,1))-AVERAGE(OFFSET($H$3,0,0,'Données projet'!$E$9+1,1))</f>
        <v>260.02504691866199</v>
      </c>
      <c r="T157" s="60">
        <f t="shared" si="142"/>
        <v>270.11268336406368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0.85872525176231962</v>
      </c>
      <c r="AA157" s="23">
        <f>EXP(-LN(2)/25)*AA156+(1-EXP(-LN(2)/25))/(LN(2)/25)*Calculateur!V157*Calculateur!X157*VLOOKUP('Données projet'!$B$9,Paramètres!$A$1:$I$89,3,0)*0.475*44/12</f>
        <v>0.52806616724484157</v>
      </c>
      <c r="AB157" s="23">
        <f>EXP(-LN(2)/2)*AB156+(1-EXP(-LN(2)/2))/(LN(2)/2)*V157*Y157*VLOOKUP('Données projet'!$B$9,Paramètres!$A$1:$I$89,3,0)*0.475*44/12</f>
        <v>1.374759886208777E-18</v>
      </c>
      <c r="AC157" s="24">
        <f t="shared" si="163"/>
        <v>1.3867914190071611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-9.6633812063373625E-13</v>
      </c>
      <c r="AJ157" s="14">
        <f>AI157*VLOOKUP('Données projet'!$B$10,Paramètres!$A$1:$I$89,3,0)*VLOOKUP('Données projet'!$B$10,Paramètres!$A$1:$I$89,5,0)</f>
        <v>-9.7986685432260874E-13</v>
      </c>
      <c r="AK157" s="14" t="e">
        <f t="shared" si="164"/>
        <v>#NUM!</v>
      </c>
      <c r="AL157" s="22" t="e">
        <f t="shared" si="165"/>
        <v>#NUM!</v>
      </c>
      <c r="AM157" s="60" t="e">
        <f t="shared" si="113"/>
        <v>#NUM!</v>
      </c>
      <c r="AN157" s="60">
        <f ca="1">AVERAGE(OFFSET($AM$3,0,0,'Données projet'!$E$10+1,1))-AVERAGE(OFFSET($H$3,0,0,'Données projet'!$E$10+1,1))</f>
        <v>475.47920969424894</v>
      </c>
      <c r="AO157" s="60">
        <f t="shared" si="144"/>
        <v>271.73544012419364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-1.4210854715202004E-13</v>
      </c>
      <c r="BE157" s="14">
        <f>BD157*VLOOKUP('Données projet'!$B$11,Paramètres!$A$1:$I$89,3,0)*VLOOKUP('Données projet'!$B$11,Paramètres!$A$1:$I$89,5,0)</f>
        <v>-1.2857981346314773E-13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325.2649384779973</v>
      </c>
      <c r="BJ157" s="60">
        <f t="shared" si="146"/>
        <v>146.70159365068315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1.0231815394945443E-12</v>
      </c>
      <c r="BZ157" s="14">
        <f>BY157*VLOOKUP('Données projet'!$B$12,Paramètres!$A$1:$I$89,3,0)*VLOOKUP('Données projet'!$B$12,Paramètres!$A$1:$I$89,5,0)</f>
        <v>4.5224624045658859E-13</v>
      </c>
      <c r="CA157" s="14">
        <f t="shared" si="170"/>
        <v>5.6995607121061449E-12</v>
      </c>
      <c r="CB157" s="22">
        <f t="shared" si="171"/>
        <v>1.0714397109046761E-11</v>
      </c>
      <c r="CC157" s="60">
        <f t="shared" si="119"/>
        <v>293.333333333344</v>
      </c>
      <c r="CD157" s="60">
        <f ca="1">AVERAGE(OFFSET($CC$3,0,0,'Données projet'!$E$12+1,1))-AVERAGE(OFFSET($H$3,0,0,'Données projet'!$E$12+1,1))</f>
        <v>401.84375324751227</v>
      </c>
      <c r="CE157" s="60">
        <f t="shared" si="148"/>
        <v>350.39368043404164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0.26774004598746004</v>
      </c>
      <c r="CM157" s="23">
        <f>EXP(-LN(2)/2)*CM156+(1-EXP(-LN(2)/2))/(LN(2)/2)*CG157*CJ157*VLOOKUP('Données projet'!$B$12,Paramètres!$A$1:$I$89,3,0)*0.475*44/12</f>
        <v>3.0213681472623154E-19</v>
      </c>
      <c r="CN157" s="24">
        <f t="shared" si="172"/>
        <v>0.26774004598746004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-1.1368683772161603E-13</v>
      </c>
      <c r="CU157" s="18">
        <f>CT157*VLOOKUP('Données projet'!$B$13,Paramètres!$A$1:$I$89,3,0)*VLOOKUP('Données projet'!$B$13,Paramètres!$A$1:$I$89,5,0)</f>
        <v>-6.7984728957526396E-14</v>
      </c>
      <c r="CV157" s="14" t="e">
        <f t="shared" si="173"/>
        <v>#NUM!</v>
      </c>
      <c r="CW157" s="22" t="e">
        <f t="shared" si="174"/>
        <v>#NUM!</v>
      </c>
      <c r="CX157" s="60" t="e">
        <f t="shared" si="122"/>
        <v>#NUM!</v>
      </c>
      <c r="CY157" s="60">
        <f ca="1">AVERAGE(OFFSET($CX$3,0,0,'Données projet'!$E$13+1,1))-AVERAGE(OFFSET($H$3,0,0,'Données projet'!$E$13+1,1))</f>
        <v>232.73140429491525</v>
      </c>
      <c r="CZ157" s="60">
        <f t="shared" si="150"/>
        <v>201.02719152328638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0.2558213785463524</v>
      </c>
      <c r="DH157" s="23">
        <f>EXP(-LN(2)/2)*DH156+(1-EXP(-LN(2)/2))/(LN(2)/2)*DB157*DE157*VLOOKUP('Données projet'!$B$13,Paramètres!$A$1:$I$89,3,0)*0.475*44/12</f>
        <v>6.6761320675784482E-19</v>
      </c>
      <c r="DI157" s="24">
        <f t="shared" si="175"/>
        <v>0.2558213785463524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>
        <f>DO157*VLOOKUP('Données projet'!$B$14,Paramètres!$A$1:$I$89,3,0)*VLOOKUP('Données projet'!$B$14,Paramètres!$A$1:$I$89,5,0)</f>
        <v>0</v>
      </c>
      <c r="DQ157" s="14" t="e">
        <f t="shared" si="176"/>
        <v>#NUM!</v>
      </c>
      <c r="DR157" s="22" t="e">
        <f t="shared" si="177"/>
        <v>#NUM!</v>
      </c>
      <c r="DS157" s="60" t="e">
        <f t="shared" si="125"/>
        <v>#NUM!</v>
      </c>
      <c r="DT157" s="60">
        <f ca="1">AVERAGE(OFFSET($DS$3,0,0,'Données projet'!$E$14+1,1))-AVERAGE(OFFSET($H$3,0,0,'Données projet'!$E$14+1,1))</f>
        <v>302.15577364214136</v>
      </c>
      <c r="DU157" s="60">
        <f t="shared" si="152"/>
        <v>197.15142751137051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-5.1159076974727213E-13</v>
      </c>
      <c r="EK157" s="18">
        <f>EJ157*VLOOKUP('Données projet'!$B$15,Paramètres!$A$1:$I$89,3,0)*VLOOKUP('Données projet'!$B$15,Paramètres!$A$1:$I$89,5,0)</f>
        <v>-5.3471467253984886E-13</v>
      </c>
      <c r="EL157" s="14" t="e">
        <f t="shared" si="179"/>
        <v>#NUM!</v>
      </c>
      <c r="EM157" s="22" t="e">
        <f t="shared" si="180"/>
        <v>#NUM!</v>
      </c>
      <c r="EN157" s="60" t="e">
        <f t="shared" si="128"/>
        <v>#NUM!</v>
      </c>
      <c r="EO157" s="60">
        <f ca="1">AVERAGE(OFFSET($EN$3,0,0,'Données projet'!$E$15+1,1))-AVERAGE(OFFSET($H$3,0,0,'Données projet'!$E$15+1,1))</f>
        <v>493.70175665335978</v>
      </c>
      <c r="EP157" s="60">
        <f t="shared" si="154"/>
        <v>325.12357781685949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0" t="e">
        <f t="shared" si="131"/>
        <v>#N/A</v>
      </c>
      <c r="FJ157" s="60" t="e">
        <f ca="1">AVERAGE(OFFSET($FI$3,0,0,'Données projet'!$E$16+1,1))-AVERAGE(OFFSET($H$3,0,0,'Données projet'!$E$16+1,1))</f>
        <v>#N/A</v>
      </c>
      <c r="FK157" s="60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0" t="e">
        <f t="shared" si="134"/>
        <v>#N/A</v>
      </c>
      <c r="GE157" s="60" t="e">
        <f ca="1">AVERAGE(OFFSET($GD$3,0,0,'Données projet'!$E$17+1,1))-AVERAGE(OFFSET($H$3,0,0,'Données projet'!$E$17+1,1))</f>
        <v>#N/A</v>
      </c>
      <c r="GF157" s="60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5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8">
        <f t="shared" si="110"/>
        <v>256.66666666666669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0">
        <f t="shared" si="109"/>
        <v>293.3333333333353</v>
      </c>
      <c r="S158" s="60">
        <f ca="1">AVERAGE(OFFSET($R$3,0,0,'Données projet'!$E$9+1,1))-AVERAGE(OFFSET($H$3,0,0,'Données projet'!$E$9+1,1))</f>
        <v>260.02504691866199</v>
      </c>
      <c r="T158" s="60">
        <f t="shared" si="142"/>
        <v>270.11268336406368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0.84188617334594607</v>
      </c>
      <c r="AA158" s="23">
        <f>EXP(-LN(2)/25)*AA157+(1-EXP(-LN(2)/25))/(LN(2)/25)*Calculateur!V158*Calculateur!X158*VLOOKUP('Données projet'!$B$9,Paramètres!$A$1:$I$89,3,0)*0.475*44/12</f>
        <v>0.5136261701317385</v>
      </c>
      <c r="AB158" s="23">
        <f>EXP(-LN(2)/2)*AB157+(1-EXP(-LN(2)/2))/(LN(2)/2)*V158*Y158*VLOOKUP('Données projet'!$B$9,Paramètres!$A$1:$I$89,3,0)*0.475*44/12</f>
        <v>9.7210203804147266E-19</v>
      </c>
      <c r="AC158" s="24">
        <f t="shared" si="163"/>
        <v>1.3555123434776846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-9.6633812063373625E-13</v>
      </c>
      <c r="AJ158" s="14">
        <f>AI158*VLOOKUP('Données projet'!$B$10,Paramètres!$A$1:$I$89,3,0)*VLOOKUP('Données projet'!$B$10,Paramètres!$A$1:$I$89,5,0)</f>
        <v>-9.7986685432260874E-13</v>
      </c>
      <c r="AK158" s="14" t="e">
        <f t="shared" si="164"/>
        <v>#NUM!</v>
      </c>
      <c r="AL158" s="22" t="e">
        <f t="shared" si="165"/>
        <v>#NUM!</v>
      </c>
      <c r="AM158" s="60" t="e">
        <f t="shared" si="113"/>
        <v>#NUM!</v>
      </c>
      <c r="AN158" s="60">
        <f ca="1">AVERAGE(OFFSET($AM$3,0,0,'Données projet'!$E$10+1,1))-AVERAGE(OFFSET($H$3,0,0,'Données projet'!$E$10+1,1))</f>
        <v>475.47920969424894</v>
      </c>
      <c r="AO158" s="60">
        <f t="shared" si="144"/>
        <v>271.73544012419364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-1.4210854715202004E-13</v>
      </c>
      <c r="BE158" s="14">
        <f>BD158*VLOOKUP('Données projet'!$B$11,Paramètres!$A$1:$I$89,3,0)*VLOOKUP('Données projet'!$B$11,Paramètres!$A$1:$I$89,5,0)</f>
        <v>-1.2857981346314773E-13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325.2649384779973</v>
      </c>
      <c r="BJ158" s="60">
        <f t="shared" si="146"/>
        <v>146.70159365068315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1.0231815394945443E-12</v>
      </c>
      <c r="BZ158" s="14">
        <f>BY158*VLOOKUP('Données projet'!$B$12,Paramètres!$A$1:$I$89,3,0)*VLOOKUP('Données projet'!$B$12,Paramètres!$A$1:$I$89,5,0)</f>
        <v>4.5224624045658859E-13</v>
      </c>
      <c r="CA158" s="14">
        <f t="shared" si="170"/>
        <v>5.6995607121061449E-12</v>
      </c>
      <c r="CB158" s="22">
        <f t="shared" si="171"/>
        <v>1.0714397109046761E-11</v>
      </c>
      <c r="CC158" s="60">
        <f t="shared" si="119"/>
        <v>293.333333333344</v>
      </c>
      <c r="CD158" s="60">
        <f ca="1">AVERAGE(OFFSET($CC$3,0,0,'Données projet'!$E$12+1,1))-AVERAGE(OFFSET($H$3,0,0,'Données projet'!$E$12+1,1))</f>
        <v>401.84375324751227</v>
      </c>
      <c r="CE158" s="60">
        <f t="shared" si="148"/>
        <v>350.39368043404164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0.26041868035009585</v>
      </c>
      <c r="CM158" s="23">
        <f>EXP(-LN(2)/2)*CM157+(1-EXP(-LN(2)/2))/(LN(2)/2)*CG158*CJ158*VLOOKUP('Données projet'!$B$12,Paramètres!$A$1:$I$89,3,0)*0.475*44/12</f>
        <v>2.1364299053902186E-19</v>
      </c>
      <c r="CN158" s="24">
        <f t="shared" si="172"/>
        <v>0.26041868035009585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-1.1368683772161603E-13</v>
      </c>
      <c r="CU158" s="18">
        <f>CT158*VLOOKUP('Données projet'!$B$13,Paramètres!$A$1:$I$89,3,0)*VLOOKUP('Données projet'!$B$13,Paramètres!$A$1:$I$89,5,0)</f>
        <v>-6.7984728957526396E-14</v>
      </c>
      <c r="CV158" s="14" t="e">
        <f t="shared" si="173"/>
        <v>#NUM!</v>
      </c>
      <c r="CW158" s="22" t="e">
        <f t="shared" si="174"/>
        <v>#NUM!</v>
      </c>
      <c r="CX158" s="60" t="e">
        <f t="shared" si="122"/>
        <v>#NUM!</v>
      </c>
      <c r="CY158" s="60">
        <f ca="1">AVERAGE(OFFSET($CX$3,0,0,'Données projet'!$E$13+1,1))-AVERAGE(OFFSET($H$3,0,0,'Données projet'!$E$13+1,1))</f>
        <v>232.73140429491525</v>
      </c>
      <c r="CZ158" s="60">
        <f t="shared" si="150"/>
        <v>201.02719152328638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0.24882592949694077</v>
      </c>
      <c r="DH158" s="23">
        <f>EXP(-LN(2)/2)*DH157+(1-EXP(-LN(2)/2))/(LN(2)/2)*DB158*DE158*VLOOKUP('Données projet'!$B$13,Paramètres!$A$1:$I$89,3,0)*0.475*44/12</f>
        <v>4.7207382570816868E-19</v>
      </c>
      <c r="DI158" s="24">
        <f t="shared" si="175"/>
        <v>0.24882592949694077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>
        <f>DO158*VLOOKUP('Données projet'!$B$14,Paramètres!$A$1:$I$89,3,0)*VLOOKUP('Données projet'!$B$14,Paramètres!$A$1:$I$89,5,0)</f>
        <v>0</v>
      </c>
      <c r="DQ158" s="14" t="e">
        <f t="shared" si="176"/>
        <v>#NUM!</v>
      </c>
      <c r="DR158" s="22" t="e">
        <f t="shared" si="177"/>
        <v>#NUM!</v>
      </c>
      <c r="DS158" s="60" t="e">
        <f t="shared" si="125"/>
        <v>#NUM!</v>
      </c>
      <c r="DT158" s="60">
        <f ca="1">AVERAGE(OFFSET($DS$3,0,0,'Données projet'!$E$14+1,1))-AVERAGE(OFFSET($H$3,0,0,'Données projet'!$E$14+1,1))</f>
        <v>302.15577364214136</v>
      </c>
      <c r="DU158" s="60">
        <f t="shared" si="152"/>
        <v>197.15142751137051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-5.1159076974727213E-13</v>
      </c>
      <c r="EK158" s="18">
        <f>EJ158*VLOOKUP('Données projet'!$B$15,Paramètres!$A$1:$I$89,3,0)*VLOOKUP('Données projet'!$B$15,Paramètres!$A$1:$I$89,5,0)</f>
        <v>-5.3471467253984886E-13</v>
      </c>
      <c r="EL158" s="14" t="e">
        <f t="shared" si="179"/>
        <v>#NUM!</v>
      </c>
      <c r="EM158" s="22" t="e">
        <f t="shared" si="180"/>
        <v>#NUM!</v>
      </c>
      <c r="EN158" s="60" t="e">
        <f t="shared" si="128"/>
        <v>#NUM!</v>
      </c>
      <c r="EO158" s="60">
        <f ca="1">AVERAGE(OFFSET($EN$3,0,0,'Données projet'!$E$15+1,1))-AVERAGE(OFFSET($H$3,0,0,'Données projet'!$E$15+1,1))</f>
        <v>493.70175665335978</v>
      </c>
      <c r="EP158" s="60">
        <f t="shared" si="154"/>
        <v>325.12357781685949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0" t="e">
        <f t="shared" si="131"/>
        <v>#N/A</v>
      </c>
      <c r="FJ158" s="60" t="e">
        <f ca="1">AVERAGE(OFFSET($FI$3,0,0,'Données projet'!$E$16+1,1))-AVERAGE(OFFSET($H$3,0,0,'Données projet'!$E$16+1,1))</f>
        <v>#N/A</v>
      </c>
      <c r="FK158" s="60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0" t="e">
        <f t="shared" si="134"/>
        <v>#N/A</v>
      </c>
      <c r="GE158" s="60" t="e">
        <f ca="1">AVERAGE(OFFSET($GD$3,0,0,'Données projet'!$E$17+1,1))-AVERAGE(OFFSET($H$3,0,0,'Données projet'!$E$17+1,1))</f>
        <v>#N/A</v>
      </c>
      <c r="GF158" s="60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5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8">
        <f t="shared" si="110"/>
        <v>256.66666666666669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0">
        <f t="shared" si="109"/>
        <v>293.3333333333353</v>
      </c>
      <c r="S159" s="60">
        <f ca="1">AVERAGE(OFFSET($R$3,0,0,'Données projet'!$E$9+1,1))-AVERAGE(OFFSET($H$3,0,0,'Données projet'!$E$9+1,1))</f>
        <v>260.02504691866199</v>
      </c>
      <c r="T159" s="60">
        <f t="shared" si="142"/>
        <v>270.11268336406368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0.82537729898649392</v>
      </c>
      <c r="AA159" s="23">
        <f>EXP(-LN(2)/25)*AA158+(1-EXP(-LN(2)/25))/(LN(2)/25)*Calculateur!V159*Calculateur!X159*VLOOKUP('Données projet'!$B$9,Paramètres!$A$1:$I$89,3,0)*0.475*44/12</f>
        <v>0.49958103549905974</v>
      </c>
      <c r="AB159" s="23">
        <f>EXP(-LN(2)/2)*AB158+(1-EXP(-LN(2)/2))/(LN(2)/2)*V159*Y159*VLOOKUP('Données projet'!$B$9,Paramètres!$A$1:$I$89,3,0)*0.475*44/12</f>
        <v>6.8737994310438851E-19</v>
      </c>
      <c r="AC159" s="24">
        <f t="shared" si="163"/>
        <v>1.3249583344855536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-9.6633812063373625E-13</v>
      </c>
      <c r="AJ159" s="14">
        <f>AI159*VLOOKUP('Données projet'!$B$10,Paramètres!$A$1:$I$89,3,0)*VLOOKUP('Données projet'!$B$10,Paramètres!$A$1:$I$89,5,0)</f>
        <v>-9.7986685432260874E-13</v>
      </c>
      <c r="AK159" s="14" t="e">
        <f t="shared" si="164"/>
        <v>#NUM!</v>
      </c>
      <c r="AL159" s="22" t="e">
        <f t="shared" si="165"/>
        <v>#NUM!</v>
      </c>
      <c r="AM159" s="60" t="e">
        <f t="shared" si="113"/>
        <v>#NUM!</v>
      </c>
      <c r="AN159" s="60">
        <f ca="1">AVERAGE(OFFSET($AM$3,0,0,'Données projet'!$E$10+1,1))-AVERAGE(OFFSET($H$3,0,0,'Données projet'!$E$10+1,1))</f>
        <v>475.47920969424894</v>
      </c>
      <c r="AO159" s="60">
        <f t="shared" si="144"/>
        <v>271.73544012419364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-1.4210854715202004E-13</v>
      </c>
      <c r="BE159" s="14">
        <f>BD159*VLOOKUP('Données projet'!$B$11,Paramètres!$A$1:$I$89,3,0)*VLOOKUP('Données projet'!$B$11,Paramètres!$A$1:$I$89,5,0)</f>
        <v>-1.2857981346314773E-13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325.2649384779973</v>
      </c>
      <c r="BJ159" s="60">
        <f t="shared" si="146"/>
        <v>146.70159365068315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1.0231815394945443E-12</v>
      </c>
      <c r="BZ159" s="14">
        <f>BY159*VLOOKUP('Données projet'!$B$12,Paramètres!$A$1:$I$89,3,0)*VLOOKUP('Données projet'!$B$12,Paramètres!$A$1:$I$89,5,0)</f>
        <v>4.5224624045658859E-13</v>
      </c>
      <c r="CA159" s="14">
        <f t="shared" si="170"/>
        <v>5.6995607121061449E-12</v>
      </c>
      <c r="CB159" s="22">
        <f t="shared" si="171"/>
        <v>1.0714397109046761E-11</v>
      </c>
      <c r="CC159" s="60">
        <f t="shared" si="119"/>
        <v>293.333333333344</v>
      </c>
      <c r="CD159" s="60">
        <f ca="1">AVERAGE(OFFSET($CC$3,0,0,'Données projet'!$E$12+1,1))-AVERAGE(OFFSET($H$3,0,0,'Données projet'!$E$12+1,1))</f>
        <v>401.84375324751227</v>
      </c>
      <c r="CE159" s="60">
        <f t="shared" si="148"/>
        <v>350.39368043404164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0.25329751784109927</v>
      </c>
      <c r="CM159" s="23">
        <f>EXP(-LN(2)/2)*CM158+(1-EXP(-LN(2)/2))/(LN(2)/2)*CG159*CJ159*VLOOKUP('Données projet'!$B$12,Paramètres!$A$1:$I$89,3,0)*0.475*44/12</f>
        <v>1.5106840736311579E-19</v>
      </c>
      <c r="CN159" s="24">
        <f t="shared" si="172"/>
        <v>0.25329751784109927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-1.1368683772161603E-13</v>
      </c>
      <c r="CU159" s="18">
        <f>CT159*VLOOKUP('Données projet'!$B$13,Paramètres!$A$1:$I$89,3,0)*VLOOKUP('Données projet'!$B$13,Paramètres!$A$1:$I$89,5,0)</f>
        <v>-6.7984728957526396E-14</v>
      </c>
      <c r="CV159" s="14" t="e">
        <f t="shared" si="173"/>
        <v>#NUM!</v>
      </c>
      <c r="CW159" s="22" t="e">
        <f t="shared" si="174"/>
        <v>#NUM!</v>
      </c>
      <c r="CX159" s="60" t="e">
        <f t="shared" si="122"/>
        <v>#NUM!</v>
      </c>
      <c r="CY159" s="60">
        <f ca="1">AVERAGE(OFFSET($CX$3,0,0,'Données projet'!$E$13+1,1))-AVERAGE(OFFSET($H$3,0,0,'Données projet'!$E$13+1,1))</f>
        <v>232.73140429491525</v>
      </c>
      <c r="CZ159" s="60">
        <f t="shared" si="150"/>
        <v>201.02719152328638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0.24202177136965999</v>
      </c>
      <c r="DH159" s="23">
        <f>EXP(-LN(2)/2)*DH158+(1-EXP(-LN(2)/2))/(LN(2)/2)*DB159*DE159*VLOOKUP('Données projet'!$B$13,Paramètres!$A$1:$I$89,3,0)*0.475*44/12</f>
        <v>3.3380660337892241E-19</v>
      </c>
      <c r="DI159" s="24">
        <f t="shared" si="175"/>
        <v>0.24202177136965999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>
        <f>DO159*VLOOKUP('Données projet'!$B$14,Paramètres!$A$1:$I$89,3,0)*VLOOKUP('Données projet'!$B$14,Paramètres!$A$1:$I$89,5,0)</f>
        <v>0</v>
      </c>
      <c r="DQ159" s="14" t="e">
        <f t="shared" si="176"/>
        <v>#NUM!</v>
      </c>
      <c r="DR159" s="22" t="e">
        <f t="shared" si="177"/>
        <v>#NUM!</v>
      </c>
      <c r="DS159" s="60" t="e">
        <f t="shared" si="125"/>
        <v>#NUM!</v>
      </c>
      <c r="DT159" s="60">
        <f ca="1">AVERAGE(OFFSET($DS$3,0,0,'Données projet'!$E$14+1,1))-AVERAGE(OFFSET($H$3,0,0,'Données projet'!$E$14+1,1))</f>
        <v>302.15577364214136</v>
      </c>
      <c r="DU159" s="60">
        <f t="shared" si="152"/>
        <v>197.15142751137051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-5.1159076974727213E-13</v>
      </c>
      <c r="EK159" s="18">
        <f>EJ159*VLOOKUP('Données projet'!$B$15,Paramètres!$A$1:$I$89,3,0)*VLOOKUP('Données projet'!$B$15,Paramètres!$A$1:$I$89,5,0)</f>
        <v>-5.3471467253984886E-13</v>
      </c>
      <c r="EL159" s="14" t="e">
        <f t="shared" si="179"/>
        <v>#NUM!</v>
      </c>
      <c r="EM159" s="22" t="e">
        <f t="shared" si="180"/>
        <v>#NUM!</v>
      </c>
      <c r="EN159" s="60" t="e">
        <f t="shared" si="128"/>
        <v>#NUM!</v>
      </c>
      <c r="EO159" s="60">
        <f ca="1">AVERAGE(OFFSET($EN$3,0,0,'Données projet'!$E$15+1,1))-AVERAGE(OFFSET($H$3,0,0,'Données projet'!$E$15+1,1))</f>
        <v>493.70175665335978</v>
      </c>
      <c r="EP159" s="60">
        <f t="shared" si="154"/>
        <v>325.12357781685949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0" t="e">
        <f t="shared" si="131"/>
        <v>#N/A</v>
      </c>
      <c r="FJ159" s="60" t="e">
        <f ca="1">AVERAGE(OFFSET($FI$3,0,0,'Données projet'!$E$16+1,1))-AVERAGE(OFFSET($H$3,0,0,'Données projet'!$E$16+1,1))</f>
        <v>#N/A</v>
      </c>
      <c r="FK159" s="60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0" t="e">
        <f t="shared" si="134"/>
        <v>#N/A</v>
      </c>
      <c r="GE159" s="60" t="e">
        <f ca="1">AVERAGE(OFFSET($GD$3,0,0,'Données projet'!$E$17+1,1))-AVERAGE(OFFSET($H$3,0,0,'Données projet'!$E$17+1,1))</f>
        <v>#N/A</v>
      </c>
      <c r="GF159" s="60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5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8">
        <f t="shared" si="110"/>
        <v>256.66666666666669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0">
        <f t="shared" si="109"/>
        <v>293.3333333333353</v>
      </c>
      <c r="S160" s="60">
        <f ca="1">AVERAGE(OFFSET($R$3,0,0,'Données projet'!$E$9+1,1))-AVERAGE(OFFSET($H$3,0,0,'Données projet'!$E$9+1,1))</f>
        <v>260.02504691866199</v>
      </c>
      <c r="T160" s="60">
        <f t="shared" si="142"/>
        <v>270.11268336406368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0.80919215358381158</v>
      </c>
      <c r="AA160" s="23">
        <f>EXP(-LN(2)/25)*AA159+(1-EXP(-LN(2)/25))/(LN(2)/25)*Calculateur!V160*Calculateur!X160*VLOOKUP('Données projet'!$B$9,Paramètres!$A$1:$I$89,3,0)*0.475*44/12</f>
        <v>0.48591996581151309</v>
      </c>
      <c r="AB160" s="23">
        <f>EXP(-LN(2)/2)*AB159+(1-EXP(-LN(2)/2))/(LN(2)/2)*V160*Y160*VLOOKUP('Données projet'!$B$9,Paramètres!$A$1:$I$89,3,0)*0.475*44/12</f>
        <v>4.8605101902073633E-19</v>
      </c>
      <c r="AC160" s="24">
        <f t="shared" si="163"/>
        <v>1.2951121193953248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-9.6633812063373625E-13</v>
      </c>
      <c r="AJ160" s="14">
        <f>AI160*VLOOKUP('Données projet'!$B$10,Paramètres!$A$1:$I$89,3,0)*VLOOKUP('Données projet'!$B$10,Paramètres!$A$1:$I$89,5,0)</f>
        <v>-9.7986685432260874E-13</v>
      </c>
      <c r="AK160" s="14" t="e">
        <f t="shared" si="164"/>
        <v>#NUM!</v>
      </c>
      <c r="AL160" s="22" t="e">
        <f t="shared" si="165"/>
        <v>#NUM!</v>
      </c>
      <c r="AM160" s="60" t="e">
        <f t="shared" si="113"/>
        <v>#NUM!</v>
      </c>
      <c r="AN160" s="60">
        <f ca="1">AVERAGE(OFFSET($AM$3,0,0,'Données projet'!$E$10+1,1))-AVERAGE(OFFSET($H$3,0,0,'Données projet'!$E$10+1,1))</f>
        <v>475.47920969424894</v>
      </c>
      <c r="AO160" s="60">
        <f t="shared" si="144"/>
        <v>271.73544012419364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-1.4210854715202004E-13</v>
      </c>
      <c r="BE160" s="14">
        <f>BD160*VLOOKUP('Données projet'!$B$11,Paramètres!$A$1:$I$89,3,0)*VLOOKUP('Données projet'!$B$11,Paramètres!$A$1:$I$89,5,0)</f>
        <v>-1.2857981346314773E-13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325.2649384779973</v>
      </c>
      <c r="BJ160" s="60">
        <f t="shared" si="146"/>
        <v>146.70159365068315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1.0231815394945443E-12</v>
      </c>
      <c r="BZ160" s="14">
        <f>BY160*VLOOKUP('Données projet'!$B$12,Paramètres!$A$1:$I$89,3,0)*VLOOKUP('Données projet'!$B$12,Paramètres!$A$1:$I$89,5,0)</f>
        <v>4.5224624045658859E-13</v>
      </c>
      <c r="CA160" s="14">
        <f t="shared" si="170"/>
        <v>5.6995607121061449E-12</v>
      </c>
      <c r="CB160" s="22">
        <f t="shared" si="171"/>
        <v>1.0714397109046761E-11</v>
      </c>
      <c r="CC160" s="60">
        <f t="shared" si="119"/>
        <v>293.333333333344</v>
      </c>
      <c r="CD160" s="60">
        <f ca="1">AVERAGE(OFFSET($CC$3,0,0,'Données projet'!$E$12+1,1))-AVERAGE(OFFSET($H$3,0,0,'Données projet'!$E$12+1,1))</f>
        <v>401.84375324751227</v>
      </c>
      <c r="CE160" s="60">
        <f t="shared" si="148"/>
        <v>350.39368043404164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0.24637108389539686</v>
      </c>
      <c r="CM160" s="23">
        <f>EXP(-LN(2)/2)*CM159+(1-EXP(-LN(2)/2))/(LN(2)/2)*CG160*CJ160*VLOOKUP('Données projet'!$B$12,Paramètres!$A$1:$I$89,3,0)*0.475*44/12</f>
        <v>1.0682149526951096E-19</v>
      </c>
      <c r="CN160" s="24">
        <f t="shared" si="172"/>
        <v>0.24637108389539686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-1.1368683772161603E-13</v>
      </c>
      <c r="CU160" s="18">
        <f>CT160*VLOOKUP('Données projet'!$B$13,Paramètres!$A$1:$I$89,3,0)*VLOOKUP('Données projet'!$B$13,Paramètres!$A$1:$I$89,5,0)</f>
        <v>-6.7984728957526396E-14</v>
      </c>
      <c r="CV160" s="14" t="e">
        <f t="shared" si="173"/>
        <v>#NUM!</v>
      </c>
      <c r="CW160" s="22" t="e">
        <f t="shared" si="174"/>
        <v>#NUM!</v>
      </c>
      <c r="CX160" s="60" t="e">
        <f t="shared" si="122"/>
        <v>#NUM!</v>
      </c>
      <c r="CY160" s="60">
        <f ca="1">AVERAGE(OFFSET($CX$3,0,0,'Données projet'!$E$13+1,1))-AVERAGE(OFFSET($H$3,0,0,'Données projet'!$E$13+1,1))</f>
        <v>232.73140429491525</v>
      </c>
      <c r="CZ160" s="60">
        <f t="shared" si="150"/>
        <v>201.02719152328638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0.23540367330418482</v>
      </c>
      <c r="DH160" s="23">
        <f>EXP(-LN(2)/2)*DH159+(1-EXP(-LN(2)/2))/(LN(2)/2)*DB160*DE160*VLOOKUP('Données projet'!$B$13,Paramètres!$A$1:$I$89,3,0)*0.475*44/12</f>
        <v>2.3603691285408434E-19</v>
      </c>
      <c r="DI160" s="24">
        <f t="shared" si="175"/>
        <v>0.23540367330418482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>
        <f>DO160*VLOOKUP('Données projet'!$B$14,Paramètres!$A$1:$I$89,3,0)*VLOOKUP('Données projet'!$B$14,Paramètres!$A$1:$I$89,5,0)</f>
        <v>0</v>
      </c>
      <c r="DQ160" s="14" t="e">
        <f t="shared" si="176"/>
        <v>#NUM!</v>
      </c>
      <c r="DR160" s="22" t="e">
        <f t="shared" si="177"/>
        <v>#NUM!</v>
      </c>
      <c r="DS160" s="60" t="e">
        <f t="shared" si="125"/>
        <v>#NUM!</v>
      </c>
      <c r="DT160" s="60">
        <f ca="1">AVERAGE(OFFSET($DS$3,0,0,'Données projet'!$E$14+1,1))-AVERAGE(OFFSET($H$3,0,0,'Données projet'!$E$14+1,1))</f>
        <v>302.15577364214136</v>
      </c>
      <c r="DU160" s="60">
        <f t="shared" si="152"/>
        <v>197.15142751137051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-5.1159076974727213E-13</v>
      </c>
      <c r="EK160" s="18">
        <f>EJ160*VLOOKUP('Données projet'!$B$15,Paramètres!$A$1:$I$89,3,0)*VLOOKUP('Données projet'!$B$15,Paramètres!$A$1:$I$89,5,0)</f>
        <v>-5.3471467253984886E-13</v>
      </c>
      <c r="EL160" s="14" t="e">
        <f t="shared" si="179"/>
        <v>#NUM!</v>
      </c>
      <c r="EM160" s="22" t="e">
        <f t="shared" si="180"/>
        <v>#NUM!</v>
      </c>
      <c r="EN160" s="60" t="e">
        <f t="shared" si="128"/>
        <v>#NUM!</v>
      </c>
      <c r="EO160" s="60">
        <f ca="1">AVERAGE(OFFSET($EN$3,0,0,'Données projet'!$E$15+1,1))-AVERAGE(OFFSET($H$3,0,0,'Données projet'!$E$15+1,1))</f>
        <v>493.70175665335978</v>
      </c>
      <c r="EP160" s="60">
        <f t="shared" si="154"/>
        <v>325.12357781685949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0" t="e">
        <f t="shared" si="131"/>
        <v>#N/A</v>
      </c>
      <c r="FJ160" s="60" t="e">
        <f ca="1">AVERAGE(OFFSET($FI$3,0,0,'Données projet'!$E$16+1,1))-AVERAGE(OFFSET($H$3,0,0,'Données projet'!$E$16+1,1))</f>
        <v>#N/A</v>
      </c>
      <c r="FK160" s="60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0" t="e">
        <f t="shared" si="134"/>
        <v>#N/A</v>
      </c>
      <c r="GE160" s="60" t="e">
        <f ca="1">AVERAGE(OFFSET($GD$3,0,0,'Données projet'!$E$17+1,1))-AVERAGE(OFFSET($H$3,0,0,'Données projet'!$E$17+1,1))</f>
        <v>#N/A</v>
      </c>
      <c r="GF160" s="60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5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8">
        <f t="shared" si="110"/>
        <v>256.66666666666669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0">
        <f t="shared" si="109"/>
        <v>293.3333333333353</v>
      </c>
      <c r="S161" s="60">
        <f ca="1">AVERAGE(OFFSET($R$3,0,0,'Données projet'!$E$9+1,1))-AVERAGE(OFFSET($H$3,0,0,'Données projet'!$E$9+1,1))</f>
        <v>260.02504691866199</v>
      </c>
      <c r="T161" s="60">
        <f t="shared" si="142"/>
        <v>270.11268336406368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0.79332438901051183</v>
      </c>
      <c r="AA161" s="23">
        <f>EXP(-LN(2)/25)*AA160+(1-EXP(-LN(2)/25))/(LN(2)/25)*Calculateur!V161*Calculateur!X161*VLOOKUP('Données projet'!$B$9,Paramètres!$A$1:$I$89,3,0)*0.475*44/12</f>
        <v>0.47263245879297683</v>
      </c>
      <c r="AB161" s="23">
        <f>EXP(-LN(2)/2)*AB160+(1-EXP(-LN(2)/2))/(LN(2)/2)*V161*Y161*VLOOKUP('Données projet'!$B$9,Paramètres!$A$1:$I$89,3,0)*0.475*44/12</f>
        <v>3.4368997155219425E-19</v>
      </c>
      <c r="AC161" s="24">
        <f t="shared" si="163"/>
        <v>1.2659568478034886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-9.6633812063373625E-13</v>
      </c>
      <c r="AJ161" s="14">
        <f>AI161*VLOOKUP('Données projet'!$B$10,Paramètres!$A$1:$I$89,3,0)*VLOOKUP('Données projet'!$B$10,Paramètres!$A$1:$I$89,5,0)</f>
        <v>-9.7986685432260874E-13</v>
      </c>
      <c r="AK161" s="14" t="e">
        <f t="shared" si="164"/>
        <v>#NUM!</v>
      </c>
      <c r="AL161" s="22" t="e">
        <f t="shared" si="165"/>
        <v>#NUM!</v>
      </c>
      <c r="AM161" s="60" t="e">
        <f t="shared" si="113"/>
        <v>#NUM!</v>
      </c>
      <c r="AN161" s="60">
        <f ca="1">AVERAGE(OFFSET($AM$3,0,0,'Données projet'!$E$10+1,1))-AVERAGE(OFFSET($H$3,0,0,'Données projet'!$E$10+1,1))</f>
        <v>475.47920969424894</v>
      </c>
      <c r="AO161" s="60">
        <f t="shared" si="144"/>
        <v>271.73544012419364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-1.4210854715202004E-13</v>
      </c>
      <c r="BE161" s="14">
        <f>BD161*VLOOKUP('Données projet'!$B$11,Paramètres!$A$1:$I$89,3,0)*VLOOKUP('Données projet'!$B$11,Paramètres!$A$1:$I$89,5,0)</f>
        <v>-1.2857981346314773E-13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325.2649384779973</v>
      </c>
      <c r="BJ161" s="60">
        <f t="shared" si="146"/>
        <v>146.70159365068315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1.0231815394945443E-12</v>
      </c>
      <c r="BZ161" s="14">
        <f>BY161*VLOOKUP('Données projet'!$B$12,Paramètres!$A$1:$I$89,3,0)*VLOOKUP('Données projet'!$B$12,Paramètres!$A$1:$I$89,5,0)</f>
        <v>4.5224624045658859E-13</v>
      </c>
      <c r="CA161" s="14">
        <f t="shared" si="170"/>
        <v>5.6995607121061449E-12</v>
      </c>
      <c r="CB161" s="22">
        <f t="shared" si="171"/>
        <v>1.0714397109046761E-11</v>
      </c>
      <c r="CC161" s="60">
        <f t="shared" si="119"/>
        <v>293.333333333344</v>
      </c>
      <c r="CD161" s="60">
        <f ca="1">AVERAGE(OFFSET($CC$3,0,0,'Données projet'!$E$12+1,1))-AVERAGE(OFFSET($H$3,0,0,'Données projet'!$E$12+1,1))</f>
        <v>401.84375324751227</v>
      </c>
      <c r="CE161" s="60">
        <f t="shared" si="148"/>
        <v>350.39368043404164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0.23963405365018503</v>
      </c>
      <c r="CM161" s="23">
        <f>EXP(-LN(2)/2)*CM160+(1-EXP(-LN(2)/2))/(LN(2)/2)*CG161*CJ161*VLOOKUP('Données projet'!$B$12,Paramètres!$A$1:$I$89,3,0)*0.475*44/12</f>
        <v>7.5534203681557908E-20</v>
      </c>
      <c r="CN161" s="24">
        <f t="shared" si="172"/>
        <v>0.23963405365018503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-1.1368683772161603E-13</v>
      </c>
      <c r="CU161" s="18">
        <f>CT161*VLOOKUP('Données projet'!$B$13,Paramètres!$A$1:$I$89,3,0)*VLOOKUP('Données projet'!$B$13,Paramètres!$A$1:$I$89,5,0)</f>
        <v>-6.7984728957526396E-14</v>
      </c>
      <c r="CV161" s="14" t="e">
        <f t="shared" si="173"/>
        <v>#NUM!</v>
      </c>
      <c r="CW161" s="22" t="e">
        <f t="shared" si="174"/>
        <v>#NUM!</v>
      </c>
      <c r="CX161" s="60" t="e">
        <f t="shared" si="122"/>
        <v>#NUM!</v>
      </c>
      <c r="CY161" s="60">
        <f ca="1">AVERAGE(OFFSET($CX$3,0,0,'Données projet'!$E$13+1,1))-AVERAGE(OFFSET($H$3,0,0,'Données projet'!$E$13+1,1))</f>
        <v>232.73140429491525</v>
      </c>
      <c r="CZ161" s="60">
        <f t="shared" si="150"/>
        <v>201.02719152328638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0.22896654747834072</v>
      </c>
      <c r="DH161" s="23">
        <f>EXP(-LN(2)/2)*DH160+(1-EXP(-LN(2)/2))/(LN(2)/2)*DB161*DE161*VLOOKUP('Données projet'!$B$13,Paramètres!$A$1:$I$89,3,0)*0.475*44/12</f>
        <v>1.669033016894612E-19</v>
      </c>
      <c r="DI161" s="24">
        <f t="shared" si="175"/>
        <v>0.22896654747834072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>
        <f>DO161*VLOOKUP('Données projet'!$B$14,Paramètres!$A$1:$I$89,3,0)*VLOOKUP('Données projet'!$B$14,Paramètres!$A$1:$I$89,5,0)</f>
        <v>0</v>
      </c>
      <c r="DQ161" s="14" t="e">
        <f t="shared" si="176"/>
        <v>#NUM!</v>
      </c>
      <c r="DR161" s="22" t="e">
        <f t="shared" si="177"/>
        <v>#NUM!</v>
      </c>
      <c r="DS161" s="60" t="e">
        <f t="shared" si="125"/>
        <v>#NUM!</v>
      </c>
      <c r="DT161" s="60">
        <f ca="1">AVERAGE(OFFSET($DS$3,0,0,'Données projet'!$E$14+1,1))-AVERAGE(OFFSET($H$3,0,0,'Données projet'!$E$14+1,1))</f>
        <v>302.15577364214136</v>
      </c>
      <c r="DU161" s="60">
        <f t="shared" si="152"/>
        <v>197.15142751137051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-5.1159076974727213E-13</v>
      </c>
      <c r="EK161" s="18">
        <f>EJ161*VLOOKUP('Données projet'!$B$15,Paramètres!$A$1:$I$89,3,0)*VLOOKUP('Données projet'!$B$15,Paramètres!$A$1:$I$89,5,0)</f>
        <v>-5.3471467253984886E-13</v>
      </c>
      <c r="EL161" s="14" t="e">
        <f t="shared" si="179"/>
        <v>#NUM!</v>
      </c>
      <c r="EM161" s="22" t="e">
        <f t="shared" si="180"/>
        <v>#NUM!</v>
      </c>
      <c r="EN161" s="60" t="e">
        <f t="shared" si="128"/>
        <v>#NUM!</v>
      </c>
      <c r="EO161" s="60">
        <f ca="1">AVERAGE(OFFSET($EN$3,0,0,'Données projet'!$E$15+1,1))-AVERAGE(OFFSET($H$3,0,0,'Données projet'!$E$15+1,1))</f>
        <v>493.70175665335978</v>
      </c>
      <c r="EP161" s="60">
        <f t="shared" si="154"/>
        <v>325.12357781685949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0" t="e">
        <f t="shared" si="131"/>
        <v>#N/A</v>
      </c>
      <c r="FJ161" s="60" t="e">
        <f ca="1">AVERAGE(OFFSET($FI$3,0,0,'Données projet'!$E$16+1,1))-AVERAGE(OFFSET($H$3,0,0,'Données projet'!$E$16+1,1))</f>
        <v>#N/A</v>
      </c>
      <c r="FK161" s="60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0" t="e">
        <f t="shared" si="134"/>
        <v>#N/A</v>
      </c>
      <c r="GE161" s="60" t="e">
        <f ca="1">AVERAGE(OFFSET($GD$3,0,0,'Données projet'!$E$17+1,1))-AVERAGE(OFFSET($H$3,0,0,'Données projet'!$E$17+1,1))</f>
        <v>#N/A</v>
      </c>
      <c r="GF161" s="60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5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8">
        <f t="shared" si="110"/>
        <v>256.66666666666669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0">
        <f t="shared" si="109"/>
        <v>293.3333333333353</v>
      </c>
      <c r="S162" s="60">
        <f ca="1">AVERAGE(OFFSET($R$3,0,0,'Données projet'!$E$9+1,1))-AVERAGE(OFFSET($H$3,0,0,'Données projet'!$E$9+1,1))</f>
        <v>260.02504691866199</v>
      </c>
      <c r="T162" s="60">
        <f t="shared" si="142"/>
        <v>270.11268336406368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0.7777677816221138</v>
      </c>
      <c r="AA162" s="23">
        <f>EXP(-LN(2)/25)*AA161+(1-EXP(-LN(2)/25))/(LN(2)/25)*Calculateur!V162*Calculateur!X162*VLOOKUP('Données projet'!$B$9,Paramètres!$A$1:$I$89,3,0)*0.475*44/12</f>
        <v>0.45970829935262209</v>
      </c>
      <c r="AB162" s="23">
        <f>EXP(-LN(2)/2)*AB161+(1-EXP(-LN(2)/2))/(LN(2)/2)*V162*Y162*VLOOKUP('Données projet'!$B$9,Paramètres!$A$1:$I$89,3,0)*0.475*44/12</f>
        <v>2.4302550951036817E-19</v>
      </c>
      <c r="AC162" s="24">
        <f t="shared" si="163"/>
        <v>1.2374760809747358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-9.6633812063373625E-13</v>
      </c>
      <c r="AJ162" s="14">
        <f>AI162*VLOOKUP('Données projet'!$B$10,Paramètres!$A$1:$I$89,3,0)*VLOOKUP('Données projet'!$B$10,Paramètres!$A$1:$I$89,5,0)</f>
        <v>-9.7986685432260874E-13</v>
      </c>
      <c r="AK162" s="14" t="e">
        <f t="shared" si="164"/>
        <v>#NUM!</v>
      </c>
      <c r="AL162" s="22" t="e">
        <f t="shared" si="165"/>
        <v>#NUM!</v>
      </c>
      <c r="AM162" s="60" t="e">
        <f t="shared" si="113"/>
        <v>#NUM!</v>
      </c>
      <c r="AN162" s="60">
        <f ca="1">AVERAGE(OFFSET($AM$3,0,0,'Données projet'!$E$10+1,1))-AVERAGE(OFFSET($H$3,0,0,'Données projet'!$E$10+1,1))</f>
        <v>475.47920969424894</v>
      </c>
      <c r="AO162" s="60">
        <f t="shared" si="144"/>
        <v>271.73544012419364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-1.4210854715202004E-13</v>
      </c>
      <c r="BE162" s="14">
        <f>BD162*VLOOKUP('Données projet'!$B$11,Paramètres!$A$1:$I$89,3,0)*VLOOKUP('Données projet'!$B$11,Paramètres!$A$1:$I$89,5,0)</f>
        <v>-1.2857981346314773E-13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325.2649384779973</v>
      </c>
      <c r="BJ162" s="60">
        <f t="shared" si="146"/>
        <v>146.70159365068315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1.0231815394945443E-12</v>
      </c>
      <c r="BZ162" s="14">
        <f>BY162*VLOOKUP('Données projet'!$B$12,Paramètres!$A$1:$I$89,3,0)*VLOOKUP('Données projet'!$B$12,Paramètres!$A$1:$I$89,5,0)</f>
        <v>4.5224624045658859E-13</v>
      </c>
      <c r="CA162" s="14">
        <f t="shared" si="170"/>
        <v>5.6995607121061449E-12</v>
      </c>
      <c r="CB162" s="22">
        <f t="shared" si="171"/>
        <v>1.0714397109046761E-11</v>
      </c>
      <c r="CC162" s="60">
        <f t="shared" si="119"/>
        <v>293.333333333344</v>
      </c>
      <c r="CD162" s="60">
        <f ca="1">AVERAGE(OFFSET($CC$3,0,0,'Données projet'!$E$12+1,1))-AVERAGE(OFFSET($H$3,0,0,'Données projet'!$E$12+1,1))</f>
        <v>401.84375324751227</v>
      </c>
      <c r="CE162" s="60">
        <f t="shared" si="148"/>
        <v>350.39368043404164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0.23308124785131354</v>
      </c>
      <c r="CM162" s="23">
        <f>EXP(-LN(2)/2)*CM161+(1-EXP(-LN(2)/2))/(LN(2)/2)*CG162*CJ162*VLOOKUP('Données projet'!$B$12,Paramètres!$A$1:$I$89,3,0)*0.475*44/12</f>
        <v>5.3410747634755484E-20</v>
      </c>
      <c r="CN162" s="24">
        <f t="shared" si="172"/>
        <v>0.23308124785131354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-1.1368683772161603E-13</v>
      </c>
      <c r="CU162" s="18">
        <f>CT162*VLOOKUP('Données projet'!$B$13,Paramètres!$A$1:$I$89,3,0)*VLOOKUP('Données projet'!$B$13,Paramètres!$A$1:$I$89,5,0)</f>
        <v>-6.7984728957526396E-14</v>
      </c>
      <c r="CV162" s="14" t="e">
        <f t="shared" si="173"/>
        <v>#NUM!</v>
      </c>
      <c r="CW162" s="22" t="e">
        <f t="shared" si="174"/>
        <v>#NUM!</v>
      </c>
      <c r="CX162" s="60" t="e">
        <f t="shared" si="122"/>
        <v>#NUM!</v>
      </c>
      <c r="CY162" s="60">
        <f ca="1">AVERAGE(OFFSET($CX$3,0,0,'Données projet'!$E$13+1,1))-AVERAGE(OFFSET($H$3,0,0,'Données projet'!$E$13+1,1))</f>
        <v>232.73140429491525</v>
      </c>
      <c r="CZ162" s="60">
        <f t="shared" si="150"/>
        <v>201.02719152328638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0.22270544519671806</v>
      </c>
      <c r="DH162" s="23">
        <f>EXP(-LN(2)/2)*DH161+(1-EXP(-LN(2)/2))/(LN(2)/2)*DB162*DE162*VLOOKUP('Données projet'!$B$13,Paramètres!$A$1:$I$89,3,0)*0.475*44/12</f>
        <v>1.1801845642704217E-19</v>
      </c>
      <c r="DI162" s="24">
        <f t="shared" si="175"/>
        <v>0.22270544519671806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>
        <f>DO162*VLOOKUP('Données projet'!$B$14,Paramètres!$A$1:$I$89,3,0)*VLOOKUP('Données projet'!$B$14,Paramètres!$A$1:$I$89,5,0)</f>
        <v>0</v>
      </c>
      <c r="DQ162" s="14" t="e">
        <f t="shared" si="176"/>
        <v>#NUM!</v>
      </c>
      <c r="DR162" s="22" t="e">
        <f t="shared" si="177"/>
        <v>#NUM!</v>
      </c>
      <c r="DS162" s="60" t="e">
        <f t="shared" si="125"/>
        <v>#NUM!</v>
      </c>
      <c r="DT162" s="60">
        <f ca="1">AVERAGE(OFFSET($DS$3,0,0,'Données projet'!$E$14+1,1))-AVERAGE(OFFSET($H$3,0,0,'Données projet'!$E$14+1,1))</f>
        <v>302.15577364214136</v>
      </c>
      <c r="DU162" s="60">
        <f t="shared" si="152"/>
        <v>197.15142751137051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-5.1159076974727213E-13</v>
      </c>
      <c r="EK162" s="18">
        <f>EJ162*VLOOKUP('Données projet'!$B$15,Paramètres!$A$1:$I$89,3,0)*VLOOKUP('Données projet'!$B$15,Paramètres!$A$1:$I$89,5,0)</f>
        <v>-5.3471467253984886E-13</v>
      </c>
      <c r="EL162" s="14" t="e">
        <f t="shared" si="179"/>
        <v>#NUM!</v>
      </c>
      <c r="EM162" s="22" t="e">
        <f t="shared" si="180"/>
        <v>#NUM!</v>
      </c>
      <c r="EN162" s="60" t="e">
        <f t="shared" si="128"/>
        <v>#NUM!</v>
      </c>
      <c r="EO162" s="60">
        <f ca="1">AVERAGE(OFFSET($EN$3,0,0,'Données projet'!$E$15+1,1))-AVERAGE(OFFSET($H$3,0,0,'Données projet'!$E$15+1,1))</f>
        <v>493.70175665335978</v>
      </c>
      <c r="EP162" s="60">
        <f t="shared" si="154"/>
        <v>325.12357781685949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0" t="e">
        <f t="shared" si="131"/>
        <v>#N/A</v>
      </c>
      <c r="FJ162" s="60" t="e">
        <f ca="1">AVERAGE(OFFSET($FI$3,0,0,'Données projet'!$E$16+1,1))-AVERAGE(OFFSET($H$3,0,0,'Données projet'!$E$16+1,1))</f>
        <v>#N/A</v>
      </c>
      <c r="FK162" s="60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0" t="e">
        <f t="shared" si="134"/>
        <v>#N/A</v>
      </c>
      <c r="GE162" s="60" t="e">
        <f ca="1">AVERAGE(OFFSET($GD$3,0,0,'Données projet'!$E$17+1,1))-AVERAGE(OFFSET($H$3,0,0,'Données projet'!$E$17+1,1))</f>
        <v>#N/A</v>
      </c>
      <c r="GF162" s="60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5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8">
        <f t="shared" si="110"/>
        <v>256.66666666666669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0">
        <f t="shared" si="109"/>
        <v>293.3333333333353</v>
      </c>
      <c r="S163" s="60">
        <f ca="1">AVERAGE(OFFSET($R$3,0,0,'Données projet'!$E$9+1,1))-AVERAGE(OFFSET($H$3,0,0,'Données projet'!$E$9+1,1))</f>
        <v>260.02504691866199</v>
      </c>
      <c r="T163" s="60">
        <f t="shared" si="142"/>
        <v>270.11268336406368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0.76251622981600864</v>
      </c>
      <c r="AA163" s="23">
        <f>EXP(-LN(2)/25)*AA162+(1-EXP(-LN(2)/25))/(LN(2)/25)*Calculateur!V163*Calculateur!X163*VLOOKUP('Données projet'!$B$9,Paramètres!$A$1:$I$89,3,0)*0.475*44/12</f>
        <v>0.44713755173181585</v>
      </c>
      <c r="AB163" s="23">
        <f>EXP(-LN(2)/2)*AB162+(1-EXP(-LN(2)/2))/(LN(2)/2)*V163*Y163*VLOOKUP('Données projet'!$B$9,Paramètres!$A$1:$I$89,3,0)*0.475*44/12</f>
        <v>1.7184498577609713E-19</v>
      </c>
      <c r="AC163" s="24">
        <f t="shared" si="163"/>
        <v>1.2096537815478245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-9.6633812063373625E-13</v>
      </c>
      <c r="AJ163" s="14">
        <f>AI163*VLOOKUP('Données projet'!$B$10,Paramètres!$A$1:$I$89,3,0)*VLOOKUP('Données projet'!$B$10,Paramètres!$A$1:$I$89,5,0)</f>
        <v>-9.7986685432260874E-13</v>
      </c>
      <c r="AK163" s="14" t="e">
        <f t="shared" si="164"/>
        <v>#NUM!</v>
      </c>
      <c r="AL163" s="22" t="e">
        <f t="shared" si="165"/>
        <v>#NUM!</v>
      </c>
      <c r="AM163" s="60" t="e">
        <f t="shared" si="113"/>
        <v>#NUM!</v>
      </c>
      <c r="AN163" s="60">
        <f ca="1">AVERAGE(OFFSET($AM$3,0,0,'Données projet'!$E$10+1,1))-AVERAGE(OFFSET($H$3,0,0,'Données projet'!$E$10+1,1))</f>
        <v>475.47920969424894</v>
      </c>
      <c r="AO163" s="60">
        <f t="shared" si="144"/>
        <v>271.73544012419364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-1.4210854715202004E-13</v>
      </c>
      <c r="BE163" s="14">
        <f>BD163*VLOOKUP('Données projet'!$B$11,Paramètres!$A$1:$I$89,3,0)*VLOOKUP('Données projet'!$B$11,Paramètres!$A$1:$I$89,5,0)</f>
        <v>-1.2857981346314773E-13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325.2649384779973</v>
      </c>
      <c r="BJ163" s="60">
        <f t="shared" si="146"/>
        <v>146.70159365068315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1.0231815394945443E-12</v>
      </c>
      <c r="BZ163" s="14">
        <f>BY163*VLOOKUP('Données projet'!$B$12,Paramètres!$A$1:$I$89,3,0)*VLOOKUP('Données projet'!$B$12,Paramètres!$A$1:$I$89,5,0)</f>
        <v>4.5224624045658859E-13</v>
      </c>
      <c r="CA163" s="14">
        <f t="shared" si="170"/>
        <v>5.6995607121061449E-12</v>
      </c>
      <c r="CB163" s="22">
        <f t="shared" si="171"/>
        <v>1.0714397109046761E-11</v>
      </c>
      <c r="CC163" s="60">
        <f t="shared" si="119"/>
        <v>293.333333333344</v>
      </c>
      <c r="CD163" s="60">
        <f ca="1">AVERAGE(OFFSET($CC$3,0,0,'Données projet'!$E$12+1,1))-AVERAGE(OFFSET($H$3,0,0,'Données projet'!$E$12+1,1))</f>
        <v>401.84375324751227</v>
      </c>
      <c r="CE163" s="60">
        <f t="shared" si="148"/>
        <v>350.39368043404164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0.22670762887160925</v>
      </c>
      <c r="CM163" s="23">
        <f>EXP(-LN(2)/2)*CM162+(1-EXP(-LN(2)/2))/(LN(2)/2)*CG163*CJ163*VLOOKUP('Données projet'!$B$12,Paramètres!$A$1:$I$89,3,0)*0.475*44/12</f>
        <v>3.776710184077896E-20</v>
      </c>
      <c r="CN163" s="24">
        <f t="shared" si="172"/>
        <v>0.22670762887160925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-1.1368683772161603E-13</v>
      </c>
      <c r="CU163" s="18">
        <f>CT163*VLOOKUP('Données projet'!$B$13,Paramètres!$A$1:$I$89,3,0)*VLOOKUP('Données projet'!$B$13,Paramètres!$A$1:$I$89,5,0)</f>
        <v>-6.7984728957526396E-14</v>
      </c>
      <c r="CV163" s="14" t="e">
        <f t="shared" si="173"/>
        <v>#NUM!</v>
      </c>
      <c r="CW163" s="22" t="e">
        <f t="shared" si="174"/>
        <v>#NUM!</v>
      </c>
      <c r="CX163" s="60" t="e">
        <f t="shared" si="122"/>
        <v>#NUM!</v>
      </c>
      <c r="CY163" s="60">
        <f ca="1">AVERAGE(OFFSET($CX$3,0,0,'Données projet'!$E$13+1,1))-AVERAGE(OFFSET($H$3,0,0,'Données projet'!$E$13+1,1))</f>
        <v>232.73140429491525</v>
      </c>
      <c r="CZ163" s="60">
        <f t="shared" si="150"/>
        <v>201.02719152328638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0.21661555308624345</v>
      </c>
      <c r="DH163" s="23">
        <f>EXP(-LN(2)/2)*DH162+(1-EXP(-LN(2)/2))/(LN(2)/2)*DB163*DE163*VLOOKUP('Données projet'!$B$13,Paramètres!$A$1:$I$89,3,0)*0.475*44/12</f>
        <v>8.3451650844730602E-20</v>
      </c>
      <c r="DI163" s="24">
        <f t="shared" si="175"/>
        <v>0.21661555308624345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>
        <f>DO163*VLOOKUP('Données projet'!$B$14,Paramètres!$A$1:$I$89,3,0)*VLOOKUP('Données projet'!$B$14,Paramètres!$A$1:$I$89,5,0)</f>
        <v>0</v>
      </c>
      <c r="DQ163" s="14" t="e">
        <f t="shared" si="176"/>
        <v>#NUM!</v>
      </c>
      <c r="DR163" s="22" t="e">
        <f t="shared" si="177"/>
        <v>#NUM!</v>
      </c>
      <c r="DS163" s="60" t="e">
        <f t="shared" si="125"/>
        <v>#NUM!</v>
      </c>
      <c r="DT163" s="60">
        <f ca="1">AVERAGE(OFFSET($DS$3,0,0,'Données projet'!$E$14+1,1))-AVERAGE(OFFSET($H$3,0,0,'Données projet'!$E$14+1,1))</f>
        <v>302.15577364214136</v>
      </c>
      <c r="DU163" s="60">
        <f t="shared" si="152"/>
        <v>197.15142751137051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-5.1159076974727213E-13</v>
      </c>
      <c r="EK163" s="18">
        <f>EJ163*VLOOKUP('Données projet'!$B$15,Paramètres!$A$1:$I$89,3,0)*VLOOKUP('Données projet'!$B$15,Paramètres!$A$1:$I$89,5,0)</f>
        <v>-5.3471467253984886E-13</v>
      </c>
      <c r="EL163" s="14" t="e">
        <f t="shared" si="179"/>
        <v>#NUM!</v>
      </c>
      <c r="EM163" s="22" t="e">
        <f t="shared" si="180"/>
        <v>#NUM!</v>
      </c>
      <c r="EN163" s="60" t="e">
        <f t="shared" si="128"/>
        <v>#NUM!</v>
      </c>
      <c r="EO163" s="60">
        <f ca="1">AVERAGE(OFFSET($EN$3,0,0,'Données projet'!$E$15+1,1))-AVERAGE(OFFSET($H$3,0,0,'Données projet'!$E$15+1,1))</f>
        <v>493.70175665335978</v>
      </c>
      <c r="EP163" s="60">
        <f t="shared" si="154"/>
        <v>325.12357781685949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0" t="e">
        <f t="shared" si="131"/>
        <v>#N/A</v>
      </c>
      <c r="FJ163" s="60" t="e">
        <f ca="1">AVERAGE(OFFSET($FI$3,0,0,'Données projet'!$E$16+1,1))-AVERAGE(OFFSET($H$3,0,0,'Données projet'!$E$16+1,1))</f>
        <v>#N/A</v>
      </c>
      <c r="FK163" s="60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0" t="e">
        <f t="shared" si="134"/>
        <v>#N/A</v>
      </c>
      <c r="GE163" s="60" t="e">
        <f ca="1">AVERAGE(OFFSET($GD$3,0,0,'Données projet'!$E$17+1,1))-AVERAGE(OFFSET($H$3,0,0,'Données projet'!$E$17+1,1))</f>
        <v>#N/A</v>
      </c>
      <c r="GF163" s="60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5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8">
        <f t="shared" si="110"/>
        <v>256.66666666666669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0">
        <f t="shared" si="109"/>
        <v>293.3333333333353</v>
      </c>
      <c r="S164" s="60">
        <f ca="1">AVERAGE(OFFSET($R$3,0,0,'Données projet'!$E$9+1,1))-AVERAGE(OFFSET($H$3,0,0,'Données projet'!$E$9+1,1))</f>
        <v>260.02504691866199</v>
      </c>
      <c r="T164" s="60">
        <f t="shared" si="142"/>
        <v>270.11268336406368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0.74756375163829314</v>
      </c>
      <c r="AA164" s="23">
        <f>EXP(-LN(2)/25)*AA163+(1-EXP(-LN(2)/25))/(LN(2)/25)*Calculateur!V164*Calculateur!X164*VLOOKUP('Données projet'!$B$9,Paramètres!$A$1:$I$89,3,0)*0.475*44/12</f>
        <v>0.43491055186576744</v>
      </c>
      <c r="AB164" s="23">
        <f>EXP(-LN(2)/2)*AB163+(1-EXP(-LN(2)/2))/(LN(2)/2)*V164*Y164*VLOOKUP('Données projet'!$B$9,Paramètres!$A$1:$I$89,3,0)*0.475*44/12</f>
        <v>1.2151275475518408E-19</v>
      </c>
      <c r="AC164" s="24">
        <f t="shared" si="163"/>
        <v>1.1824743035040606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-9.6633812063373625E-13</v>
      </c>
      <c r="AJ164" s="14">
        <f>AI164*VLOOKUP('Données projet'!$B$10,Paramètres!$A$1:$I$89,3,0)*VLOOKUP('Données projet'!$B$10,Paramètres!$A$1:$I$89,5,0)</f>
        <v>-9.7986685432260874E-13</v>
      </c>
      <c r="AK164" s="14" t="e">
        <f t="shared" si="164"/>
        <v>#NUM!</v>
      </c>
      <c r="AL164" s="22" t="e">
        <f t="shared" si="165"/>
        <v>#NUM!</v>
      </c>
      <c r="AM164" s="60" t="e">
        <f t="shared" si="113"/>
        <v>#NUM!</v>
      </c>
      <c r="AN164" s="60">
        <f ca="1">AVERAGE(OFFSET($AM$3,0,0,'Données projet'!$E$10+1,1))-AVERAGE(OFFSET($H$3,0,0,'Données projet'!$E$10+1,1))</f>
        <v>475.47920969424894</v>
      </c>
      <c r="AO164" s="60">
        <f t="shared" si="144"/>
        <v>271.73544012419364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-1.4210854715202004E-13</v>
      </c>
      <c r="BE164" s="14">
        <f>BD164*VLOOKUP('Données projet'!$B$11,Paramètres!$A$1:$I$89,3,0)*VLOOKUP('Données projet'!$B$11,Paramètres!$A$1:$I$89,5,0)</f>
        <v>-1.2857981346314773E-13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325.2649384779973</v>
      </c>
      <c r="BJ164" s="60">
        <f t="shared" si="146"/>
        <v>146.70159365068315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1.0231815394945443E-12</v>
      </c>
      <c r="BZ164" s="14">
        <f>BY164*VLOOKUP('Données projet'!$B$12,Paramètres!$A$1:$I$89,3,0)*VLOOKUP('Données projet'!$B$12,Paramètres!$A$1:$I$89,5,0)</f>
        <v>4.5224624045658859E-13</v>
      </c>
      <c r="CA164" s="14">
        <f t="shared" si="170"/>
        <v>5.6995607121061449E-12</v>
      </c>
      <c r="CB164" s="22">
        <f t="shared" si="171"/>
        <v>1.0714397109046761E-11</v>
      </c>
      <c r="CC164" s="60">
        <f t="shared" si="119"/>
        <v>293.333333333344</v>
      </c>
      <c r="CD164" s="60">
        <f ca="1">AVERAGE(OFFSET($CC$3,0,0,'Données projet'!$E$12+1,1))-AVERAGE(OFFSET($H$3,0,0,'Données projet'!$E$12+1,1))</f>
        <v>401.84375324751227</v>
      </c>
      <c r="CE164" s="60">
        <f t="shared" si="148"/>
        <v>350.39368043404164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0.22050829683807904</v>
      </c>
      <c r="CM164" s="23">
        <f>EXP(-LN(2)/2)*CM163+(1-EXP(-LN(2)/2))/(LN(2)/2)*CG164*CJ164*VLOOKUP('Données projet'!$B$12,Paramètres!$A$1:$I$89,3,0)*0.475*44/12</f>
        <v>2.6705373817377745E-20</v>
      </c>
      <c r="CN164" s="24">
        <f t="shared" si="172"/>
        <v>0.22050829683807904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-1.1368683772161603E-13</v>
      </c>
      <c r="CU164" s="18">
        <f>CT164*VLOOKUP('Données projet'!$B$13,Paramètres!$A$1:$I$89,3,0)*VLOOKUP('Données projet'!$B$13,Paramètres!$A$1:$I$89,5,0)</f>
        <v>-6.7984728957526396E-14</v>
      </c>
      <c r="CV164" s="14" t="e">
        <f t="shared" si="173"/>
        <v>#NUM!</v>
      </c>
      <c r="CW164" s="22" t="e">
        <f t="shared" si="174"/>
        <v>#NUM!</v>
      </c>
      <c r="CX164" s="60" t="e">
        <f t="shared" si="122"/>
        <v>#NUM!</v>
      </c>
      <c r="CY164" s="60">
        <f ca="1">AVERAGE(OFFSET($CX$3,0,0,'Données projet'!$E$13+1,1))-AVERAGE(OFFSET($H$3,0,0,'Données projet'!$E$13+1,1))</f>
        <v>232.73140429491525</v>
      </c>
      <c r="CZ164" s="60">
        <f t="shared" si="150"/>
        <v>201.02719152328638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0.21069218939578327</v>
      </c>
      <c r="DH164" s="23">
        <f>EXP(-LN(2)/2)*DH163+(1-EXP(-LN(2)/2))/(LN(2)/2)*DB164*DE164*VLOOKUP('Données projet'!$B$13,Paramètres!$A$1:$I$89,3,0)*0.475*44/12</f>
        <v>5.9009228213521085E-20</v>
      </c>
      <c r="DI164" s="24">
        <f t="shared" si="175"/>
        <v>0.21069218939578327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>
        <f>DO164*VLOOKUP('Données projet'!$B$14,Paramètres!$A$1:$I$89,3,0)*VLOOKUP('Données projet'!$B$14,Paramètres!$A$1:$I$89,5,0)</f>
        <v>0</v>
      </c>
      <c r="DQ164" s="14" t="e">
        <f t="shared" si="176"/>
        <v>#NUM!</v>
      </c>
      <c r="DR164" s="22" t="e">
        <f t="shared" si="177"/>
        <v>#NUM!</v>
      </c>
      <c r="DS164" s="60" t="e">
        <f t="shared" si="125"/>
        <v>#NUM!</v>
      </c>
      <c r="DT164" s="60">
        <f ca="1">AVERAGE(OFFSET($DS$3,0,0,'Données projet'!$E$14+1,1))-AVERAGE(OFFSET($H$3,0,0,'Données projet'!$E$14+1,1))</f>
        <v>302.15577364214136</v>
      </c>
      <c r="DU164" s="60">
        <f t="shared" si="152"/>
        <v>197.15142751137051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-5.1159076974727213E-13</v>
      </c>
      <c r="EK164" s="18">
        <f>EJ164*VLOOKUP('Données projet'!$B$15,Paramètres!$A$1:$I$89,3,0)*VLOOKUP('Données projet'!$B$15,Paramètres!$A$1:$I$89,5,0)</f>
        <v>-5.3471467253984886E-13</v>
      </c>
      <c r="EL164" s="14" t="e">
        <f t="shared" si="179"/>
        <v>#NUM!</v>
      </c>
      <c r="EM164" s="22" t="e">
        <f t="shared" si="180"/>
        <v>#NUM!</v>
      </c>
      <c r="EN164" s="60" t="e">
        <f t="shared" si="128"/>
        <v>#NUM!</v>
      </c>
      <c r="EO164" s="60">
        <f ca="1">AVERAGE(OFFSET($EN$3,0,0,'Données projet'!$E$15+1,1))-AVERAGE(OFFSET($H$3,0,0,'Données projet'!$E$15+1,1))</f>
        <v>493.70175665335978</v>
      </c>
      <c r="EP164" s="60">
        <f t="shared" si="154"/>
        <v>325.12357781685949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0" t="e">
        <f t="shared" si="131"/>
        <v>#N/A</v>
      </c>
      <c r="FJ164" s="60" t="e">
        <f ca="1">AVERAGE(OFFSET($FI$3,0,0,'Données projet'!$E$16+1,1))-AVERAGE(OFFSET($H$3,0,0,'Données projet'!$E$16+1,1))</f>
        <v>#N/A</v>
      </c>
      <c r="FK164" s="60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0" t="e">
        <f t="shared" si="134"/>
        <v>#N/A</v>
      </c>
      <c r="GE164" s="60" t="e">
        <f ca="1">AVERAGE(OFFSET($GD$3,0,0,'Données projet'!$E$17+1,1))-AVERAGE(OFFSET($H$3,0,0,'Données projet'!$E$17+1,1))</f>
        <v>#N/A</v>
      </c>
      <c r="GF164" s="60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5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8">
        <f t="shared" si="110"/>
        <v>256.66666666666669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0">
        <f t="shared" si="109"/>
        <v>293.3333333333353</v>
      </c>
      <c r="S165" s="60">
        <f ca="1">AVERAGE(OFFSET($R$3,0,0,'Données projet'!$E$9+1,1))-AVERAGE(OFFSET($H$3,0,0,'Données projet'!$E$9+1,1))</f>
        <v>260.02504691866199</v>
      </c>
      <c r="T165" s="60">
        <f t="shared" si="142"/>
        <v>270.11268336406368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0.73290448243753148</v>
      </c>
      <c r="AA165" s="23">
        <f>EXP(-LN(2)/25)*AA164+(1-EXP(-LN(2)/25))/(LN(2)/25)*Calculateur!V165*Calculateur!X165*VLOOKUP('Données projet'!$B$9,Paramètres!$A$1:$I$89,3,0)*0.475*44/12</f>
        <v>0.42301789995404609</v>
      </c>
      <c r="AB165" s="23">
        <f>EXP(-LN(2)/2)*AB164+(1-EXP(-LN(2)/2))/(LN(2)/2)*V165*Y165*VLOOKUP('Données projet'!$B$9,Paramètres!$A$1:$I$89,3,0)*0.475*44/12</f>
        <v>8.5922492888048563E-20</v>
      </c>
      <c r="AC165" s="24">
        <f t="shared" si="163"/>
        <v>1.1559223823915776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-9.6633812063373625E-13</v>
      </c>
      <c r="AJ165" s="14">
        <f>AI165*VLOOKUP('Données projet'!$B$10,Paramètres!$A$1:$I$89,3,0)*VLOOKUP('Données projet'!$B$10,Paramètres!$A$1:$I$89,5,0)</f>
        <v>-9.7986685432260874E-13</v>
      </c>
      <c r="AK165" s="14" t="e">
        <f t="shared" si="164"/>
        <v>#NUM!</v>
      </c>
      <c r="AL165" s="22" t="e">
        <f t="shared" si="165"/>
        <v>#NUM!</v>
      </c>
      <c r="AM165" s="60" t="e">
        <f t="shared" si="113"/>
        <v>#NUM!</v>
      </c>
      <c r="AN165" s="60">
        <f ca="1">AVERAGE(OFFSET($AM$3,0,0,'Données projet'!$E$10+1,1))-AVERAGE(OFFSET($H$3,0,0,'Données projet'!$E$10+1,1))</f>
        <v>475.47920969424894</v>
      </c>
      <c r="AO165" s="60">
        <f t="shared" si="144"/>
        <v>271.73544012419364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-1.4210854715202004E-13</v>
      </c>
      <c r="BE165" s="14">
        <f>BD165*VLOOKUP('Données projet'!$B$11,Paramètres!$A$1:$I$89,3,0)*VLOOKUP('Données projet'!$B$11,Paramètres!$A$1:$I$89,5,0)</f>
        <v>-1.2857981346314773E-13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325.2649384779973</v>
      </c>
      <c r="BJ165" s="60">
        <f t="shared" si="146"/>
        <v>146.70159365068315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1.0231815394945443E-12</v>
      </c>
      <c r="BZ165" s="14">
        <f>BY165*VLOOKUP('Données projet'!$B$12,Paramètres!$A$1:$I$89,3,0)*VLOOKUP('Données projet'!$B$12,Paramètres!$A$1:$I$89,5,0)</f>
        <v>4.5224624045658859E-13</v>
      </c>
      <c r="CA165" s="14">
        <f t="shared" si="170"/>
        <v>5.6995607121061449E-12</v>
      </c>
      <c r="CB165" s="22">
        <f t="shared" si="171"/>
        <v>1.0714397109046761E-11</v>
      </c>
      <c r="CC165" s="60">
        <f t="shared" si="119"/>
        <v>293.333333333344</v>
      </c>
      <c r="CD165" s="60">
        <f ca="1">AVERAGE(OFFSET($CC$3,0,0,'Données projet'!$E$12+1,1))-AVERAGE(OFFSET($H$3,0,0,'Données projet'!$E$12+1,1))</f>
        <v>401.84375324751227</v>
      </c>
      <c r="CE165" s="60">
        <f t="shared" si="148"/>
        <v>350.39368043404164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0.21447848586501442</v>
      </c>
      <c r="CM165" s="23">
        <f>EXP(-LN(2)/2)*CM164+(1-EXP(-LN(2)/2))/(LN(2)/2)*CG165*CJ165*VLOOKUP('Données projet'!$B$12,Paramètres!$A$1:$I$89,3,0)*0.475*44/12</f>
        <v>1.8883550920389483E-20</v>
      </c>
      <c r="CN165" s="24">
        <f t="shared" si="172"/>
        <v>0.21447848586501442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-1.1368683772161603E-13</v>
      </c>
      <c r="CU165" s="18">
        <f>CT165*VLOOKUP('Données projet'!$B$13,Paramètres!$A$1:$I$89,3,0)*VLOOKUP('Données projet'!$B$13,Paramètres!$A$1:$I$89,5,0)</f>
        <v>-6.7984728957526396E-14</v>
      </c>
      <c r="CV165" s="14" t="e">
        <f t="shared" si="173"/>
        <v>#NUM!</v>
      </c>
      <c r="CW165" s="22" t="e">
        <f t="shared" si="174"/>
        <v>#NUM!</v>
      </c>
      <c r="CX165" s="60" t="e">
        <f t="shared" si="122"/>
        <v>#NUM!</v>
      </c>
      <c r="CY165" s="60">
        <f ca="1">AVERAGE(OFFSET($CX$3,0,0,'Données projet'!$E$13+1,1))-AVERAGE(OFFSET($H$3,0,0,'Données projet'!$E$13+1,1))</f>
        <v>232.73140429491525</v>
      </c>
      <c r="CZ165" s="60">
        <f t="shared" si="150"/>
        <v>201.02719152328638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0.20493080039693487</v>
      </c>
      <c r="DH165" s="23">
        <f>EXP(-LN(2)/2)*DH164+(1-EXP(-LN(2)/2))/(LN(2)/2)*DB165*DE165*VLOOKUP('Données projet'!$B$13,Paramètres!$A$1:$I$89,3,0)*0.475*44/12</f>
        <v>4.1725825422365301E-20</v>
      </c>
      <c r="DI165" s="24">
        <f t="shared" si="175"/>
        <v>0.20493080039693487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>
        <f>DO165*VLOOKUP('Données projet'!$B$14,Paramètres!$A$1:$I$89,3,0)*VLOOKUP('Données projet'!$B$14,Paramètres!$A$1:$I$89,5,0)</f>
        <v>0</v>
      </c>
      <c r="DQ165" s="14" t="e">
        <f t="shared" si="176"/>
        <v>#NUM!</v>
      </c>
      <c r="DR165" s="22" t="e">
        <f t="shared" si="177"/>
        <v>#NUM!</v>
      </c>
      <c r="DS165" s="60" t="e">
        <f t="shared" si="125"/>
        <v>#NUM!</v>
      </c>
      <c r="DT165" s="60">
        <f ca="1">AVERAGE(OFFSET($DS$3,0,0,'Données projet'!$E$14+1,1))-AVERAGE(OFFSET($H$3,0,0,'Données projet'!$E$14+1,1))</f>
        <v>302.15577364214136</v>
      </c>
      <c r="DU165" s="60">
        <f t="shared" si="152"/>
        <v>197.15142751137051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-5.1159076974727213E-13</v>
      </c>
      <c r="EK165" s="18">
        <f>EJ165*VLOOKUP('Données projet'!$B$15,Paramètres!$A$1:$I$89,3,0)*VLOOKUP('Données projet'!$B$15,Paramètres!$A$1:$I$89,5,0)</f>
        <v>-5.3471467253984886E-13</v>
      </c>
      <c r="EL165" s="14" t="e">
        <f t="shared" si="179"/>
        <v>#NUM!</v>
      </c>
      <c r="EM165" s="22" t="e">
        <f t="shared" si="180"/>
        <v>#NUM!</v>
      </c>
      <c r="EN165" s="60" t="e">
        <f t="shared" si="128"/>
        <v>#NUM!</v>
      </c>
      <c r="EO165" s="60">
        <f ca="1">AVERAGE(OFFSET($EN$3,0,0,'Données projet'!$E$15+1,1))-AVERAGE(OFFSET($H$3,0,0,'Données projet'!$E$15+1,1))</f>
        <v>493.70175665335978</v>
      </c>
      <c r="EP165" s="60">
        <f t="shared" si="154"/>
        <v>325.12357781685949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0" t="e">
        <f t="shared" si="131"/>
        <v>#N/A</v>
      </c>
      <c r="FJ165" s="60" t="e">
        <f ca="1">AVERAGE(OFFSET($FI$3,0,0,'Données projet'!$E$16+1,1))-AVERAGE(OFFSET($H$3,0,0,'Données projet'!$E$16+1,1))</f>
        <v>#N/A</v>
      </c>
      <c r="FK165" s="60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0" t="e">
        <f t="shared" si="134"/>
        <v>#N/A</v>
      </c>
      <c r="GE165" s="60" t="e">
        <f ca="1">AVERAGE(OFFSET($GD$3,0,0,'Données projet'!$E$17+1,1))-AVERAGE(OFFSET($H$3,0,0,'Données projet'!$E$17+1,1))</f>
        <v>#N/A</v>
      </c>
      <c r="GF165" s="60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5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8">
        <f t="shared" si="110"/>
        <v>256.66666666666669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0">
        <f t="shared" si="109"/>
        <v>293.3333333333353</v>
      </c>
      <c r="S166" s="60">
        <f ca="1">AVERAGE(OFFSET($R$3,0,0,'Données projet'!$E$9+1,1))-AVERAGE(OFFSET($H$3,0,0,'Données projet'!$E$9+1,1))</f>
        <v>260.02504691866199</v>
      </c>
      <c r="T166" s="60">
        <f t="shared" si="142"/>
        <v>270.11268336406368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0.71853267256452547</v>
      </c>
      <c r="AA166" s="23">
        <f>EXP(-LN(2)/25)*AA165+(1-EXP(-LN(2)/25))/(LN(2)/25)*Calculateur!V166*Calculateur!X166*VLOOKUP('Données projet'!$B$9,Paramètres!$A$1:$I$89,3,0)*0.475*44/12</f>
        <v>0.41145045323425816</v>
      </c>
      <c r="AB166" s="23">
        <f>EXP(-LN(2)/2)*AB165+(1-EXP(-LN(2)/2))/(LN(2)/2)*V166*Y166*VLOOKUP('Données projet'!$B$9,Paramètres!$A$1:$I$89,3,0)*0.475*44/12</f>
        <v>6.0756377377592041E-20</v>
      </c>
      <c r="AC166" s="24">
        <f t="shared" si="163"/>
        <v>1.1299831257987836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-9.6633812063373625E-13</v>
      </c>
      <c r="AJ166" s="14">
        <f>AI166*VLOOKUP('Données projet'!$B$10,Paramètres!$A$1:$I$89,3,0)*VLOOKUP('Données projet'!$B$10,Paramètres!$A$1:$I$89,5,0)</f>
        <v>-9.7986685432260874E-13</v>
      </c>
      <c r="AK166" s="14" t="e">
        <f t="shared" si="164"/>
        <v>#NUM!</v>
      </c>
      <c r="AL166" s="22" t="e">
        <f t="shared" si="165"/>
        <v>#NUM!</v>
      </c>
      <c r="AM166" s="60" t="e">
        <f t="shared" si="113"/>
        <v>#NUM!</v>
      </c>
      <c r="AN166" s="60">
        <f ca="1">AVERAGE(OFFSET($AM$3,0,0,'Données projet'!$E$10+1,1))-AVERAGE(OFFSET($H$3,0,0,'Données projet'!$E$10+1,1))</f>
        <v>475.47920969424894</v>
      </c>
      <c r="AO166" s="60">
        <f t="shared" si="144"/>
        <v>271.73544012419364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-1.4210854715202004E-13</v>
      </c>
      <c r="BE166" s="14">
        <f>BD166*VLOOKUP('Données projet'!$B$11,Paramètres!$A$1:$I$89,3,0)*VLOOKUP('Données projet'!$B$11,Paramètres!$A$1:$I$89,5,0)</f>
        <v>-1.2857981346314773E-13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325.2649384779973</v>
      </c>
      <c r="BJ166" s="60">
        <f t="shared" si="146"/>
        <v>146.70159365068315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1.0231815394945443E-12</v>
      </c>
      <c r="BZ166" s="14">
        <f>BY166*VLOOKUP('Données projet'!$B$12,Paramètres!$A$1:$I$89,3,0)*VLOOKUP('Données projet'!$B$12,Paramètres!$A$1:$I$89,5,0)</f>
        <v>4.5224624045658859E-13</v>
      </c>
      <c r="CA166" s="14">
        <f t="shared" si="170"/>
        <v>5.6995607121061449E-12</v>
      </c>
      <c r="CB166" s="22">
        <f t="shared" si="171"/>
        <v>1.0714397109046761E-11</v>
      </c>
      <c r="CC166" s="60">
        <f t="shared" si="119"/>
        <v>293.333333333344</v>
      </c>
      <c r="CD166" s="60">
        <f ca="1">AVERAGE(OFFSET($CC$3,0,0,'Données projet'!$E$12+1,1))-AVERAGE(OFFSET($H$3,0,0,'Données projet'!$E$12+1,1))</f>
        <v>401.84375324751227</v>
      </c>
      <c r="CE166" s="60">
        <f t="shared" si="148"/>
        <v>350.39368043404164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0.20861356039010223</v>
      </c>
      <c r="CM166" s="23">
        <f>EXP(-LN(2)/2)*CM165+(1-EXP(-LN(2)/2))/(LN(2)/2)*CG166*CJ166*VLOOKUP('Données projet'!$B$12,Paramètres!$A$1:$I$89,3,0)*0.475*44/12</f>
        <v>1.3352686908688876E-20</v>
      </c>
      <c r="CN166" s="24">
        <f t="shared" si="172"/>
        <v>0.20861356039010223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-1.1368683772161603E-13</v>
      </c>
      <c r="CU166" s="18">
        <f>CT166*VLOOKUP('Données projet'!$B$13,Paramètres!$A$1:$I$89,3,0)*VLOOKUP('Données projet'!$B$13,Paramètres!$A$1:$I$89,5,0)</f>
        <v>-6.7984728957526396E-14</v>
      </c>
      <c r="CV166" s="14" t="e">
        <f t="shared" si="173"/>
        <v>#NUM!</v>
      </c>
      <c r="CW166" s="22" t="e">
        <f t="shared" si="174"/>
        <v>#NUM!</v>
      </c>
      <c r="CX166" s="60" t="e">
        <f t="shared" si="122"/>
        <v>#NUM!</v>
      </c>
      <c r="CY166" s="60">
        <f ca="1">AVERAGE(OFFSET($CX$3,0,0,'Données projet'!$E$13+1,1))-AVERAGE(OFFSET($H$3,0,0,'Données projet'!$E$13+1,1))</f>
        <v>232.73140429491525</v>
      </c>
      <c r="CZ166" s="60">
        <f t="shared" si="150"/>
        <v>201.02719152328638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0.19932695688323826</v>
      </c>
      <c r="DH166" s="23">
        <f>EXP(-LN(2)/2)*DH165+(1-EXP(-LN(2)/2))/(LN(2)/2)*DB166*DE166*VLOOKUP('Données projet'!$B$13,Paramètres!$A$1:$I$89,3,0)*0.475*44/12</f>
        <v>2.9504614106760543E-20</v>
      </c>
      <c r="DI166" s="24">
        <f t="shared" si="175"/>
        <v>0.19932695688323826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>
        <f>DO166*VLOOKUP('Données projet'!$B$14,Paramètres!$A$1:$I$89,3,0)*VLOOKUP('Données projet'!$B$14,Paramètres!$A$1:$I$89,5,0)</f>
        <v>0</v>
      </c>
      <c r="DQ166" s="14" t="e">
        <f t="shared" si="176"/>
        <v>#NUM!</v>
      </c>
      <c r="DR166" s="22" t="e">
        <f t="shared" si="177"/>
        <v>#NUM!</v>
      </c>
      <c r="DS166" s="60" t="e">
        <f t="shared" si="125"/>
        <v>#NUM!</v>
      </c>
      <c r="DT166" s="60">
        <f ca="1">AVERAGE(OFFSET($DS$3,0,0,'Données projet'!$E$14+1,1))-AVERAGE(OFFSET($H$3,0,0,'Données projet'!$E$14+1,1))</f>
        <v>302.15577364214136</v>
      </c>
      <c r="DU166" s="60">
        <f t="shared" si="152"/>
        <v>197.15142751137051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-5.1159076974727213E-13</v>
      </c>
      <c r="EK166" s="18">
        <f>EJ166*VLOOKUP('Données projet'!$B$15,Paramètres!$A$1:$I$89,3,0)*VLOOKUP('Données projet'!$B$15,Paramètres!$A$1:$I$89,5,0)</f>
        <v>-5.3471467253984886E-13</v>
      </c>
      <c r="EL166" s="14" t="e">
        <f t="shared" si="179"/>
        <v>#NUM!</v>
      </c>
      <c r="EM166" s="22" t="e">
        <f t="shared" si="180"/>
        <v>#NUM!</v>
      </c>
      <c r="EN166" s="60" t="e">
        <f t="shared" si="128"/>
        <v>#NUM!</v>
      </c>
      <c r="EO166" s="60">
        <f ca="1">AVERAGE(OFFSET($EN$3,0,0,'Données projet'!$E$15+1,1))-AVERAGE(OFFSET($H$3,0,0,'Données projet'!$E$15+1,1))</f>
        <v>493.70175665335978</v>
      </c>
      <c r="EP166" s="60">
        <f t="shared" si="154"/>
        <v>325.12357781685949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0" t="e">
        <f t="shared" si="131"/>
        <v>#N/A</v>
      </c>
      <c r="FJ166" s="60" t="e">
        <f ca="1">AVERAGE(OFFSET($FI$3,0,0,'Données projet'!$E$16+1,1))-AVERAGE(OFFSET($H$3,0,0,'Données projet'!$E$16+1,1))</f>
        <v>#N/A</v>
      </c>
      <c r="FK166" s="60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0" t="e">
        <f t="shared" si="134"/>
        <v>#N/A</v>
      </c>
      <c r="GE166" s="60" t="e">
        <f ca="1">AVERAGE(OFFSET($GD$3,0,0,'Données projet'!$E$17+1,1))-AVERAGE(OFFSET($H$3,0,0,'Données projet'!$E$17+1,1))</f>
        <v>#N/A</v>
      </c>
      <c r="GF166" s="60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5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8">
        <f t="shared" si="110"/>
        <v>256.66666666666669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0">
        <f t="shared" si="109"/>
        <v>293.3333333333353</v>
      </c>
      <c r="S167" s="60">
        <f ca="1">AVERAGE(OFFSET($R$3,0,0,'Données projet'!$E$9+1,1))-AVERAGE(OFFSET($H$3,0,0,'Données projet'!$E$9+1,1))</f>
        <v>260.02504691866199</v>
      </c>
      <c r="T167" s="60">
        <f t="shared" si="142"/>
        <v>270.11268336406368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0.70444268511719066</v>
      </c>
      <c r="AA167" s="23">
        <f>EXP(-LN(2)/25)*AA166+(1-EXP(-LN(2)/25))/(LN(2)/25)*Calculateur!V167*Calculateur!X167*VLOOKUP('Données projet'!$B$9,Paramètres!$A$1:$I$89,3,0)*0.475*44/12</f>
        <v>0.40019931895332844</v>
      </c>
      <c r="AB167" s="23">
        <f>EXP(-LN(2)/2)*AB166+(1-EXP(-LN(2)/2))/(LN(2)/2)*V167*Y167*VLOOKUP('Données projet'!$B$9,Paramètres!$A$1:$I$89,3,0)*0.475*44/12</f>
        <v>4.2961246444024282E-20</v>
      </c>
      <c r="AC167" s="24">
        <f t="shared" si="163"/>
        <v>1.1046420040705192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-9.6633812063373625E-13</v>
      </c>
      <c r="AJ167" s="14">
        <f>AI167*VLOOKUP('Données projet'!$B$10,Paramètres!$A$1:$I$89,3,0)*VLOOKUP('Données projet'!$B$10,Paramètres!$A$1:$I$89,5,0)</f>
        <v>-9.7986685432260874E-13</v>
      </c>
      <c r="AK167" s="14" t="e">
        <f t="shared" si="164"/>
        <v>#NUM!</v>
      </c>
      <c r="AL167" s="22" t="e">
        <f t="shared" si="165"/>
        <v>#NUM!</v>
      </c>
      <c r="AM167" s="60" t="e">
        <f t="shared" si="113"/>
        <v>#NUM!</v>
      </c>
      <c r="AN167" s="60">
        <f ca="1">AVERAGE(OFFSET($AM$3,0,0,'Données projet'!$E$10+1,1))-AVERAGE(OFFSET($H$3,0,0,'Données projet'!$E$10+1,1))</f>
        <v>475.47920969424894</v>
      </c>
      <c r="AO167" s="60">
        <f t="shared" si="144"/>
        <v>271.73544012419364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-1.4210854715202004E-13</v>
      </c>
      <c r="BE167" s="14">
        <f>BD167*VLOOKUP('Données projet'!$B$11,Paramètres!$A$1:$I$89,3,0)*VLOOKUP('Données projet'!$B$11,Paramètres!$A$1:$I$89,5,0)</f>
        <v>-1.2857981346314773E-13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325.2649384779973</v>
      </c>
      <c r="BJ167" s="60">
        <f t="shared" si="146"/>
        <v>146.70159365068315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1.0231815394945443E-12</v>
      </c>
      <c r="BZ167" s="14">
        <f>BY167*VLOOKUP('Données projet'!$B$12,Paramètres!$A$1:$I$89,3,0)*VLOOKUP('Données projet'!$B$12,Paramètres!$A$1:$I$89,5,0)</f>
        <v>4.5224624045658859E-13</v>
      </c>
      <c r="CA167" s="14">
        <f t="shared" si="170"/>
        <v>5.6995607121061449E-12</v>
      </c>
      <c r="CB167" s="22">
        <f t="shared" si="171"/>
        <v>1.0714397109046761E-11</v>
      </c>
      <c r="CC167" s="60">
        <f t="shared" si="119"/>
        <v>293.333333333344</v>
      </c>
      <c r="CD167" s="60">
        <f ca="1">AVERAGE(OFFSET($CC$3,0,0,'Données projet'!$E$12+1,1))-AVERAGE(OFFSET($H$3,0,0,'Données projet'!$E$12+1,1))</f>
        <v>401.84375324751227</v>
      </c>
      <c r="CE167" s="60">
        <f t="shared" si="148"/>
        <v>350.39368043404164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0.20290901161072453</v>
      </c>
      <c r="CM167" s="23">
        <f>EXP(-LN(2)/2)*CM166+(1-EXP(-LN(2)/2))/(LN(2)/2)*CG167*CJ167*VLOOKUP('Données projet'!$B$12,Paramètres!$A$1:$I$89,3,0)*0.475*44/12</f>
        <v>9.441775460194743E-21</v>
      </c>
      <c r="CN167" s="24">
        <f t="shared" si="172"/>
        <v>0.20290901161072453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-1.1368683772161603E-13</v>
      </c>
      <c r="CU167" s="18">
        <f>CT167*VLOOKUP('Données projet'!$B$13,Paramètres!$A$1:$I$89,3,0)*VLOOKUP('Données projet'!$B$13,Paramètres!$A$1:$I$89,5,0)</f>
        <v>-6.7984728957526396E-14</v>
      </c>
      <c r="CV167" s="14" t="e">
        <f t="shared" si="173"/>
        <v>#NUM!</v>
      </c>
      <c r="CW167" s="22" t="e">
        <f t="shared" si="174"/>
        <v>#NUM!</v>
      </c>
      <c r="CX167" s="60" t="e">
        <f t="shared" si="122"/>
        <v>#NUM!</v>
      </c>
      <c r="CY167" s="60">
        <f ca="1">AVERAGE(OFFSET($CX$3,0,0,'Données projet'!$E$13+1,1))-AVERAGE(OFFSET($H$3,0,0,'Données projet'!$E$13+1,1))</f>
        <v>232.73140429491525</v>
      </c>
      <c r="CZ167" s="60">
        <f t="shared" si="150"/>
        <v>201.02719152328638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0.19387635076511703</v>
      </c>
      <c r="DH167" s="23">
        <f>EXP(-LN(2)/2)*DH166+(1-EXP(-LN(2)/2))/(LN(2)/2)*DB167*DE167*VLOOKUP('Données projet'!$B$13,Paramètres!$A$1:$I$89,3,0)*0.475*44/12</f>
        <v>2.0862912711182651E-20</v>
      </c>
      <c r="DI167" s="24">
        <f t="shared" si="175"/>
        <v>0.19387635076511703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>
        <f>DO167*VLOOKUP('Données projet'!$B$14,Paramètres!$A$1:$I$89,3,0)*VLOOKUP('Données projet'!$B$14,Paramètres!$A$1:$I$89,5,0)</f>
        <v>0</v>
      </c>
      <c r="DQ167" s="14" t="e">
        <f t="shared" si="176"/>
        <v>#NUM!</v>
      </c>
      <c r="DR167" s="22" t="e">
        <f t="shared" si="177"/>
        <v>#NUM!</v>
      </c>
      <c r="DS167" s="60" t="e">
        <f t="shared" si="125"/>
        <v>#NUM!</v>
      </c>
      <c r="DT167" s="60">
        <f ca="1">AVERAGE(OFFSET($DS$3,0,0,'Données projet'!$E$14+1,1))-AVERAGE(OFFSET($H$3,0,0,'Données projet'!$E$14+1,1))</f>
        <v>302.15577364214136</v>
      </c>
      <c r="DU167" s="60">
        <f t="shared" si="152"/>
        <v>197.15142751137051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-5.1159076974727213E-13</v>
      </c>
      <c r="EK167" s="18">
        <f>EJ167*VLOOKUP('Données projet'!$B$15,Paramètres!$A$1:$I$89,3,0)*VLOOKUP('Données projet'!$B$15,Paramètres!$A$1:$I$89,5,0)</f>
        <v>-5.3471467253984886E-13</v>
      </c>
      <c r="EL167" s="14" t="e">
        <f t="shared" si="179"/>
        <v>#NUM!</v>
      </c>
      <c r="EM167" s="22" t="e">
        <f t="shared" si="180"/>
        <v>#NUM!</v>
      </c>
      <c r="EN167" s="60" t="e">
        <f t="shared" si="128"/>
        <v>#NUM!</v>
      </c>
      <c r="EO167" s="60">
        <f ca="1">AVERAGE(OFFSET($EN$3,0,0,'Données projet'!$E$15+1,1))-AVERAGE(OFFSET($H$3,0,0,'Données projet'!$E$15+1,1))</f>
        <v>493.70175665335978</v>
      </c>
      <c r="EP167" s="60">
        <f t="shared" si="154"/>
        <v>325.12357781685949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0" t="e">
        <f t="shared" si="131"/>
        <v>#N/A</v>
      </c>
      <c r="FJ167" s="60" t="e">
        <f ca="1">AVERAGE(OFFSET($FI$3,0,0,'Données projet'!$E$16+1,1))-AVERAGE(OFFSET($H$3,0,0,'Données projet'!$E$16+1,1))</f>
        <v>#N/A</v>
      </c>
      <c r="FK167" s="60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0" t="e">
        <f t="shared" si="134"/>
        <v>#N/A</v>
      </c>
      <c r="GE167" s="60" t="e">
        <f ca="1">AVERAGE(OFFSET($GD$3,0,0,'Données projet'!$E$17+1,1))-AVERAGE(OFFSET($H$3,0,0,'Données projet'!$E$17+1,1))</f>
        <v>#N/A</v>
      </c>
      <c r="GF167" s="60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5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8">
        <f t="shared" si="110"/>
        <v>256.66666666666669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0">
        <f t="shared" si="109"/>
        <v>293.3333333333353</v>
      </c>
      <c r="S168" s="60">
        <f ca="1">AVERAGE(OFFSET($R$3,0,0,'Données projet'!$E$9+1,1))-AVERAGE(OFFSET($H$3,0,0,'Données projet'!$E$9+1,1))</f>
        <v>260.02504691866199</v>
      </c>
      <c r="T168" s="60">
        <f t="shared" si="142"/>
        <v>270.11268336406368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0.69062899372965436</v>
      </c>
      <c r="AA168" s="23">
        <f>EXP(-LN(2)/25)*AA167+(1-EXP(-LN(2)/25))/(LN(2)/25)*Calculateur!V168*Calculateur!X168*VLOOKUP('Données projet'!$B$9,Paramètres!$A$1:$I$89,3,0)*0.475*44/12</f>
        <v>0.38925584753098214</v>
      </c>
      <c r="AB168" s="23">
        <f>EXP(-LN(2)/2)*AB167+(1-EXP(-LN(2)/2))/(LN(2)/2)*V168*Y168*VLOOKUP('Données projet'!$B$9,Paramètres!$A$1:$I$89,3,0)*0.475*44/12</f>
        <v>3.0378188688796021E-20</v>
      </c>
      <c r="AC168" s="24">
        <f t="shared" si="163"/>
        <v>1.0798848412606366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-9.6633812063373625E-13</v>
      </c>
      <c r="AJ168" s="14">
        <f>AI168*VLOOKUP('Données projet'!$B$10,Paramètres!$A$1:$I$89,3,0)*VLOOKUP('Données projet'!$B$10,Paramètres!$A$1:$I$89,5,0)</f>
        <v>-9.7986685432260874E-13</v>
      </c>
      <c r="AK168" s="14" t="e">
        <f t="shared" si="164"/>
        <v>#NUM!</v>
      </c>
      <c r="AL168" s="22" t="e">
        <f t="shared" si="165"/>
        <v>#NUM!</v>
      </c>
      <c r="AM168" s="60" t="e">
        <f t="shared" si="113"/>
        <v>#NUM!</v>
      </c>
      <c r="AN168" s="60">
        <f ca="1">AVERAGE(OFFSET($AM$3,0,0,'Données projet'!$E$10+1,1))-AVERAGE(OFFSET($H$3,0,0,'Données projet'!$E$10+1,1))</f>
        <v>475.47920969424894</v>
      </c>
      <c r="AO168" s="60">
        <f t="shared" si="144"/>
        <v>271.73544012419364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-1.4210854715202004E-13</v>
      </c>
      <c r="BE168" s="14">
        <f>BD168*VLOOKUP('Données projet'!$B$11,Paramètres!$A$1:$I$89,3,0)*VLOOKUP('Données projet'!$B$11,Paramètres!$A$1:$I$89,5,0)</f>
        <v>-1.2857981346314773E-13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325.2649384779973</v>
      </c>
      <c r="BJ168" s="60">
        <f t="shared" si="146"/>
        <v>146.70159365068315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1.0231815394945443E-12</v>
      </c>
      <c r="BZ168" s="14">
        <f>BY168*VLOOKUP('Données projet'!$B$12,Paramètres!$A$1:$I$89,3,0)*VLOOKUP('Données projet'!$B$12,Paramètres!$A$1:$I$89,5,0)</f>
        <v>4.5224624045658859E-13</v>
      </c>
      <c r="CA168" s="14">
        <f t="shared" si="170"/>
        <v>5.6995607121061449E-12</v>
      </c>
      <c r="CB168" s="22">
        <f t="shared" si="171"/>
        <v>1.0714397109046761E-11</v>
      </c>
      <c r="CC168" s="60">
        <f t="shared" si="119"/>
        <v>293.333333333344</v>
      </c>
      <c r="CD168" s="60">
        <f ca="1">AVERAGE(OFFSET($CC$3,0,0,'Données projet'!$E$12+1,1))-AVERAGE(OFFSET($H$3,0,0,'Données projet'!$E$12+1,1))</f>
        <v>401.84375324751227</v>
      </c>
      <c r="CE168" s="60">
        <f t="shared" si="148"/>
        <v>350.39368043404164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0.1973604540177081</v>
      </c>
      <c r="CM168" s="23">
        <f>EXP(-LN(2)/2)*CM167+(1-EXP(-LN(2)/2))/(LN(2)/2)*CG168*CJ168*VLOOKUP('Données projet'!$B$12,Paramètres!$A$1:$I$89,3,0)*0.475*44/12</f>
        <v>6.6763434543444385E-21</v>
      </c>
      <c r="CN168" s="24">
        <f t="shared" si="172"/>
        <v>0.1973604540177081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-1.1368683772161603E-13</v>
      </c>
      <c r="CU168" s="18">
        <f>CT168*VLOOKUP('Données projet'!$B$13,Paramètres!$A$1:$I$89,3,0)*VLOOKUP('Données projet'!$B$13,Paramètres!$A$1:$I$89,5,0)</f>
        <v>-6.7984728957526396E-14</v>
      </c>
      <c r="CV168" s="14" t="e">
        <f t="shared" si="173"/>
        <v>#NUM!</v>
      </c>
      <c r="CW168" s="22" t="e">
        <f t="shared" si="174"/>
        <v>#NUM!</v>
      </c>
      <c r="CX168" s="60" t="e">
        <f t="shared" si="122"/>
        <v>#NUM!</v>
      </c>
      <c r="CY168" s="60">
        <f ca="1">AVERAGE(OFFSET($CX$3,0,0,'Données projet'!$E$13+1,1))-AVERAGE(OFFSET($H$3,0,0,'Données projet'!$E$13+1,1))</f>
        <v>232.73140429491525</v>
      </c>
      <c r="CZ168" s="60">
        <f t="shared" si="150"/>
        <v>201.02719152328638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0.18857479175793074</v>
      </c>
      <c r="DH168" s="23">
        <f>EXP(-LN(2)/2)*DH167+(1-EXP(-LN(2)/2))/(LN(2)/2)*DB168*DE168*VLOOKUP('Données projet'!$B$13,Paramètres!$A$1:$I$89,3,0)*0.475*44/12</f>
        <v>1.4752307053380271E-20</v>
      </c>
      <c r="DI168" s="24">
        <f t="shared" si="175"/>
        <v>0.18857479175793074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>
        <f>DO168*VLOOKUP('Données projet'!$B$14,Paramètres!$A$1:$I$89,3,0)*VLOOKUP('Données projet'!$B$14,Paramètres!$A$1:$I$89,5,0)</f>
        <v>0</v>
      </c>
      <c r="DQ168" s="14" t="e">
        <f t="shared" si="176"/>
        <v>#NUM!</v>
      </c>
      <c r="DR168" s="22" t="e">
        <f t="shared" si="177"/>
        <v>#NUM!</v>
      </c>
      <c r="DS168" s="60" t="e">
        <f t="shared" si="125"/>
        <v>#NUM!</v>
      </c>
      <c r="DT168" s="60">
        <f ca="1">AVERAGE(OFFSET($DS$3,0,0,'Données projet'!$E$14+1,1))-AVERAGE(OFFSET($H$3,0,0,'Données projet'!$E$14+1,1))</f>
        <v>302.15577364214136</v>
      </c>
      <c r="DU168" s="60">
        <f t="shared" si="152"/>
        <v>197.15142751137051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-5.1159076974727213E-13</v>
      </c>
      <c r="EK168" s="18">
        <f>EJ168*VLOOKUP('Données projet'!$B$15,Paramètres!$A$1:$I$89,3,0)*VLOOKUP('Données projet'!$B$15,Paramètres!$A$1:$I$89,5,0)</f>
        <v>-5.3471467253984886E-13</v>
      </c>
      <c r="EL168" s="14" t="e">
        <f t="shared" si="179"/>
        <v>#NUM!</v>
      </c>
      <c r="EM168" s="22" t="e">
        <f t="shared" si="180"/>
        <v>#NUM!</v>
      </c>
      <c r="EN168" s="60" t="e">
        <f t="shared" si="128"/>
        <v>#NUM!</v>
      </c>
      <c r="EO168" s="60">
        <f ca="1">AVERAGE(OFFSET($EN$3,0,0,'Données projet'!$E$15+1,1))-AVERAGE(OFFSET($H$3,0,0,'Données projet'!$E$15+1,1))</f>
        <v>493.70175665335978</v>
      </c>
      <c r="EP168" s="60">
        <f t="shared" si="154"/>
        <v>325.12357781685949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0" t="e">
        <f t="shared" si="131"/>
        <v>#N/A</v>
      </c>
      <c r="FJ168" s="60" t="e">
        <f ca="1">AVERAGE(OFFSET($FI$3,0,0,'Données projet'!$E$16+1,1))-AVERAGE(OFFSET($H$3,0,0,'Données projet'!$E$16+1,1))</f>
        <v>#N/A</v>
      </c>
      <c r="FK168" s="60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0" t="e">
        <f t="shared" si="134"/>
        <v>#N/A</v>
      </c>
      <c r="GE168" s="60" t="e">
        <f ca="1">AVERAGE(OFFSET($GD$3,0,0,'Données projet'!$E$17+1,1))-AVERAGE(OFFSET($H$3,0,0,'Données projet'!$E$17+1,1))</f>
        <v>#N/A</v>
      </c>
      <c r="GF168" s="60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5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8">
        <f t="shared" si="110"/>
        <v>256.66666666666669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0">
        <f t="shared" si="109"/>
        <v>293.3333333333353</v>
      </c>
      <c r="S169" s="60">
        <f ca="1">AVERAGE(OFFSET($R$3,0,0,'Données projet'!$E$9+1,1))-AVERAGE(OFFSET($H$3,0,0,'Données projet'!$E$9+1,1))</f>
        <v>260.02504691866199</v>
      </c>
      <c r="T169" s="60">
        <f t="shared" si="142"/>
        <v>270.11268336406368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0.6770861804047078</v>
      </c>
      <c r="AA169" s="23">
        <f>EXP(-LN(2)/25)*AA168+(1-EXP(-LN(2)/25))/(LN(2)/25)*Calculateur!V169*Calculateur!X169*VLOOKUP('Données projet'!$B$9,Paramètres!$A$1:$I$89,3,0)*0.475*44/12</f>
        <v>0.37861162591017206</v>
      </c>
      <c r="AB169" s="23">
        <f>EXP(-LN(2)/2)*AB168+(1-EXP(-LN(2)/2))/(LN(2)/2)*V169*Y169*VLOOKUP('Données projet'!$B$9,Paramètres!$A$1:$I$89,3,0)*0.475*44/12</f>
        <v>2.1480623222012141E-20</v>
      </c>
      <c r="AC169" s="24">
        <f t="shared" si="163"/>
        <v>1.0556978063148799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-9.6633812063373625E-13</v>
      </c>
      <c r="AJ169" s="14">
        <f>AI169*VLOOKUP('Données projet'!$B$10,Paramètres!$A$1:$I$89,3,0)*VLOOKUP('Données projet'!$B$10,Paramètres!$A$1:$I$89,5,0)</f>
        <v>-9.7986685432260874E-13</v>
      </c>
      <c r="AK169" s="14" t="e">
        <f t="shared" si="164"/>
        <v>#NUM!</v>
      </c>
      <c r="AL169" s="22" t="e">
        <f t="shared" si="165"/>
        <v>#NUM!</v>
      </c>
      <c r="AM169" s="60" t="e">
        <f t="shared" si="113"/>
        <v>#NUM!</v>
      </c>
      <c r="AN169" s="60">
        <f ca="1">AVERAGE(OFFSET($AM$3,0,0,'Données projet'!$E$10+1,1))-AVERAGE(OFFSET($H$3,0,0,'Données projet'!$E$10+1,1))</f>
        <v>475.47920969424894</v>
      </c>
      <c r="AO169" s="60">
        <f t="shared" si="144"/>
        <v>271.73544012419364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-1.4210854715202004E-13</v>
      </c>
      <c r="BE169" s="14">
        <f>BD169*VLOOKUP('Données projet'!$B$11,Paramètres!$A$1:$I$89,3,0)*VLOOKUP('Données projet'!$B$11,Paramètres!$A$1:$I$89,5,0)</f>
        <v>-1.2857981346314773E-13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325.2649384779973</v>
      </c>
      <c r="BJ169" s="60">
        <f t="shared" si="146"/>
        <v>146.70159365068315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1.0231815394945443E-12</v>
      </c>
      <c r="BZ169" s="14">
        <f>BY169*VLOOKUP('Données projet'!$B$12,Paramètres!$A$1:$I$89,3,0)*VLOOKUP('Données projet'!$B$12,Paramètres!$A$1:$I$89,5,0)</f>
        <v>4.5224624045658859E-13</v>
      </c>
      <c r="CA169" s="14">
        <f t="shared" si="170"/>
        <v>5.6995607121061449E-12</v>
      </c>
      <c r="CB169" s="22">
        <f t="shared" si="171"/>
        <v>1.0714397109046761E-11</v>
      </c>
      <c r="CC169" s="60">
        <f t="shared" si="119"/>
        <v>293.333333333344</v>
      </c>
      <c r="CD169" s="60">
        <f ca="1">AVERAGE(OFFSET($CC$3,0,0,'Données projet'!$E$12+1,1))-AVERAGE(OFFSET($H$3,0,0,'Données projet'!$E$12+1,1))</f>
        <v>401.84375324751227</v>
      </c>
      <c r="CE169" s="60">
        <f t="shared" si="148"/>
        <v>350.39368043404164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0.19196362202385867</v>
      </c>
      <c r="CM169" s="23">
        <f>EXP(-LN(2)/2)*CM168+(1-EXP(-LN(2)/2))/(LN(2)/2)*CG169*CJ169*VLOOKUP('Données projet'!$B$12,Paramètres!$A$1:$I$89,3,0)*0.475*44/12</f>
        <v>4.7208877300973723E-21</v>
      </c>
      <c r="CN169" s="24">
        <f t="shared" si="172"/>
        <v>0.19196362202385867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-1.1368683772161603E-13</v>
      </c>
      <c r="CU169" s="18">
        <f>CT169*VLOOKUP('Données projet'!$B$13,Paramètres!$A$1:$I$89,3,0)*VLOOKUP('Données projet'!$B$13,Paramètres!$A$1:$I$89,5,0)</f>
        <v>-6.7984728957526396E-14</v>
      </c>
      <c r="CV169" s="14" t="e">
        <f t="shared" si="173"/>
        <v>#NUM!</v>
      </c>
      <c r="CW169" s="22" t="e">
        <f t="shared" si="174"/>
        <v>#NUM!</v>
      </c>
      <c r="CX169" s="60" t="e">
        <f t="shared" si="122"/>
        <v>#NUM!</v>
      </c>
      <c r="CY169" s="60">
        <f ca="1">AVERAGE(OFFSET($CX$3,0,0,'Données projet'!$E$13+1,1))-AVERAGE(OFFSET($H$3,0,0,'Données projet'!$E$13+1,1))</f>
        <v>232.73140429491525</v>
      </c>
      <c r="CZ169" s="60">
        <f t="shared" si="150"/>
        <v>201.02719152328638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0.18341820416059282</v>
      </c>
      <c r="DH169" s="23">
        <f>EXP(-LN(2)/2)*DH168+(1-EXP(-LN(2)/2))/(LN(2)/2)*DB169*DE169*VLOOKUP('Données projet'!$B$13,Paramètres!$A$1:$I$89,3,0)*0.475*44/12</f>
        <v>1.0431456355591325E-20</v>
      </c>
      <c r="DI169" s="24">
        <f t="shared" si="175"/>
        <v>0.18341820416059282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>
        <f>DO169*VLOOKUP('Données projet'!$B$14,Paramètres!$A$1:$I$89,3,0)*VLOOKUP('Données projet'!$B$14,Paramètres!$A$1:$I$89,5,0)</f>
        <v>0</v>
      </c>
      <c r="DQ169" s="14" t="e">
        <f t="shared" si="176"/>
        <v>#NUM!</v>
      </c>
      <c r="DR169" s="22" t="e">
        <f t="shared" si="177"/>
        <v>#NUM!</v>
      </c>
      <c r="DS169" s="60" t="e">
        <f t="shared" si="125"/>
        <v>#NUM!</v>
      </c>
      <c r="DT169" s="60">
        <f ca="1">AVERAGE(OFFSET($DS$3,0,0,'Données projet'!$E$14+1,1))-AVERAGE(OFFSET($H$3,0,0,'Données projet'!$E$14+1,1))</f>
        <v>302.15577364214136</v>
      </c>
      <c r="DU169" s="60">
        <f t="shared" si="152"/>
        <v>197.15142751137051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-5.1159076974727213E-13</v>
      </c>
      <c r="EK169" s="18">
        <f>EJ169*VLOOKUP('Données projet'!$B$15,Paramètres!$A$1:$I$89,3,0)*VLOOKUP('Données projet'!$B$15,Paramètres!$A$1:$I$89,5,0)</f>
        <v>-5.3471467253984886E-13</v>
      </c>
      <c r="EL169" s="14" t="e">
        <f t="shared" si="179"/>
        <v>#NUM!</v>
      </c>
      <c r="EM169" s="22" t="e">
        <f t="shared" si="180"/>
        <v>#NUM!</v>
      </c>
      <c r="EN169" s="60" t="e">
        <f t="shared" si="128"/>
        <v>#NUM!</v>
      </c>
      <c r="EO169" s="60">
        <f ca="1">AVERAGE(OFFSET($EN$3,0,0,'Données projet'!$E$15+1,1))-AVERAGE(OFFSET($H$3,0,0,'Données projet'!$E$15+1,1))</f>
        <v>493.70175665335978</v>
      </c>
      <c r="EP169" s="60">
        <f t="shared" si="154"/>
        <v>325.12357781685949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0" t="e">
        <f t="shared" si="131"/>
        <v>#N/A</v>
      </c>
      <c r="FJ169" s="60" t="e">
        <f ca="1">AVERAGE(OFFSET($FI$3,0,0,'Données projet'!$E$16+1,1))-AVERAGE(OFFSET($H$3,0,0,'Données projet'!$E$16+1,1))</f>
        <v>#N/A</v>
      </c>
      <c r="FK169" s="60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0" t="e">
        <f t="shared" si="134"/>
        <v>#N/A</v>
      </c>
      <c r="GE169" s="60" t="e">
        <f ca="1">AVERAGE(OFFSET($GD$3,0,0,'Données projet'!$E$17+1,1))-AVERAGE(OFFSET($H$3,0,0,'Données projet'!$E$17+1,1))</f>
        <v>#N/A</v>
      </c>
      <c r="GF169" s="60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5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8">
        <f t="shared" si="110"/>
        <v>256.66666666666669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0">
        <f t="shared" si="109"/>
        <v>293.3333333333353</v>
      </c>
      <c r="S170" s="60">
        <f ca="1">AVERAGE(OFFSET($R$3,0,0,'Données projet'!$E$9+1,1))-AVERAGE(OFFSET($H$3,0,0,'Données projet'!$E$9+1,1))</f>
        <v>260.02504691866199</v>
      </c>
      <c r="T170" s="60">
        <f t="shared" si="142"/>
        <v>270.11268336406368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0.66380893338876301</v>
      </c>
      <c r="AA170" s="23">
        <f>EXP(-LN(2)/25)*AA169+(1-EXP(-LN(2)/25))/(LN(2)/25)*Calculateur!V170*Calculateur!X170*VLOOKUP('Données projet'!$B$9,Paramètres!$A$1:$I$89,3,0)*0.475*44/12</f>
        <v>0.36825847108933835</v>
      </c>
      <c r="AB170" s="23">
        <f>EXP(-LN(2)/2)*AB169+(1-EXP(-LN(2)/2))/(LN(2)/2)*V170*Y170*VLOOKUP('Données projet'!$B$9,Paramètres!$A$1:$I$89,3,0)*0.475*44/12</f>
        <v>1.518909434439801E-20</v>
      </c>
      <c r="AC170" s="24">
        <f t="shared" si="163"/>
        <v>1.0320674044781013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-9.6633812063373625E-13</v>
      </c>
      <c r="AJ170" s="14">
        <f>AI170*VLOOKUP('Données projet'!$B$10,Paramètres!$A$1:$I$89,3,0)*VLOOKUP('Données projet'!$B$10,Paramètres!$A$1:$I$89,5,0)</f>
        <v>-9.7986685432260874E-13</v>
      </c>
      <c r="AK170" s="14" t="e">
        <f t="shared" si="164"/>
        <v>#NUM!</v>
      </c>
      <c r="AL170" s="22" t="e">
        <f t="shared" si="165"/>
        <v>#NUM!</v>
      </c>
      <c r="AM170" s="60" t="e">
        <f t="shared" si="113"/>
        <v>#NUM!</v>
      </c>
      <c r="AN170" s="60">
        <f ca="1">AVERAGE(OFFSET($AM$3,0,0,'Données projet'!$E$10+1,1))-AVERAGE(OFFSET($H$3,0,0,'Données projet'!$E$10+1,1))</f>
        <v>475.47920969424894</v>
      </c>
      <c r="AO170" s="60">
        <f t="shared" si="144"/>
        <v>271.73544012419364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-1.4210854715202004E-13</v>
      </c>
      <c r="BE170" s="14">
        <f>BD170*VLOOKUP('Données projet'!$B$11,Paramètres!$A$1:$I$89,3,0)*VLOOKUP('Données projet'!$B$11,Paramètres!$A$1:$I$89,5,0)</f>
        <v>-1.2857981346314773E-13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325.2649384779973</v>
      </c>
      <c r="BJ170" s="60">
        <f t="shared" si="146"/>
        <v>146.70159365068315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1.0231815394945443E-12</v>
      </c>
      <c r="BZ170" s="14">
        <f>BY170*VLOOKUP('Données projet'!$B$12,Paramètres!$A$1:$I$89,3,0)*VLOOKUP('Données projet'!$B$12,Paramètres!$A$1:$I$89,5,0)</f>
        <v>4.5224624045658859E-13</v>
      </c>
      <c r="CA170" s="14">
        <f t="shared" si="170"/>
        <v>5.6995607121061449E-12</v>
      </c>
      <c r="CB170" s="22">
        <f t="shared" si="171"/>
        <v>1.0714397109046761E-11</v>
      </c>
      <c r="CC170" s="60">
        <f t="shared" si="119"/>
        <v>293.333333333344</v>
      </c>
      <c r="CD170" s="60">
        <f ca="1">AVERAGE(OFFSET($CC$3,0,0,'Données projet'!$E$12+1,1))-AVERAGE(OFFSET($H$3,0,0,'Données projet'!$E$12+1,1))</f>
        <v>401.84375324751227</v>
      </c>
      <c r="CE170" s="60">
        <f t="shared" si="148"/>
        <v>350.39368043404164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0.1867143666846881</v>
      </c>
      <c r="CM170" s="23">
        <f>EXP(-LN(2)/2)*CM169+(1-EXP(-LN(2)/2))/(LN(2)/2)*CG170*CJ170*VLOOKUP('Données projet'!$B$12,Paramètres!$A$1:$I$89,3,0)*0.475*44/12</f>
        <v>3.33817172717222E-21</v>
      </c>
      <c r="CN170" s="24">
        <f t="shared" si="172"/>
        <v>0.1867143666846881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-1.1368683772161603E-13</v>
      </c>
      <c r="CU170" s="18">
        <f>CT170*VLOOKUP('Données projet'!$B$13,Paramètres!$A$1:$I$89,3,0)*VLOOKUP('Données projet'!$B$13,Paramètres!$A$1:$I$89,5,0)</f>
        <v>-6.7984728957526396E-14</v>
      </c>
      <c r="CV170" s="14" t="e">
        <f t="shared" si="173"/>
        <v>#NUM!</v>
      </c>
      <c r="CW170" s="22" t="e">
        <f t="shared" si="174"/>
        <v>#NUM!</v>
      </c>
      <c r="CX170" s="60" t="e">
        <f t="shared" si="122"/>
        <v>#NUM!</v>
      </c>
      <c r="CY170" s="60">
        <f ca="1">AVERAGE(OFFSET($CX$3,0,0,'Données projet'!$E$13+1,1))-AVERAGE(OFFSET($H$3,0,0,'Données projet'!$E$13+1,1))</f>
        <v>232.73140429491525</v>
      </c>
      <c r="CZ170" s="60">
        <f t="shared" si="150"/>
        <v>201.02719152328638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0.17840262372227725</v>
      </c>
      <c r="DH170" s="23">
        <f>EXP(-LN(2)/2)*DH169+(1-EXP(-LN(2)/2))/(LN(2)/2)*DB170*DE170*VLOOKUP('Données projet'!$B$13,Paramètres!$A$1:$I$89,3,0)*0.475*44/12</f>
        <v>7.3761535266901357E-21</v>
      </c>
      <c r="DI170" s="24">
        <f t="shared" si="175"/>
        <v>0.17840262372227725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>
        <f>DO170*VLOOKUP('Données projet'!$B$14,Paramètres!$A$1:$I$89,3,0)*VLOOKUP('Données projet'!$B$14,Paramètres!$A$1:$I$89,5,0)</f>
        <v>0</v>
      </c>
      <c r="DQ170" s="14" t="e">
        <f t="shared" si="176"/>
        <v>#NUM!</v>
      </c>
      <c r="DR170" s="22" t="e">
        <f t="shared" si="177"/>
        <v>#NUM!</v>
      </c>
      <c r="DS170" s="60" t="e">
        <f t="shared" si="125"/>
        <v>#NUM!</v>
      </c>
      <c r="DT170" s="60">
        <f ca="1">AVERAGE(OFFSET($DS$3,0,0,'Données projet'!$E$14+1,1))-AVERAGE(OFFSET($H$3,0,0,'Données projet'!$E$14+1,1))</f>
        <v>302.15577364214136</v>
      </c>
      <c r="DU170" s="60">
        <f t="shared" si="152"/>
        <v>197.15142751137051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-5.1159076974727213E-13</v>
      </c>
      <c r="EK170" s="18">
        <f>EJ170*VLOOKUP('Données projet'!$B$15,Paramètres!$A$1:$I$89,3,0)*VLOOKUP('Données projet'!$B$15,Paramètres!$A$1:$I$89,5,0)</f>
        <v>-5.3471467253984886E-13</v>
      </c>
      <c r="EL170" s="14" t="e">
        <f t="shared" si="179"/>
        <v>#NUM!</v>
      </c>
      <c r="EM170" s="22" t="e">
        <f t="shared" si="180"/>
        <v>#NUM!</v>
      </c>
      <c r="EN170" s="60" t="e">
        <f t="shared" si="128"/>
        <v>#NUM!</v>
      </c>
      <c r="EO170" s="60">
        <f ca="1">AVERAGE(OFFSET($EN$3,0,0,'Données projet'!$E$15+1,1))-AVERAGE(OFFSET($H$3,0,0,'Données projet'!$E$15+1,1))</f>
        <v>493.70175665335978</v>
      </c>
      <c r="EP170" s="60">
        <f t="shared" si="154"/>
        <v>325.12357781685949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0" t="e">
        <f t="shared" si="131"/>
        <v>#N/A</v>
      </c>
      <c r="FJ170" s="60" t="e">
        <f ca="1">AVERAGE(OFFSET($FI$3,0,0,'Données projet'!$E$16+1,1))-AVERAGE(OFFSET($H$3,0,0,'Données projet'!$E$16+1,1))</f>
        <v>#N/A</v>
      </c>
      <c r="FK170" s="60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0" t="e">
        <f t="shared" si="134"/>
        <v>#N/A</v>
      </c>
      <c r="GE170" s="60" t="e">
        <f ca="1">AVERAGE(OFFSET($GD$3,0,0,'Données projet'!$E$17+1,1))-AVERAGE(OFFSET($H$3,0,0,'Données projet'!$E$17+1,1))</f>
        <v>#N/A</v>
      </c>
      <c r="GF170" s="60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5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8">
        <f t="shared" si="110"/>
        <v>256.66666666666669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0">
        <f t="shared" si="109"/>
        <v>293.3333333333353</v>
      </c>
      <c r="S171" s="60">
        <f ca="1">AVERAGE(OFFSET($R$3,0,0,'Données projet'!$E$9+1,1))-AVERAGE(OFFSET($H$3,0,0,'Données projet'!$E$9+1,1))</f>
        <v>260.02504691866199</v>
      </c>
      <c r="T171" s="60">
        <f t="shared" si="142"/>
        <v>270.11268336406368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0.65079204508847976</v>
      </c>
      <c r="AA171" s="23">
        <f>EXP(-LN(2)/25)*AA170+(1-EXP(-LN(2)/25))/(LN(2)/25)*Calculateur!V171*Calculateur!X171*VLOOKUP('Données projet'!$B$9,Paramètres!$A$1:$I$89,3,0)*0.475*44/12</f>
        <v>0.35818842383152905</v>
      </c>
      <c r="AB171" s="23">
        <f>EXP(-LN(2)/2)*AB170+(1-EXP(-LN(2)/2))/(LN(2)/2)*V171*Y171*VLOOKUP('Données projet'!$B$9,Paramètres!$A$1:$I$89,3,0)*0.475*44/12</f>
        <v>1.074031161100607E-20</v>
      </c>
      <c r="AC171" s="24">
        <f t="shared" si="163"/>
        <v>1.0089804689200088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-9.6633812063373625E-13</v>
      </c>
      <c r="AJ171" s="14">
        <f>AI171*VLOOKUP('Données projet'!$B$10,Paramètres!$A$1:$I$89,3,0)*VLOOKUP('Données projet'!$B$10,Paramètres!$A$1:$I$89,5,0)</f>
        <v>-9.7986685432260874E-13</v>
      </c>
      <c r="AK171" s="14" t="e">
        <f t="shared" si="164"/>
        <v>#NUM!</v>
      </c>
      <c r="AL171" s="22" t="e">
        <f t="shared" si="165"/>
        <v>#NUM!</v>
      </c>
      <c r="AM171" s="60" t="e">
        <f t="shared" si="113"/>
        <v>#NUM!</v>
      </c>
      <c r="AN171" s="60">
        <f ca="1">AVERAGE(OFFSET($AM$3,0,0,'Données projet'!$E$10+1,1))-AVERAGE(OFFSET($H$3,0,0,'Données projet'!$E$10+1,1))</f>
        <v>475.47920969424894</v>
      </c>
      <c r="AO171" s="60">
        <f t="shared" si="144"/>
        <v>271.73544012419364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-1.4210854715202004E-13</v>
      </c>
      <c r="BE171" s="14">
        <f>BD171*VLOOKUP('Données projet'!$B$11,Paramètres!$A$1:$I$89,3,0)*VLOOKUP('Données projet'!$B$11,Paramètres!$A$1:$I$89,5,0)</f>
        <v>-1.2857981346314773E-13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325.2649384779973</v>
      </c>
      <c r="BJ171" s="60">
        <f t="shared" si="146"/>
        <v>146.70159365068315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1.0231815394945443E-12</v>
      </c>
      <c r="BZ171" s="14">
        <f>BY171*VLOOKUP('Données projet'!$B$12,Paramètres!$A$1:$I$89,3,0)*VLOOKUP('Données projet'!$B$12,Paramètres!$A$1:$I$89,5,0)</f>
        <v>4.5224624045658859E-13</v>
      </c>
      <c r="CA171" s="14">
        <f t="shared" si="170"/>
        <v>5.6995607121061449E-12</v>
      </c>
      <c r="CB171" s="22">
        <f t="shared" si="171"/>
        <v>1.0714397109046761E-11</v>
      </c>
      <c r="CC171" s="60">
        <f t="shared" si="119"/>
        <v>293.333333333344</v>
      </c>
      <c r="CD171" s="60">
        <f ca="1">AVERAGE(OFFSET($CC$3,0,0,'Données projet'!$E$12+1,1))-AVERAGE(OFFSET($H$3,0,0,'Données projet'!$E$12+1,1))</f>
        <v>401.84375324751227</v>
      </c>
      <c r="CE171" s="60">
        <f t="shared" si="148"/>
        <v>350.39368043404164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0.1816086525088135</v>
      </c>
      <c r="CM171" s="23">
        <f>EXP(-LN(2)/2)*CM170+(1-EXP(-LN(2)/2))/(LN(2)/2)*CG171*CJ171*VLOOKUP('Données projet'!$B$12,Paramètres!$A$1:$I$89,3,0)*0.475*44/12</f>
        <v>2.3604438650486865E-21</v>
      </c>
      <c r="CN171" s="24">
        <f t="shared" si="172"/>
        <v>0.1816086525088135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-1.1368683772161603E-13</v>
      </c>
      <c r="CU171" s="18">
        <f>CT171*VLOOKUP('Données projet'!$B$13,Paramètres!$A$1:$I$89,3,0)*VLOOKUP('Données projet'!$B$13,Paramètres!$A$1:$I$89,5,0)</f>
        <v>-6.7984728957526396E-14</v>
      </c>
      <c r="CV171" s="14" t="e">
        <f t="shared" si="173"/>
        <v>#NUM!</v>
      </c>
      <c r="CW171" s="22" t="e">
        <f t="shared" si="174"/>
        <v>#NUM!</v>
      </c>
      <c r="CX171" s="60" t="e">
        <f t="shared" si="122"/>
        <v>#NUM!</v>
      </c>
      <c r="CY171" s="60">
        <f ca="1">AVERAGE(OFFSET($CX$3,0,0,'Données projet'!$E$13+1,1))-AVERAGE(OFFSET($H$3,0,0,'Données projet'!$E$13+1,1))</f>
        <v>232.73140429491525</v>
      </c>
      <c r="CZ171" s="60">
        <f t="shared" si="150"/>
        <v>201.02719152328638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0.17352419459480534</v>
      </c>
      <c r="DH171" s="23">
        <f>EXP(-LN(2)/2)*DH170+(1-EXP(-LN(2)/2))/(LN(2)/2)*DB171*DE171*VLOOKUP('Données projet'!$B$13,Paramètres!$A$1:$I$89,3,0)*0.475*44/12</f>
        <v>5.2157281777956626E-21</v>
      </c>
      <c r="DI171" s="24">
        <f t="shared" si="175"/>
        <v>0.17352419459480534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>
        <f>DO171*VLOOKUP('Données projet'!$B$14,Paramètres!$A$1:$I$89,3,0)*VLOOKUP('Données projet'!$B$14,Paramètres!$A$1:$I$89,5,0)</f>
        <v>0</v>
      </c>
      <c r="DQ171" s="14" t="e">
        <f t="shared" si="176"/>
        <v>#NUM!</v>
      </c>
      <c r="DR171" s="22" t="e">
        <f t="shared" si="177"/>
        <v>#NUM!</v>
      </c>
      <c r="DS171" s="60" t="e">
        <f t="shared" si="125"/>
        <v>#NUM!</v>
      </c>
      <c r="DT171" s="60">
        <f ca="1">AVERAGE(OFFSET($DS$3,0,0,'Données projet'!$E$14+1,1))-AVERAGE(OFFSET($H$3,0,0,'Données projet'!$E$14+1,1))</f>
        <v>302.15577364214136</v>
      </c>
      <c r="DU171" s="60">
        <f t="shared" si="152"/>
        <v>197.15142751137051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-5.1159076974727213E-13</v>
      </c>
      <c r="EK171" s="18">
        <f>EJ171*VLOOKUP('Données projet'!$B$15,Paramètres!$A$1:$I$89,3,0)*VLOOKUP('Données projet'!$B$15,Paramètres!$A$1:$I$89,5,0)</f>
        <v>-5.3471467253984886E-13</v>
      </c>
      <c r="EL171" s="14" t="e">
        <f t="shared" si="179"/>
        <v>#NUM!</v>
      </c>
      <c r="EM171" s="22" t="e">
        <f t="shared" si="180"/>
        <v>#NUM!</v>
      </c>
      <c r="EN171" s="60" t="e">
        <f t="shared" si="128"/>
        <v>#NUM!</v>
      </c>
      <c r="EO171" s="60">
        <f ca="1">AVERAGE(OFFSET($EN$3,0,0,'Données projet'!$E$15+1,1))-AVERAGE(OFFSET($H$3,0,0,'Données projet'!$E$15+1,1))</f>
        <v>493.70175665335978</v>
      </c>
      <c r="EP171" s="60">
        <f t="shared" si="154"/>
        <v>325.12357781685949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0" t="e">
        <f t="shared" si="131"/>
        <v>#N/A</v>
      </c>
      <c r="FJ171" s="60" t="e">
        <f ca="1">AVERAGE(OFFSET($FI$3,0,0,'Données projet'!$E$16+1,1))-AVERAGE(OFFSET($H$3,0,0,'Données projet'!$E$16+1,1))</f>
        <v>#N/A</v>
      </c>
      <c r="FK171" s="60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0" t="e">
        <f t="shared" si="134"/>
        <v>#N/A</v>
      </c>
      <c r="GE171" s="60" t="e">
        <f ca="1">AVERAGE(OFFSET($GD$3,0,0,'Données projet'!$E$17+1,1))-AVERAGE(OFFSET($H$3,0,0,'Données projet'!$E$17+1,1))</f>
        <v>#N/A</v>
      </c>
      <c r="GF171" s="60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5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8">
        <f t="shared" si="110"/>
        <v>256.66666666666669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0">
        <f t="shared" si="109"/>
        <v>293.3333333333353</v>
      </c>
      <c r="S172" s="60">
        <f ca="1">AVERAGE(OFFSET($R$3,0,0,'Données projet'!$E$9+1,1))-AVERAGE(OFFSET($H$3,0,0,'Données projet'!$E$9+1,1))</f>
        <v>260.02504691866199</v>
      </c>
      <c r="T172" s="60">
        <f t="shared" si="142"/>
        <v>270.11268336406368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0.63803041002824723</v>
      </c>
      <c r="AA172" s="23">
        <f>EXP(-LN(2)/25)*AA171+(1-EXP(-LN(2)/25))/(LN(2)/25)*Calculateur!V172*Calculateur!X172*VLOOKUP('Données projet'!$B$9,Paramètres!$A$1:$I$89,3,0)*0.475*44/12</f>
        <v>0.34839374254554534</v>
      </c>
      <c r="AB172" s="23">
        <f>EXP(-LN(2)/2)*AB171+(1-EXP(-LN(2)/2))/(LN(2)/2)*V172*Y172*VLOOKUP('Données projet'!$B$9,Paramètres!$A$1:$I$89,3,0)*0.475*44/12</f>
        <v>7.5945471721990052E-21</v>
      </c>
      <c r="AC172" s="24">
        <f t="shared" si="163"/>
        <v>0.98642415257379257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-9.6633812063373625E-13</v>
      </c>
      <c r="AJ172" s="14">
        <f>AI172*VLOOKUP('Données projet'!$B$10,Paramètres!$A$1:$I$89,3,0)*VLOOKUP('Données projet'!$B$10,Paramètres!$A$1:$I$89,5,0)</f>
        <v>-9.7986685432260874E-13</v>
      </c>
      <c r="AK172" s="14" t="e">
        <f t="shared" si="164"/>
        <v>#NUM!</v>
      </c>
      <c r="AL172" s="22" t="e">
        <f t="shared" si="165"/>
        <v>#NUM!</v>
      </c>
      <c r="AM172" s="60" t="e">
        <f t="shared" si="113"/>
        <v>#NUM!</v>
      </c>
      <c r="AN172" s="60">
        <f ca="1">AVERAGE(OFFSET($AM$3,0,0,'Données projet'!$E$10+1,1))-AVERAGE(OFFSET($H$3,0,0,'Données projet'!$E$10+1,1))</f>
        <v>475.47920969424894</v>
      </c>
      <c r="AO172" s="60">
        <f t="shared" si="144"/>
        <v>271.73544012419364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-1.4210854715202004E-13</v>
      </c>
      <c r="BE172" s="14">
        <f>BD172*VLOOKUP('Données projet'!$B$11,Paramètres!$A$1:$I$89,3,0)*VLOOKUP('Données projet'!$B$11,Paramètres!$A$1:$I$89,5,0)</f>
        <v>-1.2857981346314773E-13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325.2649384779973</v>
      </c>
      <c r="BJ172" s="60">
        <f t="shared" si="146"/>
        <v>146.70159365068315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1.0231815394945443E-12</v>
      </c>
      <c r="BZ172" s="14">
        <f>BY172*VLOOKUP('Données projet'!$B$12,Paramètres!$A$1:$I$89,3,0)*VLOOKUP('Données projet'!$B$12,Paramètres!$A$1:$I$89,5,0)</f>
        <v>4.5224624045658859E-13</v>
      </c>
      <c r="CA172" s="14">
        <f t="shared" si="170"/>
        <v>5.6995607121061449E-12</v>
      </c>
      <c r="CB172" s="22">
        <f t="shared" si="171"/>
        <v>1.0714397109046761E-11</v>
      </c>
      <c r="CC172" s="60">
        <f t="shared" si="119"/>
        <v>293.333333333344</v>
      </c>
      <c r="CD172" s="60">
        <f ca="1">AVERAGE(OFFSET($CC$3,0,0,'Données projet'!$E$12+1,1))-AVERAGE(OFFSET($H$3,0,0,'Données projet'!$E$12+1,1))</f>
        <v>401.84375324751227</v>
      </c>
      <c r="CE172" s="60">
        <f t="shared" si="148"/>
        <v>350.39368043404164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0.17664255435557602</v>
      </c>
      <c r="CM172" s="23">
        <f>EXP(-LN(2)/2)*CM171+(1-EXP(-LN(2)/2))/(LN(2)/2)*CG172*CJ172*VLOOKUP('Données projet'!$B$12,Paramètres!$A$1:$I$89,3,0)*0.475*44/12</f>
        <v>1.6690858635861102E-21</v>
      </c>
      <c r="CN172" s="24">
        <f t="shared" si="172"/>
        <v>0.17664255435557602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-1.1368683772161603E-13</v>
      </c>
      <c r="CU172" s="18">
        <f>CT172*VLOOKUP('Données projet'!$B$13,Paramètres!$A$1:$I$89,3,0)*VLOOKUP('Données projet'!$B$13,Paramètres!$A$1:$I$89,5,0)</f>
        <v>-6.7984728957526396E-14</v>
      </c>
      <c r="CV172" s="14" t="e">
        <f t="shared" si="173"/>
        <v>#NUM!</v>
      </c>
      <c r="CW172" s="22" t="e">
        <f t="shared" si="174"/>
        <v>#NUM!</v>
      </c>
      <c r="CX172" s="60" t="e">
        <f t="shared" si="122"/>
        <v>#NUM!</v>
      </c>
      <c r="CY172" s="60">
        <f ca="1">AVERAGE(OFFSET($CX$3,0,0,'Données projet'!$E$13+1,1))-AVERAGE(OFFSET($H$3,0,0,'Données projet'!$E$13+1,1))</f>
        <v>232.73140429491525</v>
      </c>
      <c r="CZ172" s="60">
        <f t="shared" si="150"/>
        <v>201.02719152328638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0.16877916636836959</v>
      </c>
      <c r="DH172" s="23">
        <f>EXP(-LN(2)/2)*DH171+(1-EXP(-LN(2)/2))/(LN(2)/2)*DB172*DE172*VLOOKUP('Données projet'!$B$13,Paramètres!$A$1:$I$89,3,0)*0.475*44/12</f>
        <v>3.6880767633450678E-21</v>
      </c>
      <c r="DI172" s="24">
        <f t="shared" si="175"/>
        <v>0.16877916636836959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>
        <f>DO172*VLOOKUP('Données projet'!$B$14,Paramètres!$A$1:$I$89,3,0)*VLOOKUP('Données projet'!$B$14,Paramètres!$A$1:$I$89,5,0)</f>
        <v>0</v>
      </c>
      <c r="DQ172" s="14" t="e">
        <f t="shared" si="176"/>
        <v>#NUM!</v>
      </c>
      <c r="DR172" s="22" t="e">
        <f t="shared" si="177"/>
        <v>#NUM!</v>
      </c>
      <c r="DS172" s="60" t="e">
        <f t="shared" si="125"/>
        <v>#NUM!</v>
      </c>
      <c r="DT172" s="60">
        <f ca="1">AVERAGE(OFFSET($DS$3,0,0,'Données projet'!$E$14+1,1))-AVERAGE(OFFSET($H$3,0,0,'Données projet'!$E$14+1,1))</f>
        <v>302.15577364214136</v>
      </c>
      <c r="DU172" s="60">
        <f t="shared" si="152"/>
        <v>197.15142751137051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-5.1159076974727213E-13</v>
      </c>
      <c r="EK172" s="18">
        <f>EJ172*VLOOKUP('Données projet'!$B$15,Paramètres!$A$1:$I$89,3,0)*VLOOKUP('Données projet'!$B$15,Paramètres!$A$1:$I$89,5,0)</f>
        <v>-5.3471467253984886E-13</v>
      </c>
      <c r="EL172" s="14" t="e">
        <f t="shared" si="179"/>
        <v>#NUM!</v>
      </c>
      <c r="EM172" s="22" t="e">
        <f t="shared" si="180"/>
        <v>#NUM!</v>
      </c>
      <c r="EN172" s="60" t="e">
        <f t="shared" si="128"/>
        <v>#NUM!</v>
      </c>
      <c r="EO172" s="60">
        <f ca="1">AVERAGE(OFFSET($EN$3,0,0,'Données projet'!$E$15+1,1))-AVERAGE(OFFSET($H$3,0,0,'Données projet'!$E$15+1,1))</f>
        <v>493.70175665335978</v>
      </c>
      <c r="EP172" s="60">
        <f t="shared" si="154"/>
        <v>325.12357781685949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0" t="e">
        <f t="shared" si="131"/>
        <v>#N/A</v>
      </c>
      <c r="FJ172" s="60" t="e">
        <f ca="1">AVERAGE(OFFSET($FI$3,0,0,'Données projet'!$E$16+1,1))-AVERAGE(OFFSET($H$3,0,0,'Données projet'!$E$16+1,1))</f>
        <v>#N/A</v>
      </c>
      <c r="FK172" s="60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0" t="e">
        <f t="shared" si="134"/>
        <v>#N/A</v>
      </c>
      <c r="GE172" s="60" t="e">
        <f ca="1">AVERAGE(OFFSET($GD$3,0,0,'Données projet'!$E$17+1,1))-AVERAGE(OFFSET($H$3,0,0,'Données projet'!$E$17+1,1))</f>
        <v>#N/A</v>
      </c>
      <c r="GF172" s="60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5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8">
        <f t="shared" si="110"/>
        <v>256.66666666666669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0">
        <f t="shared" si="109"/>
        <v>293.3333333333353</v>
      </c>
      <c r="S173" s="60">
        <f ca="1">AVERAGE(OFFSET($R$3,0,0,'Données projet'!$E$9+1,1))-AVERAGE(OFFSET($H$3,0,0,'Données projet'!$E$9+1,1))</f>
        <v>260.02504691866199</v>
      </c>
      <c r="T173" s="60">
        <f t="shared" si="142"/>
        <v>270.11268336406368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0.6255190228477171</v>
      </c>
      <c r="AA173" s="23">
        <f>EXP(-LN(2)/25)*AA172+(1-EXP(-LN(2)/25))/(LN(2)/25)*Calculateur!V173*Calculateur!X173*VLOOKUP('Données projet'!$B$9,Paramètres!$A$1:$I$89,3,0)*0.475*44/12</f>
        <v>0.33886689733440672</v>
      </c>
      <c r="AB173" s="23">
        <f>EXP(-LN(2)/2)*AB172+(1-EXP(-LN(2)/2))/(LN(2)/2)*V173*Y173*VLOOKUP('Données projet'!$B$9,Paramètres!$A$1:$I$89,3,0)*0.475*44/12</f>
        <v>5.3701558055030352E-21</v>
      </c>
      <c r="AC173" s="24">
        <f t="shared" si="163"/>
        <v>0.96438592018212388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-9.6633812063373625E-13</v>
      </c>
      <c r="AJ173" s="14">
        <f>AI173*VLOOKUP('Données projet'!$B$10,Paramètres!$A$1:$I$89,3,0)*VLOOKUP('Données projet'!$B$10,Paramètres!$A$1:$I$89,5,0)</f>
        <v>-9.7986685432260874E-13</v>
      </c>
      <c r="AK173" s="14" t="e">
        <f t="shared" si="164"/>
        <v>#NUM!</v>
      </c>
      <c r="AL173" s="22" t="e">
        <f t="shared" si="165"/>
        <v>#NUM!</v>
      </c>
      <c r="AM173" s="60" t="e">
        <f t="shared" si="113"/>
        <v>#NUM!</v>
      </c>
      <c r="AN173" s="60">
        <f ca="1">AVERAGE(OFFSET($AM$3,0,0,'Données projet'!$E$10+1,1))-AVERAGE(OFFSET($H$3,0,0,'Données projet'!$E$10+1,1))</f>
        <v>475.47920969424894</v>
      </c>
      <c r="AO173" s="60">
        <f t="shared" si="144"/>
        <v>271.73544012419364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-1.4210854715202004E-13</v>
      </c>
      <c r="BE173" s="14">
        <f>BD173*VLOOKUP('Données projet'!$B$11,Paramètres!$A$1:$I$89,3,0)*VLOOKUP('Données projet'!$B$11,Paramètres!$A$1:$I$89,5,0)</f>
        <v>-1.2857981346314773E-13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325.2649384779973</v>
      </c>
      <c r="BJ173" s="60">
        <f t="shared" si="146"/>
        <v>146.70159365068315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1.0231815394945443E-12</v>
      </c>
      <c r="BZ173" s="14">
        <f>BY173*VLOOKUP('Données projet'!$B$12,Paramètres!$A$1:$I$89,3,0)*VLOOKUP('Données projet'!$B$12,Paramètres!$A$1:$I$89,5,0)</f>
        <v>4.5224624045658859E-13</v>
      </c>
      <c r="CA173" s="14">
        <f t="shared" si="170"/>
        <v>5.6995607121061449E-12</v>
      </c>
      <c r="CB173" s="22">
        <f t="shared" si="171"/>
        <v>1.0714397109046761E-11</v>
      </c>
      <c r="CC173" s="60">
        <f t="shared" si="119"/>
        <v>293.333333333344</v>
      </c>
      <c r="CD173" s="60">
        <f ca="1">AVERAGE(OFFSET($CC$3,0,0,'Données projet'!$E$12+1,1))-AVERAGE(OFFSET($H$3,0,0,'Données projet'!$E$12+1,1))</f>
        <v>401.84375324751227</v>
      </c>
      <c r="CE173" s="60">
        <f t="shared" si="148"/>
        <v>350.39368043404164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0.17181225441749459</v>
      </c>
      <c r="CM173" s="23">
        <f>EXP(-LN(2)/2)*CM172+(1-EXP(-LN(2)/2))/(LN(2)/2)*CG173*CJ173*VLOOKUP('Données projet'!$B$12,Paramètres!$A$1:$I$89,3,0)*0.475*44/12</f>
        <v>1.1802219325243434E-21</v>
      </c>
      <c r="CN173" s="24">
        <f t="shared" si="172"/>
        <v>0.17181225441749459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-1.1368683772161603E-13</v>
      </c>
      <c r="CU173" s="18">
        <f>CT173*VLOOKUP('Données projet'!$B$13,Paramètres!$A$1:$I$89,3,0)*VLOOKUP('Données projet'!$B$13,Paramètres!$A$1:$I$89,5,0)</f>
        <v>-6.7984728957526396E-14</v>
      </c>
      <c r="CV173" s="14" t="e">
        <f t="shared" si="173"/>
        <v>#NUM!</v>
      </c>
      <c r="CW173" s="22" t="e">
        <f t="shared" si="174"/>
        <v>#NUM!</v>
      </c>
      <c r="CX173" s="60" t="e">
        <f t="shared" si="122"/>
        <v>#NUM!</v>
      </c>
      <c r="CY173" s="60">
        <f ca="1">AVERAGE(OFFSET($CX$3,0,0,'Données projet'!$E$13+1,1))-AVERAGE(OFFSET($H$3,0,0,'Données projet'!$E$13+1,1))</f>
        <v>232.73140429491525</v>
      </c>
      <c r="CZ173" s="60">
        <f t="shared" si="150"/>
        <v>201.02719152328638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0.16416389118831592</v>
      </c>
      <c r="DH173" s="23">
        <f>EXP(-LN(2)/2)*DH172+(1-EXP(-LN(2)/2))/(LN(2)/2)*DB173*DE173*VLOOKUP('Données projet'!$B$13,Paramètres!$A$1:$I$89,3,0)*0.475*44/12</f>
        <v>2.6078640888978313E-21</v>
      </c>
      <c r="DI173" s="24">
        <f t="shared" si="175"/>
        <v>0.16416389118831592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>
        <f>DO173*VLOOKUP('Données projet'!$B$14,Paramètres!$A$1:$I$89,3,0)*VLOOKUP('Données projet'!$B$14,Paramètres!$A$1:$I$89,5,0)</f>
        <v>0</v>
      </c>
      <c r="DQ173" s="14" t="e">
        <f t="shared" si="176"/>
        <v>#NUM!</v>
      </c>
      <c r="DR173" s="22" t="e">
        <f t="shared" si="177"/>
        <v>#NUM!</v>
      </c>
      <c r="DS173" s="60" t="e">
        <f t="shared" si="125"/>
        <v>#NUM!</v>
      </c>
      <c r="DT173" s="60">
        <f ca="1">AVERAGE(OFFSET($DS$3,0,0,'Données projet'!$E$14+1,1))-AVERAGE(OFFSET($H$3,0,0,'Données projet'!$E$14+1,1))</f>
        <v>302.15577364214136</v>
      </c>
      <c r="DU173" s="60">
        <f t="shared" si="152"/>
        <v>197.15142751137051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-5.1159076974727213E-13</v>
      </c>
      <c r="EK173" s="18">
        <f>EJ173*VLOOKUP('Données projet'!$B$15,Paramètres!$A$1:$I$89,3,0)*VLOOKUP('Données projet'!$B$15,Paramètres!$A$1:$I$89,5,0)</f>
        <v>-5.3471467253984886E-13</v>
      </c>
      <c r="EL173" s="14" t="e">
        <f t="shared" si="179"/>
        <v>#NUM!</v>
      </c>
      <c r="EM173" s="22" t="e">
        <f t="shared" si="180"/>
        <v>#NUM!</v>
      </c>
      <c r="EN173" s="60" t="e">
        <f t="shared" si="128"/>
        <v>#NUM!</v>
      </c>
      <c r="EO173" s="60">
        <f ca="1">AVERAGE(OFFSET($EN$3,0,0,'Données projet'!$E$15+1,1))-AVERAGE(OFFSET($H$3,0,0,'Données projet'!$E$15+1,1))</f>
        <v>493.70175665335978</v>
      </c>
      <c r="EP173" s="60">
        <f t="shared" si="154"/>
        <v>325.12357781685949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0" t="e">
        <f t="shared" si="131"/>
        <v>#N/A</v>
      </c>
      <c r="FJ173" s="60" t="e">
        <f ca="1">AVERAGE(OFFSET($FI$3,0,0,'Données projet'!$E$16+1,1))-AVERAGE(OFFSET($H$3,0,0,'Données projet'!$E$16+1,1))</f>
        <v>#N/A</v>
      </c>
      <c r="FK173" s="60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0" t="e">
        <f t="shared" si="134"/>
        <v>#N/A</v>
      </c>
      <c r="GE173" s="60" t="e">
        <f ca="1">AVERAGE(OFFSET($GD$3,0,0,'Données projet'!$E$17+1,1))-AVERAGE(OFFSET($H$3,0,0,'Données projet'!$E$17+1,1))</f>
        <v>#N/A</v>
      </c>
      <c r="GF173" s="60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5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8">
        <f t="shared" si="110"/>
        <v>256.66666666666669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0">
        <f t="shared" si="109"/>
        <v>293.3333333333353</v>
      </c>
      <c r="S174" s="60">
        <f ca="1">AVERAGE(OFFSET($R$3,0,0,'Données projet'!$E$9+1,1))-AVERAGE(OFFSET($H$3,0,0,'Données projet'!$E$9+1,1))</f>
        <v>260.02504691866199</v>
      </c>
      <c r="T174" s="60">
        <f t="shared" si="142"/>
        <v>270.11268336406368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0.61325297633860443</v>
      </c>
      <c r="AA174" s="23">
        <f>EXP(-LN(2)/25)*AA173+(1-EXP(-LN(2)/25))/(LN(2)/25)*Calculateur!V174*Calculateur!X174*VLOOKUP('Données projet'!$B$9,Paramètres!$A$1:$I$89,3,0)*0.475*44/12</f>
        <v>0.32960056420656175</v>
      </c>
      <c r="AB174" s="23">
        <f>EXP(-LN(2)/2)*AB173+(1-EXP(-LN(2)/2))/(LN(2)/2)*V174*Y174*VLOOKUP('Données projet'!$B$9,Paramètres!$A$1:$I$89,3,0)*0.475*44/12</f>
        <v>3.7972735860995026E-21</v>
      </c>
      <c r="AC174" s="24">
        <f t="shared" si="163"/>
        <v>0.94285354054516612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-9.6633812063373625E-13</v>
      </c>
      <c r="AJ174" s="14">
        <f>AI174*VLOOKUP('Données projet'!$B$10,Paramètres!$A$1:$I$89,3,0)*VLOOKUP('Données projet'!$B$10,Paramètres!$A$1:$I$89,5,0)</f>
        <v>-9.7986685432260874E-13</v>
      </c>
      <c r="AK174" s="14" t="e">
        <f t="shared" si="164"/>
        <v>#NUM!</v>
      </c>
      <c r="AL174" s="22" t="e">
        <f t="shared" si="165"/>
        <v>#NUM!</v>
      </c>
      <c r="AM174" s="60" t="e">
        <f t="shared" si="113"/>
        <v>#NUM!</v>
      </c>
      <c r="AN174" s="60">
        <f ca="1">AVERAGE(OFFSET($AM$3,0,0,'Données projet'!$E$10+1,1))-AVERAGE(OFFSET($H$3,0,0,'Données projet'!$E$10+1,1))</f>
        <v>475.47920969424894</v>
      </c>
      <c r="AO174" s="60">
        <f t="shared" si="144"/>
        <v>271.73544012419364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-1.4210854715202004E-13</v>
      </c>
      <c r="BE174" s="14">
        <f>BD174*VLOOKUP('Données projet'!$B$11,Paramètres!$A$1:$I$89,3,0)*VLOOKUP('Données projet'!$B$11,Paramètres!$A$1:$I$89,5,0)</f>
        <v>-1.2857981346314773E-13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325.2649384779973</v>
      </c>
      <c r="BJ174" s="60">
        <f t="shared" si="146"/>
        <v>146.70159365068315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1.0231815394945443E-12</v>
      </c>
      <c r="BZ174" s="14">
        <f>BY174*VLOOKUP('Données projet'!$B$12,Paramètres!$A$1:$I$89,3,0)*VLOOKUP('Données projet'!$B$12,Paramètres!$A$1:$I$89,5,0)</f>
        <v>4.5224624045658859E-13</v>
      </c>
      <c r="CA174" s="14">
        <f t="shared" si="170"/>
        <v>5.6995607121061449E-12</v>
      </c>
      <c r="CB174" s="22">
        <f t="shared" si="171"/>
        <v>1.0714397109046761E-11</v>
      </c>
      <c r="CC174" s="60">
        <f t="shared" si="119"/>
        <v>293.333333333344</v>
      </c>
      <c r="CD174" s="60">
        <f ca="1">AVERAGE(OFFSET($CC$3,0,0,'Données projet'!$E$12+1,1))-AVERAGE(OFFSET($H$3,0,0,'Données projet'!$E$12+1,1))</f>
        <v>401.84375324751227</v>
      </c>
      <c r="CE174" s="60">
        <f t="shared" si="148"/>
        <v>350.39368043404164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0.16711403928523441</v>
      </c>
      <c r="CM174" s="23">
        <f>EXP(-LN(2)/2)*CM173+(1-EXP(-LN(2)/2))/(LN(2)/2)*CG174*CJ174*VLOOKUP('Données projet'!$B$12,Paramètres!$A$1:$I$89,3,0)*0.475*44/12</f>
        <v>8.3454293179305519E-22</v>
      </c>
      <c r="CN174" s="24">
        <f t="shared" si="172"/>
        <v>0.16711403928523441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-1.1368683772161603E-13</v>
      </c>
      <c r="CU174" s="18">
        <f>CT174*VLOOKUP('Données projet'!$B$13,Paramètres!$A$1:$I$89,3,0)*VLOOKUP('Données projet'!$B$13,Paramètres!$A$1:$I$89,5,0)</f>
        <v>-6.7984728957526396E-14</v>
      </c>
      <c r="CV174" s="14" t="e">
        <f t="shared" si="173"/>
        <v>#NUM!</v>
      </c>
      <c r="CW174" s="22" t="e">
        <f t="shared" si="174"/>
        <v>#NUM!</v>
      </c>
      <c r="CX174" s="60" t="e">
        <f t="shared" si="122"/>
        <v>#NUM!</v>
      </c>
      <c r="CY174" s="60">
        <f ca="1">AVERAGE(OFFSET($CX$3,0,0,'Données projet'!$E$13+1,1))-AVERAGE(OFFSET($H$3,0,0,'Données projet'!$E$13+1,1))</f>
        <v>232.73140429491525</v>
      </c>
      <c r="CZ174" s="60">
        <f t="shared" si="150"/>
        <v>201.02719152328638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0.1596748209507676</v>
      </c>
      <c r="DH174" s="23">
        <f>EXP(-LN(2)/2)*DH173+(1-EXP(-LN(2)/2))/(LN(2)/2)*DB174*DE174*VLOOKUP('Données projet'!$B$13,Paramètres!$A$1:$I$89,3,0)*0.475*44/12</f>
        <v>1.8440383816725339E-21</v>
      </c>
      <c r="DI174" s="24">
        <f t="shared" si="175"/>
        <v>0.1596748209507676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>
        <f>DO174*VLOOKUP('Données projet'!$B$14,Paramètres!$A$1:$I$89,3,0)*VLOOKUP('Données projet'!$B$14,Paramètres!$A$1:$I$89,5,0)</f>
        <v>0</v>
      </c>
      <c r="DQ174" s="14" t="e">
        <f t="shared" si="176"/>
        <v>#NUM!</v>
      </c>
      <c r="DR174" s="22" t="e">
        <f t="shared" si="177"/>
        <v>#NUM!</v>
      </c>
      <c r="DS174" s="60" t="e">
        <f t="shared" si="125"/>
        <v>#NUM!</v>
      </c>
      <c r="DT174" s="60">
        <f ca="1">AVERAGE(OFFSET($DS$3,0,0,'Données projet'!$E$14+1,1))-AVERAGE(OFFSET($H$3,0,0,'Données projet'!$E$14+1,1))</f>
        <v>302.15577364214136</v>
      </c>
      <c r="DU174" s="60">
        <f t="shared" si="152"/>
        <v>197.15142751137051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-5.1159076974727213E-13</v>
      </c>
      <c r="EK174" s="18">
        <f>EJ174*VLOOKUP('Données projet'!$B$15,Paramètres!$A$1:$I$89,3,0)*VLOOKUP('Données projet'!$B$15,Paramètres!$A$1:$I$89,5,0)</f>
        <v>-5.3471467253984886E-13</v>
      </c>
      <c r="EL174" s="14" t="e">
        <f t="shared" si="179"/>
        <v>#NUM!</v>
      </c>
      <c r="EM174" s="22" t="e">
        <f t="shared" si="180"/>
        <v>#NUM!</v>
      </c>
      <c r="EN174" s="60" t="e">
        <f t="shared" si="128"/>
        <v>#NUM!</v>
      </c>
      <c r="EO174" s="60">
        <f ca="1">AVERAGE(OFFSET($EN$3,0,0,'Données projet'!$E$15+1,1))-AVERAGE(OFFSET($H$3,0,0,'Données projet'!$E$15+1,1))</f>
        <v>493.70175665335978</v>
      </c>
      <c r="EP174" s="60">
        <f t="shared" si="154"/>
        <v>325.12357781685949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0" t="e">
        <f t="shared" si="131"/>
        <v>#N/A</v>
      </c>
      <c r="FJ174" s="60" t="e">
        <f ca="1">AVERAGE(OFFSET($FI$3,0,0,'Données projet'!$E$16+1,1))-AVERAGE(OFFSET($H$3,0,0,'Données projet'!$E$16+1,1))</f>
        <v>#N/A</v>
      </c>
      <c r="FK174" s="60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0" t="e">
        <f t="shared" si="134"/>
        <v>#N/A</v>
      </c>
      <c r="GE174" s="60" t="e">
        <f ca="1">AVERAGE(OFFSET($GD$3,0,0,'Données projet'!$E$17+1,1))-AVERAGE(OFFSET($H$3,0,0,'Données projet'!$E$17+1,1))</f>
        <v>#N/A</v>
      </c>
      <c r="GF174" s="60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5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8">
        <f t="shared" si="110"/>
        <v>256.66666666666669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0">
        <f t="shared" si="109"/>
        <v>293.3333333333353</v>
      </c>
      <c r="S175" s="60">
        <f ca="1">AVERAGE(OFFSET($R$3,0,0,'Données projet'!$E$9+1,1))-AVERAGE(OFFSET($H$3,0,0,'Données projet'!$E$9+1,1))</f>
        <v>260.02504691866199</v>
      </c>
      <c r="T175" s="60">
        <f t="shared" si="142"/>
        <v>270.11268336406368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0.6012274595199858</v>
      </c>
      <c r="AA175" s="23">
        <f>EXP(-LN(2)/25)*AA174+(1-EXP(-LN(2)/25))/(LN(2)/25)*Calculateur!V175*Calculateur!X175*VLOOKUP('Données projet'!$B$9,Paramètres!$A$1:$I$89,3,0)*0.475*44/12</f>
        <v>0.32058761944539294</v>
      </c>
      <c r="AB175" s="23">
        <f>EXP(-LN(2)/2)*AB174+(1-EXP(-LN(2)/2))/(LN(2)/2)*V175*Y175*VLOOKUP('Données projet'!$B$9,Paramètres!$A$1:$I$89,3,0)*0.475*44/12</f>
        <v>2.6850779027515176E-21</v>
      </c>
      <c r="AC175" s="24">
        <f t="shared" si="163"/>
        <v>0.92181507896537873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-9.6633812063373625E-13</v>
      </c>
      <c r="AJ175" s="14">
        <f>AI175*VLOOKUP('Données projet'!$B$10,Paramètres!$A$1:$I$89,3,0)*VLOOKUP('Données projet'!$B$10,Paramètres!$A$1:$I$89,5,0)</f>
        <v>-9.7986685432260874E-13</v>
      </c>
      <c r="AK175" s="14" t="e">
        <f t="shared" si="164"/>
        <v>#NUM!</v>
      </c>
      <c r="AL175" s="22" t="e">
        <f t="shared" si="165"/>
        <v>#NUM!</v>
      </c>
      <c r="AM175" s="60" t="e">
        <f t="shared" si="113"/>
        <v>#NUM!</v>
      </c>
      <c r="AN175" s="60">
        <f ca="1">AVERAGE(OFFSET($AM$3,0,0,'Données projet'!$E$10+1,1))-AVERAGE(OFFSET($H$3,0,0,'Données projet'!$E$10+1,1))</f>
        <v>475.47920969424894</v>
      </c>
      <c r="AO175" s="60">
        <f t="shared" si="144"/>
        <v>271.73544012419364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-1.4210854715202004E-13</v>
      </c>
      <c r="BE175" s="14">
        <f>BD175*VLOOKUP('Données projet'!$B$11,Paramètres!$A$1:$I$89,3,0)*VLOOKUP('Données projet'!$B$11,Paramètres!$A$1:$I$89,5,0)</f>
        <v>-1.2857981346314773E-13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325.2649384779973</v>
      </c>
      <c r="BJ175" s="60">
        <f t="shared" si="146"/>
        <v>146.70159365068315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1.0231815394945443E-12</v>
      </c>
      <c r="BZ175" s="14">
        <f>BY175*VLOOKUP('Données projet'!$B$12,Paramètres!$A$1:$I$89,3,0)*VLOOKUP('Données projet'!$B$12,Paramètres!$A$1:$I$89,5,0)</f>
        <v>4.5224624045658859E-13</v>
      </c>
      <c r="CA175" s="14">
        <f t="shared" si="170"/>
        <v>5.6995607121061449E-12</v>
      </c>
      <c r="CB175" s="22">
        <f t="shared" si="171"/>
        <v>1.0714397109046761E-11</v>
      </c>
      <c r="CC175" s="60">
        <f t="shared" si="119"/>
        <v>293.333333333344</v>
      </c>
      <c r="CD175" s="60">
        <f ca="1">AVERAGE(OFFSET($CC$3,0,0,'Données projet'!$E$12+1,1))-AVERAGE(OFFSET($H$3,0,0,'Données projet'!$E$12+1,1))</f>
        <v>401.84375324751227</v>
      </c>
      <c r="CE175" s="60">
        <f t="shared" si="148"/>
        <v>350.39368043404164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0.1625442970928343</v>
      </c>
      <c r="CM175" s="23">
        <f>EXP(-LN(2)/2)*CM174+(1-EXP(-LN(2)/2))/(LN(2)/2)*CG175*CJ175*VLOOKUP('Données projet'!$B$12,Paramètres!$A$1:$I$89,3,0)*0.475*44/12</f>
        <v>5.9011096626217181E-22</v>
      </c>
      <c r="CN175" s="24">
        <f t="shared" si="172"/>
        <v>0.1625442970928343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-1.1368683772161603E-13</v>
      </c>
      <c r="CU175" s="18">
        <f>CT175*VLOOKUP('Données projet'!$B$13,Paramètres!$A$1:$I$89,3,0)*VLOOKUP('Données projet'!$B$13,Paramètres!$A$1:$I$89,5,0)</f>
        <v>-6.7984728957526396E-14</v>
      </c>
      <c r="CV175" s="14" t="e">
        <f t="shared" si="173"/>
        <v>#NUM!</v>
      </c>
      <c r="CW175" s="22" t="e">
        <f t="shared" si="174"/>
        <v>#NUM!</v>
      </c>
      <c r="CX175" s="60" t="e">
        <f t="shared" si="122"/>
        <v>#NUM!</v>
      </c>
      <c r="CY175" s="60">
        <f ca="1">AVERAGE(OFFSET($CX$3,0,0,'Données projet'!$E$13+1,1))-AVERAGE(OFFSET($H$3,0,0,'Données projet'!$E$13+1,1))</f>
        <v>232.73140429491525</v>
      </c>
      <c r="CZ175" s="60">
        <f t="shared" si="150"/>
        <v>201.02719152328638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0.15530850457493497</v>
      </c>
      <c r="DH175" s="23">
        <f>EXP(-LN(2)/2)*DH174+(1-EXP(-LN(2)/2))/(LN(2)/2)*DB175*DE175*VLOOKUP('Données projet'!$B$13,Paramètres!$A$1:$I$89,3,0)*0.475*44/12</f>
        <v>1.3039320444489157E-21</v>
      </c>
      <c r="DI175" s="24">
        <f t="shared" si="175"/>
        <v>0.15530850457493497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>
        <f>DO175*VLOOKUP('Données projet'!$B$14,Paramètres!$A$1:$I$89,3,0)*VLOOKUP('Données projet'!$B$14,Paramètres!$A$1:$I$89,5,0)</f>
        <v>0</v>
      </c>
      <c r="DQ175" s="14" t="e">
        <f t="shared" si="176"/>
        <v>#NUM!</v>
      </c>
      <c r="DR175" s="22" t="e">
        <f t="shared" si="177"/>
        <v>#NUM!</v>
      </c>
      <c r="DS175" s="60" t="e">
        <f t="shared" si="125"/>
        <v>#NUM!</v>
      </c>
      <c r="DT175" s="60">
        <f ca="1">AVERAGE(OFFSET($DS$3,0,0,'Données projet'!$E$14+1,1))-AVERAGE(OFFSET($H$3,0,0,'Données projet'!$E$14+1,1))</f>
        <v>302.15577364214136</v>
      </c>
      <c r="DU175" s="60">
        <f t="shared" si="152"/>
        <v>197.15142751137051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-5.1159076974727213E-13</v>
      </c>
      <c r="EK175" s="18">
        <f>EJ175*VLOOKUP('Données projet'!$B$15,Paramètres!$A$1:$I$89,3,0)*VLOOKUP('Données projet'!$B$15,Paramètres!$A$1:$I$89,5,0)</f>
        <v>-5.3471467253984886E-13</v>
      </c>
      <c r="EL175" s="14" t="e">
        <f t="shared" si="179"/>
        <v>#NUM!</v>
      </c>
      <c r="EM175" s="22" t="e">
        <f t="shared" si="180"/>
        <v>#NUM!</v>
      </c>
      <c r="EN175" s="60" t="e">
        <f t="shared" si="128"/>
        <v>#NUM!</v>
      </c>
      <c r="EO175" s="60">
        <f ca="1">AVERAGE(OFFSET($EN$3,0,0,'Données projet'!$E$15+1,1))-AVERAGE(OFFSET($H$3,0,0,'Données projet'!$E$15+1,1))</f>
        <v>493.70175665335978</v>
      </c>
      <c r="EP175" s="60">
        <f t="shared" si="154"/>
        <v>325.12357781685949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0" t="e">
        <f t="shared" si="131"/>
        <v>#N/A</v>
      </c>
      <c r="FJ175" s="60" t="e">
        <f ca="1">AVERAGE(OFFSET($FI$3,0,0,'Données projet'!$E$16+1,1))-AVERAGE(OFFSET($H$3,0,0,'Données projet'!$E$16+1,1))</f>
        <v>#N/A</v>
      </c>
      <c r="FK175" s="60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0" t="e">
        <f t="shared" si="134"/>
        <v>#N/A</v>
      </c>
      <c r="GE175" s="60" t="e">
        <f ca="1">AVERAGE(OFFSET($GD$3,0,0,'Données projet'!$E$17+1,1))-AVERAGE(OFFSET($H$3,0,0,'Données projet'!$E$17+1,1))</f>
        <v>#N/A</v>
      </c>
      <c r="GF175" s="60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5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8">
        <f t="shared" si="110"/>
        <v>256.66666666666669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0">
        <f t="shared" si="109"/>
        <v>293.3333333333353</v>
      </c>
      <c r="S176" s="60">
        <f ca="1">AVERAGE(OFFSET($R$3,0,0,'Données projet'!$E$9+1,1))-AVERAGE(OFFSET($H$3,0,0,'Données projet'!$E$9+1,1))</f>
        <v>260.02504691866199</v>
      </c>
      <c r="T176" s="60">
        <f t="shared" si="142"/>
        <v>270.11268336406368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0.58943775575133928</v>
      </c>
      <c r="AA176" s="23">
        <f>EXP(-LN(2)/25)*AA175+(1-EXP(-LN(2)/25))/(LN(2)/25)*Calculateur!V176*Calculateur!X176*VLOOKUP('Données projet'!$B$9,Paramètres!$A$1:$I$89,3,0)*0.475*44/12</f>
        <v>0.31182113413268847</v>
      </c>
      <c r="AB176" s="23">
        <f>EXP(-LN(2)/2)*AB175+(1-EXP(-LN(2)/2))/(LN(2)/2)*V176*Y176*VLOOKUP('Données projet'!$B$9,Paramètres!$A$1:$I$89,3,0)*0.475*44/12</f>
        <v>1.8986367930497513E-21</v>
      </c>
      <c r="AC176" s="24">
        <f t="shared" si="163"/>
        <v>0.90125888988402769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-9.6633812063373625E-13</v>
      </c>
      <c r="AJ176" s="14">
        <f>AI176*VLOOKUP('Données projet'!$B$10,Paramètres!$A$1:$I$89,3,0)*VLOOKUP('Données projet'!$B$10,Paramètres!$A$1:$I$89,5,0)</f>
        <v>-9.7986685432260874E-13</v>
      </c>
      <c r="AK176" s="14" t="e">
        <f t="shared" si="164"/>
        <v>#NUM!</v>
      </c>
      <c r="AL176" s="22" t="e">
        <f t="shared" si="165"/>
        <v>#NUM!</v>
      </c>
      <c r="AM176" s="60" t="e">
        <f t="shared" si="113"/>
        <v>#NUM!</v>
      </c>
      <c r="AN176" s="60">
        <f ca="1">AVERAGE(OFFSET($AM$3,0,0,'Données projet'!$E$10+1,1))-AVERAGE(OFFSET($H$3,0,0,'Données projet'!$E$10+1,1))</f>
        <v>475.47920969424894</v>
      </c>
      <c r="AO176" s="60">
        <f t="shared" si="144"/>
        <v>271.73544012419364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-1.4210854715202004E-13</v>
      </c>
      <c r="BE176" s="14">
        <f>BD176*VLOOKUP('Données projet'!$B$11,Paramètres!$A$1:$I$89,3,0)*VLOOKUP('Données projet'!$B$11,Paramètres!$A$1:$I$89,5,0)</f>
        <v>-1.2857981346314773E-13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325.2649384779973</v>
      </c>
      <c r="BJ176" s="60">
        <f t="shared" si="146"/>
        <v>146.70159365068315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1.0231815394945443E-12</v>
      </c>
      <c r="BZ176" s="14">
        <f>BY176*VLOOKUP('Données projet'!$B$12,Paramètres!$A$1:$I$89,3,0)*VLOOKUP('Données projet'!$B$12,Paramètres!$A$1:$I$89,5,0)</f>
        <v>4.5224624045658859E-13</v>
      </c>
      <c r="CA176" s="14">
        <f t="shared" si="170"/>
        <v>5.6995607121061449E-12</v>
      </c>
      <c r="CB176" s="22">
        <f t="shared" si="171"/>
        <v>1.0714397109046761E-11</v>
      </c>
      <c r="CC176" s="60">
        <f t="shared" si="119"/>
        <v>293.333333333344</v>
      </c>
      <c r="CD176" s="60">
        <f ca="1">AVERAGE(OFFSET($CC$3,0,0,'Données projet'!$E$12+1,1))-AVERAGE(OFFSET($H$3,0,0,'Données projet'!$E$12+1,1))</f>
        <v>401.84375324751227</v>
      </c>
      <c r="CE176" s="60">
        <f t="shared" si="148"/>
        <v>350.39368043404164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0.15809951474099765</v>
      </c>
      <c r="CM176" s="23">
        <f>EXP(-LN(2)/2)*CM175+(1-EXP(-LN(2)/2))/(LN(2)/2)*CG176*CJ176*VLOOKUP('Données projet'!$B$12,Paramètres!$A$1:$I$89,3,0)*0.475*44/12</f>
        <v>4.1727146589652769E-22</v>
      </c>
      <c r="CN176" s="24">
        <f t="shared" si="172"/>
        <v>0.15809951474099765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-1.1368683772161603E-13</v>
      </c>
      <c r="CU176" s="18">
        <f>CT176*VLOOKUP('Données projet'!$B$13,Paramètres!$A$1:$I$89,3,0)*VLOOKUP('Données projet'!$B$13,Paramètres!$A$1:$I$89,5,0)</f>
        <v>-6.7984728957526396E-14</v>
      </c>
      <c r="CV176" s="14" t="e">
        <f t="shared" si="173"/>
        <v>#NUM!</v>
      </c>
      <c r="CW176" s="22" t="e">
        <f t="shared" si="174"/>
        <v>#NUM!</v>
      </c>
      <c r="CX176" s="60" t="e">
        <f t="shared" si="122"/>
        <v>#NUM!</v>
      </c>
      <c r="CY176" s="60">
        <f ca="1">AVERAGE(OFFSET($CX$3,0,0,'Données projet'!$E$13+1,1))-AVERAGE(OFFSET($H$3,0,0,'Données projet'!$E$13+1,1))</f>
        <v>232.73140429491525</v>
      </c>
      <c r="CZ176" s="60">
        <f t="shared" si="150"/>
        <v>201.02719152328638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0.15106158535001407</v>
      </c>
      <c r="DH176" s="23">
        <f>EXP(-LN(2)/2)*DH175+(1-EXP(-LN(2)/2))/(LN(2)/2)*DB176*DE176*VLOOKUP('Données projet'!$B$13,Paramètres!$A$1:$I$89,3,0)*0.475*44/12</f>
        <v>9.2201919083626696E-22</v>
      </c>
      <c r="DI176" s="24">
        <f t="shared" si="175"/>
        <v>0.15106158535001407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>
        <f>DO176*VLOOKUP('Données projet'!$B$14,Paramètres!$A$1:$I$89,3,0)*VLOOKUP('Données projet'!$B$14,Paramètres!$A$1:$I$89,5,0)</f>
        <v>0</v>
      </c>
      <c r="DQ176" s="14" t="e">
        <f t="shared" si="176"/>
        <v>#NUM!</v>
      </c>
      <c r="DR176" s="22" t="e">
        <f t="shared" si="177"/>
        <v>#NUM!</v>
      </c>
      <c r="DS176" s="60" t="e">
        <f t="shared" si="125"/>
        <v>#NUM!</v>
      </c>
      <c r="DT176" s="60">
        <f ca="1">AVERAGE(OFFSET($DS$3,0,0,'Données projet'!$E$14+1,1))-AVERAGE(OFFSET($H$3,0,0,'Données projet'!$E$14+1,1))</f>
        <v>302.15577364214136</v>
      </c>
      <c r="DU176" s="60">
        <f t="shared" si="152"/>
        <v>197.15142751137051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-5.1159076974727213E-13</v>
      </c>
      <c r="EK176" s="18">
        <f>EJ176*VLOOKUP('Données projet'!$B$15,Paramètres!$A$1:$I$89,3,0)*VLOOKUP('Données projet'!$B$15,Paramètres!$A$1:$I$89,5,0)</f>
        <v>-5.3471467253984886E-13</v>
      </c>
      <c r="EL176" s="14" t="e">
        <f t="shared" si="179"/>
        <v>#NUM!</v>
      </c>
      <c r="EM176" s="22" t="e">
        <f t="shared" si="180"/>
        <v>#NUM!</v>
      </c>
      <c r="EN176" s="60" t="e">
        <f t="shared" si="128"/>
        <v>#NUM!</v>
      </c>
      <c r="EO176" s="60">
        <f ca="1">AVERAGE(OFFSET($EN$3,0,0,'Données projet'!$E$15+1,1))-AVERAGE(OFFSET($H$3,0,0,'Données projet'!$E$15+1,1))</f>
        <v>493.70175665335978</v>
      </c>
      <c r="EP176" s="60">
        <f t="shared" si="154"/>
        <v>325.12357781685949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0" t="e">
        <f t="shared" si="131"/>
        <v>#N/A</v>
      </c>
      <c r="FJ176" s="60" t="e">
        <f ca="1">AVERAGE(OFFSET($FI$3,0,0,'Données projet'!$E$16+1,1))-AVERAGE(OFFSET($H$3,0,0,'Données projet'!$E$16+1,1))</f>
        <v>#N/A</v>
      </c>
      <c r="FK176" s="60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0" t="e">
        <f t="shared" si="134"/>
        <v>#N/A</v>
      </c>
      <c r="GE176" s="60" t="e">
        <f ca="1">AVERAGE(OFFSET($GD$3,0,0,'Données projet'!$E$17+1,1))-AVERAGE(OFFSET($H$3,0,0,'Données projet'!$E$17+1,1))</f>
        <v>#N/A</v>
      </c>
      <c r="GF176" s="60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5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8">
        <f t="shared" si="110"/>
        <v>256.66666666666669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0">
        <f t="shared" si="109"/>
        <v>293.3333333333353</v>
      </c>
      <c r="S177" s="60">
        <f ca="1">AVERAGE(OFFSET($R$3,0,0,'Données projet'!$E$9+1,1))-AVERAGE(OFFSET($H$3,0,0,'Données projet'!$E$9+1,1))</f>
        <v>260.02504691866199</v>
      </c>
      <c r="T177" s="60">
        <f t="shared" si="142"/>
        <v>270.11268336406368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0.57787924088258669</v>
      </c>
      <c r="AA177" s="23">
        <f>EXP(-LN(2)/25)*AA176+(1-EXP(-LN(2)/25))/(LN(2)/25)*Calculateur!V177*Calculateur!X177*VLOOKUP('Données projet'!$B$9,Paramètres!$A$1:$I$89,3,0)*0.475*44/12</f>
        <v>0.30329436882186933</v>
      </c>
      <c r="AB177" s="23">
        <f>EXP(-LN(2)/2)*AB176+(1-EXP(-LN(2)/2))/(LN(2)/2)*V177*Y177*VLOOKUP('Données projet'!$B$9,Paramètres!$A$1:$I$89,3,0)*0.475*44/12</f>
        <v>1.3425389513757588E-21</v>
      </c>
      <c r="AC177" s="24">
        <f t="shared" si="163"/>
        <v>0.88117360970445602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-9.6633812063373625E-13</v>
      </c>
      <c r="AJ177" s="14">
        <f>AI177*VLOOKUP('Données projet'!$B$10,Paramètres!$A$1:$I$89,3,0)*VLOOKUP('Données projet'!$B$10,Paramètres!$A$1:$I$89,5,0)</f>
        <v>-9.7986685432260874E-13</v>
      </c>
      <c r="AK177" s="14" t="e">
        <f t="shared" si="164"/>
        <v>#NUM!</v>
      </c>
      <c r="AL177" s="22" t="e">
        <f t="shared" si="165"/>
        <v>#NUM!</v>
      </c>
      <c r="AM177" s="60" t="e">
        <f t="shared" si="113"/>
        <v>#NUM!</v>
      </c>
      <c r="AN177" s="60">
        <f ca="1">AVERAGE(OFFSET($AM$3,0,0,'Données projet'!$E$10+1,1))-AVERAGE(OFFSET($H$3,0,0,'Données projet'!$E$10+1,1))</f>
        <v>475.47920969424894</v>
      </c>
      <c r="AO177" s="60">
        <f t="shared" si="144"/>
        <v>271.73544012419364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-1.4210854715202004E-13</v>
      </c>
      <c r="BE177" s="14">
        <f>BD177*VLOOKUP('Données projet'!$B$11,Paramètres!$A$1:$I$89,3,0)*VLOOKUP('Données projet'!$B$11,Paramètres!$A$1:$I$89,5,0)</f>
        <v>-1.2857981346314773E-13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325.2649384779973</v>
      </c>
      <c r="BJ177" s="60">
        <f t="shared" si="146"/>
        <v>146.70159365068315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1.0231815394945443E-12</v>
      </c>
      <c r="BZ177" s="14">
        <f>BY177*VLOOKUP('Données projet'!$B$12,Paramètres!$A$1:$I$89,3,0)*VLOOKUP('Données projet'!$B$12,Paramètres!$A$1:$I$89,5,0)</f>
        <v>4.5224624045658859E-13</v>
      </c>
      <c r="CA177" s="14">
        <f t="shared" si="170"/>
        <v>5.6995607121061449E-12</v>
      </c>
      <c r="CB177" s="22">
        <f t="shared" si="171"/>
        <v>1.0714397109046761E-11</v>
      </c>
      <c r="CC177" s="60">
        <f t="shared" si="119"/>
        <v>293.333333333344</v>
      </c>
      <c r="CD177" s="60">
        <f ca="1">AVERAGE(OFFSET($CC$3,0,0,'Données projet'!$E$12+1,1))-AVERAGE(OFFSET($H$3,0,0,'Données projet'!$E$12+1,1))</f>
        <v>401.84375324751227</v>
      </c>
      <c r="CE177" s="60">
        <f t="shared" si="148"/>
        <v>350.39368043404164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0.15377627519631293</v>
      </c>
      <c r="CM177" s="23">
        <f>EXP(-LN(2)/2)*CM176+(1-EXP(-LN(2)/2))/(LN(2)/2)*CG177*CJ177*VLOOKUP('Données projet'!$B$12,Paramètres!$A$1:$I$89,3,0)*0.475*44/12</f>
        <v>2.9505548313108595E-22</v>
      </c>
      <c r="CN177" s="24">
        <f t="shared" si="172"/>
        <v>0.15377627519631293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-1.1368683772161603E-13</v>
      </c>
      <c r="CU177" s="18">
        <f>CT177*VLOOKUP('Données projet'!$B$13,Paramètres!$A$1:$I$89,3,0)*VLOOKUP('Données projet'!$B$13,Paramètres!$A$1:$I$89,5,0)</f>
        <v>-6.7984728957526396E-14</v>
      </c>
      <c r="CV177" s="14" t="e">
        <f t="shared" si="173"/>
        <v>#NUM!</v>
      </c>
      <c r="CW177" s="22" t="e">
        <f t="shared" si="174"/>
        <v>#NUM!</v>
      </c>
      <c r="CX177" s="60" t="e">
        <f t="shared" si="122"/>
        <v>#NUM!</v>
      </c>
      <c r="CY177" s="60">
        <f ca="1">AVERAGE(OFFSET($CX$3,0,0,'Données projet'!$E$13+1,1))-AVERAGE(OFFSET($H$3,0,0,'Données projet'!$E$13+1,1))</f>
        <v>232.73140429491525</v>
      </c>
      <c r="CZ177" s="60">
        <f t="shared" si="150"/>
        <v>201.02719152328638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0.14693079835463441</v>
      </c>
      <c r="DH177" s="23">
        <f>EXP(-LN(2)/2)*DH176+(1-EXP(-LN(2)/2))/(LN(2)/2)*DB177*DE177*VLOOKUP('Données projet'!$B$13,Paramètres!$A$1:$I$89,3,0)*0.475*44/12</f>
        <v>6.5196602222445783E-22</v>
      </c>
      <c r="DI177" s="24">
        <f t="shared" si="175"/>
        <v>0.14693079835463441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>
        <f>DO177*VLOOKUP('Données projet'!$B$14,Paramètres!$A$1:$I$89,3,0)*VLOOKUP('Données projet'!$B$14,Paramètres!$A$1:$I$89,5,0)</f>
        <v>0</v>
      </c>
      <c r="DQ177" s="14" t="e">
        <f t="shared" si="176"/>
        <v>#NUM!</v>
      </c>
      <c r="DR177" s="22" t="e">
        <f t="shared" si="177"/>
        <v>#NUM!</v>
      </c>
      <c r="DS177" s="60" t="e">
        <f t="shared" si="125"/>
        <v>#NUM!</v>
      </c>
      <c r="DT177" s="60">
        <f ca="1">AVERAGE(OFFSET($DS$3,0,0,'Données projet'!$E$14+1,1))-AVERAGE(OFFSET($H$3,0,0,'Données projet'!$E$14+1,1))</f>
        <v>302.15577364214136</v>
      </c>
      <c r="DU177" s="60">
        <f t="shared" si="152"/>
        <v>197.15142751137051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-5.1159076974727213E-13</v>
      </c>
      <c r="EK177" s="18">
        <f>EJ177*VLOOKUP('Données projet'!$B$15,Paramètres!$A$1:$I$89,3,0)*VLOOKUP('Données projet'!$B$15,Paramètres!$A$1:$I$89,5,0)</f>
        <v>-5.3471467253984886E-13</v>
      </c>
      <c r="EL177" s="14" t="e">
        <f t="shared" si="179"/>
        <v>#NUM!</v>
      </c>
      <c r="EM177" s="22" t="e">
        <f t="shared" si="180"/>
        <v>#NUM!</v>
      </c>
      <c r="EN177" s="60" t="e">
        <f t="shared" si="128"/>
        <v>#NUM!</v>
      </c>
      <c r="EO177" s="60">
        <f ca="1">AVERAGE(OFFSET($EN$3,0,0,'Données projet'!$E$15+1,1))-AVERAGE(OFFSET($H$3,0,0,'Données projet'!$E$15+1,1))</f>
        <v>493.70175665335978</v>
      </c>
      <c r="EP177" s="60">
        <f t="shared" si="154"/>
        <v>325.12357781685949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0" t="e">
        <f t="shared" si="131"/>
        <v>#N/A</v>
      </c>
      <c r="FJ177" s="60" t="e">
        <f ca="1">AVERAGE(OFFSET($FI$3,0,0,'Données projet'!$E$16+1,1))-AVERAGE(OFFSET($H$3,0,0,'Données projet'!$E$16+1,1))</f>
        <v>#N/A</v>
      </c>
      <c r="FK177" s="60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0" t="e">
        <f t="shared" si="134"/>
        <v>#N/A</v>
      </c>
      <c r="GE177" s="60" t="e">
        <f ca="1">AVERAGE(OFFSET($GD$3,0,0,'Données projet'!$E$17+1,1))-AVERAGE(OFFSET($H$3,0,0,'Données projet'!$E$17+1,1))</f>
        <v>#N/A</v>
      </c>
      <c r="GF177" s="60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5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8">
        <f t="shared" si="110"/>
        <v>256.66666666666669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0">
        <f t="shared" si="109"/>
        <v>293.3333333333353</v>
      </c>
      <c r="S178" s="60">
        <f ca="1">AVERAGE(OFFSET($R$3,0,0,'Données projet'!$E$9+1,1))-AVERAGE(OFFSET($H$3,0,0,'Données projet'!$E$9+1,1))</f>
        <v>260.02504691866199</v>
      </c>
      <c r="T178" s="60">
        <f t="shared" si="142"/>
        <v>270.11268336406368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0.56654738144041239</v>
      </c>
      <c r="AA178" s="23">
        <f>EXP(-LN(2)/25)*AA177+(1-EXP(-LN(2)/25))/(LN(2)/25)*Calculateur!V178*Calculateur!X178*VLOOKUP('Données projet'!$B$9,Paramètres!$A$1:$I$89,3,0)*0.475*44/12</f>
        <v>0.29500076835687766</v>
      </c>
      <c r="AB178" s="23">
        <f>EXP(-LN(2)/2)*AB177+(1-EXP(-LN(2)/2))/(LN(2)/2)*V178*Y178*VLOOKUP('Données projet'!$B$9,Paramètres!$A$1:$I$89,3,0)*0.475*44/12</f>
        <v>9.4931839652487565E-22</v>
      </c>
      <c r="AC178" s="24">
        <f t="shared" si="163"/>
        <v>0.86154814979729011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-9.6633812063373625E-13</v>
      </c>
      <c r="AJ178" s="14">
        <f>AI178*VLOOKUP('Données projet'!$B$10,Paramètres!$A$1:$I$89,3,0)*VLOOKUP('Données projet'!$B$10,Paramètres!$A$1:$I$89,5,0)</f>
        <v>-9.7986685432260874E-13</v>
      </c>
      <c r="AK178" s="14" t="e">
        <f t="shared" si="164"/>
        <v>#NUM!</v>
      </c>
      <c r="AL178" s="22" t="e">
        <f t="shared" si="165"/>
        <v>#NUM!</v>
      </c>
      <c r="AM178" s="60" t="e">
        <f t="shared" si="113"/>
        <v>#NUM!</v>
      </c>
      <c r="AN178" s="60">
        <f ca="1">AVERAGE(OFFSET($AM$3,0,0,'Données projet'!$E$10+1,1))-AVERAGE(OFFSET($H$3,0,0,'Données projet'!$E$10+1,1))</f>
        <v>475.47920969424894</v>
      </c>
      <c r="AO178" s="60">
        <f t="shared" si="144"/>
        <v>271.73544012419364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-1.4210854715202004E-13</v>
      </c>
      <c r="BE178" s="14">
        <f>BD178*VLOOKUP('Données projet'!$B$11,Paramètres!$A$1:$I$89,3,0)*VLOOKUP('Données projet'!$B$11,Paramètres!$A$1:$I$89,5,0)</f>
        <v>-1.2857981346314773E-13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325.2649384779973</v>
      </c>
      <c r="BJ178" s="60">
        <f t="shared" si="146"/>
        <v>146.70159365068315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1.0231815394945443E-12</v>
      </c>
      <c r="BZ178" s="14">
        <f>BY178*VLOOKUP('Données projet'!$B$12,Paramètres!$A$1:$I$89,3,0)*VLOOKUP('Données projet'!$B$12,Paramètres!$A$1:$I$89,5,0)</f>
        <v>4.5224624045658859E-13</v>
      </c>
      <c r="CA178" s="14">
        <f t="shared" si="170"/>
        <v>5.6995607121061449E-12</v>
      </c>
      <c r="CB178" s="22">
        <f t="shared" si="171"/>
        <v>1.0714397109046761E-11</v>
      </c>
      <c r="CC178" s="60">
        <f t="shared" si="119"/>
        <v>293.333333333344</v>
      </c>
      <c r="CD178" s="60">
        <f ca="1">AVERAGE(OFFSET($CC$3,0,0,'Données projet'!$E$12+1,1))-AVERAGE(OFFSET($H$3,0,0,'Données projet'!$E$12+1,1))</f>
        <v>401.84375324751227</v>
      </c>
      <c r="CE178" s="60">
        <f t="shared" si="148"/>
        <v>350.39368043404164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0.1495712548643269</v>
      </c>
      <c r="CM178" s="23">
        <f>EXP(-LN(2)/2)*CM177+(1-EXP(-LN(2)/2))/(LN(2)/2)*CG178*CJ178*VLOOKUP('Données projet'!$B$12,Paramètres!$A$1:$I$89,3,0)*0.475*44/12</f>
        <v>2.0863573294826387E-22</v>
      </c>
      <c r="CN178" s="24">
        <f t="shared" si="172"/>
        <v>0.1495712548643269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-1.1368683772161603E-13</v>
      </c>
      <c r="CU178" s="18">
        <f>CT178*VLOOKUP('Données projet'!$B$13,Paramètres!$A$1:$I$89,3,0)*VLOOKUP('Données projet'!$B$13,Paramètres!$A$1:$I$89,5,0)</f>
        <v>-6.7984728957526396E-14</v>
      </c>
      <c r="CV178" s="14" t="e">
        <f t="shared" si="173"/>
        <v>#NUM!</v>
      </c>
      <c r="CW178" s="22" t="e">
        <f t="shared" si="174"/>
        <v>#NUM!</v>
      </c>
      <c r="CX178" s="60" t="e">
        <f t="shared" si="122"/>
        <v>#NUM!</v>
      </c>
      <c r="CY178" s="60">
        <f ca="1">AVERAGE(OFFSET($CX$3,0,0,'Données projet'!$E$13+1,1))-AVERAGE(OFFSET($H$3,0,0,'Données projet'!$E$13+1,1))</f>
        <v>232.73140429491525</v>
      </c>
      <c r="CZ178" s="60">
        <f t="shared" si="150"/>
        <v>201.02719152328638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0.14291296794687205</v>
      </c>
      <c r="DH178" s="23">
        <f>EXP(-LN(2)/2)*DH177+(1-EXP(-LN(2)/2))/(LN(2)/2)*DB178*DE178*VLOOKUP('Données projet'!$B$13,Paramètres!$A$1:$I$89,3,0)*0.475*44/12</f>
        <v>4.6100959541813348E-22</v>
      </c>
      <c r="DI178" s="24">
        <f t="shared" si="175"/>
        <v>0.14291296794687205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>
        <f>DO178*VLOOKUP('Données projet'!$B$14,Paramètres!$A$1:$I$89,3,0)*VLOOKUP('Données projet'!$B$14,Paramètres!$A$1:$I$89,5,0)</f>
        <v>0</v>
      </c>
      <c r="DQ178" s="14" t="e">
        <f t="shared" si="176"/>
        <v>#NUM!</v>
      </c>
      <c r="DR178" s="22" t="e">
        <f t="shared" si="177"/>
        <v>#NUM!</v>
      </c>
      <c r="DS178" s="60" t="e">
        <f t="shared" si="125"/>
        <v>#NUM!</v>
      </c>
      <c r="DT178" s="60">
        <f ca="1">AVERAGE(OFFSET($DS$3,0,0,'Données projet'!$E$14+1,1))-AVERAGE(OFFSET($H$3,0,0,'Données projet'!$E$14+1,1))</f>
        <v>302.15577364214136</v>
      </c>
      <c r="DU178" s="60">
        <f t="shared" si="152"/>
        <v>197.15142751137051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-5.1159076974727213E-13</v>
      </c>
      <c r="EK178" s="18">
        <f>EJ178*VLOOKUP('Données projet'!$B$15,Paramètres!$A$1:$I$89,3,0)*VLOOKUP('Données projet'!$B$15,Paramètres!$A$1:$I$89,5,0)</f>
        <v>-5.3471467253984886E-13</v>
      </c>
      <c r="EL178" s="14" t="e">
        <f t="shared" si="179"/>
        <v>#NUM!</v>
      </c>
      <c r="EM178" s="22" t="e">
        <f t="shared" si="180"/>
        <v>#NUM!</v>
      </c>
      <c r="EN178" s="60" t="e">
        <f t="shared" si="128"/>
        <v>#NUM!</v>
      </c>
      <c r="EO178" s="60">
        <f ca="1">AVERAGE(OFFSET($EN$3,0,0,'Données projet'!$E$15+1,1))-AVERAGE(OFFSET($H$3,0,0,'Données projet'!$E$15+1,1))</f>
        <v>493.70175665335978</v>
      </c>
      <c r="EP178" s="60">
        <f t="shared" si="154"/>
        <v>325.12357781685949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0" t="e">
        <f t="shared" si="131"/>
        <v>#N/A</v>
      </c>
      <c r="FJ178" s="60" t="e">
        <f ca="1">AVERAGE(OFFSET($FI$3,0,0,'Données projet'!$E$16+1,1))-AVERAGE(OFFSET($H$3,0,0,'Données projet'!$E$16+1,1))</f>
        <v>#N/A</v>
      </c>
      <c r="FK178" s="60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0" t="e">
        <f t="shared" si="134"/>
        <v>#N/A</v>
      </c>
      <c r="GE178" s="60" t="e">
        <f ca="1">AVERAGE(OFFSET($GD$3,0,0,'Données projet'!$E$17+1,1))-AVERAGE(OFFSET($H$3,0,0,'Données projet'!$E$17+1,1))</f>
        <v>#N/A</v>
      </c>
      <c r="GF178" s="60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5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8">
        <f t="shared" si="110"/>
        <v>256.66666666666669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0">
        <f t="shared" si="109"/>
        <v>293.3333333333353</v>
      </c>
      <c r="S179" s="60">
        <f ca="1">AVERAGE(OFFSET($R$3,0,0,'Données projet'!$E$9+1,1))-AVERAGE(OFFSET($H$3,0,0,'Données projet'!$E$9+1,1))</f>
        <v>260.02504691866199</v>
      </c>
      <c r="T179" s="60">
        <f t="shared" si="142"/>
        <v>270.11268336406368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0.55543773285014741</v>
      </c>
      <c r="AA179" s="23">
        <f>EXP(-LN(2)/25)*AA178+(1-EXP(-LN(2)/25))/(LN(2)/25)*Calculateur!V179*Calculateur!X179*VLOOKUP('Données projet'!$B$9,Paramètres!$A$1:$I$89,3,0)*0.475*44/12</f>
        <v>0.28693395683274264</v>
      </c>
      <c r="AB179" s="23">
        <f>EXP(-LN(2)/2)*AB178+(1-EXP(-LN(2)/2))/(LN(2)/2)*V179*Y179*VLOOKUP('Données projet'!$B$9,Paramètres!$A$1:$I$89,3,0)*0.475*44/12</f>
        <v>6.712694756878794E-22</v>
      </c>
      <c r="AC179" s="24">
        <f t="shared" si="163"/>
        <v>0.84237168968289011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-9.6633812063373625E-13</v>
      </c>
      <c r="AJ179" s="14">
        <f>AI179*VLOOKUP('Données projet'!$B$10,Paramètres!$A$1:$I$89,3,0)*VLOOKUP('Données projet'!$B$10,Paramètres!$A$1:$I$89,5,0)</f>
        <v>-9.7986685432260874E-13</v>
      </c>
      <c r="AK179" s="14" t="e">
        <f t="shared" si="164"/>
        <v>#NUM!</v>
      </c>
      <c r="AL179" s="22" t="e">
        <f t="shared" si="165"/>
        <v>#NUM!</v>
      </c>
      <c r="AM179" s="60" t="e">
        <f t="shared" si="113"/>
        <v>#NUM!</v>
      </c>
      <c r="AN179" s="60">
        <f ca="1">AVERAGE(OFFSET($AM$3,0,0,'Données projet'!$E$10+1,1))-AVERAGE(OFFSET($H$3,0,0,'Données projet'!$E$10+1,1))</f>
        <v>475.47920969424894</v>
      </c>
      <c r="AO179" s="60">
        <f t="shared" si="144"/>
        <v>271.73544012419364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-1.4210854715202004E-13</v>
      </c>
      <c r="BE179" s="14">
        <f>BD179*VLOOKUP('Données projet'!$B$11,Paramètres!$A$1:$I$89,3,0)*VLOOKUP('Données projet'!$B$11,Paramètres!$A$1:$I$89,5,0)</f>
        <v>-1.2857981346314773E-13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325.2649384779973</v>
      </c>
      <c r="BJ179" s="60">
        <f t="shared" si="146"/>
        <v>146.70159365068315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1.0231815394945443E-12</v>
      </c>
      <c r="BZ179" s="14">
        <f>BY179*VLOOKUP('Données projet'!$B$12,Paramètres!$A$1:$I$89,3,0)*VLOOKUP('Données projet'!$B$12,Paramètres!$A$1:$I$89,5,0)</f>
        <v>4.5224624045658859E-13</v>
      </c>
      <c r="CA179" s="14">
        <f t="shared" si="170"/>
        <v>5.6995607121061449E-12</v>
      </c>
      <c r="CB179" s="22">
        <f t="shared" si="171"/>
        <v>1.0714397109046761E-11</v>
      </c>
      <c r="CC179" s="60">
        <f t="shared" si="119"/>
        <v>293.333333333344</v>
      </c>
      <c r="CD179" s="60">
        <f ca="1">AVERAGE(OFFSET($CC$3,0,0,'Données projet'!$E$12+1,1))-AVERAGE(OFFSET($H$3,0,0,'Données projet'!$E$12+1,1))</f>
        <v>401.84375324751227</v>
      </c>
      <c r="CE179" s="60">
        <f t="shared" si="148"/>
        <v>350.39368043404164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0.14548122103445144</v>
      </c>
      <c r="CM179" s="23">
        <f>EXP(-LN(2)/2)*CM178+(1-EXP(-LN(2)/2))/(LN(2)/2)*CG179*CJ179*VLOOKUP('Données projet'!$B$12,Paramètres!$A$1:$I$89,3,0)*0.475*44/12</f>
        <v>1.47527741565543E-22</v>
      </c>
      <c r="CN179" s="24">
        <f t="shared" si="172"/>
        <v>0.14548122103445144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-1.1368683772161603E-13</v>
      </c>
      <c r="CU179" s="18">
        <f>CT179*VLOOKUP('Données projet'!$B$13,Paramètres!$A$1:$I$89,3,0)*VLOOKUP('Données projet'!$B$13,Paramètres!$A$1:$I$89,5,0)</f>
        <v>-6.7984728957526396E-14</v>
      </c>
      <c r="CV179" s="14" t="e">
        <f t="shared" si="173"/>
        <v>#NUM!</v>
      </c>
      <c r="CW179" s="22" t="e">
        <f t="shared" si="174"/>
        <v>#NUM!</v>
      </c>
      <c r="CX179" s="60" t="e">
        <f t="shared" si="122"/>
        <v>#NUM!</v>
      </c>
      <c r="CY179" s="60">
        <f ca="1">AVERAGE(OFFSET($CX$3,0,0,'Données projet'!$E$13+1,1))-AVERAGE(OFFSET($H$3,0,0,'Données projet'!$E$13+1,1))</f>
        <v>232.73140429491525</v>
      </c>
      <c r="CZ179" s="60">
        <f t="shared" si="150"/>
        <v>201.02719152328638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0.13900500532289847</v>
      </c>
      <c r="DH179" s="23">
        <f>EXP(-LN(2)/2)*DH178+(1-EXP(-LN(2)/2))/(LN(2)/2)*DB179*DE179*VLOOKUP('Données projet'!$B$13,Paramètres!$A$1:$I$89,3,0)*0.475*44/12</f>
        <v>3.2598301111222891E-22</v>
      </c>
      <c r="DI179" s="24">
        <f t="shared" si="175"/>
        <v>0.13900500532289847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>
        <f>DO179*VLOOKUP('Données projet'!$B$14,Paramètres!$A$1:$I$89,3,0)*VLOOKUP('Données projet'!$B$14,Paramètres!$A$1:$I$89,5,0)</f>
        <v>0</v>
      </c>
      <c r="DQ179" s="14" t="e">
        <f t="shared" si="176"/>
        <v>#NUM!</v>
      </c>
      <c r="DR179" s="22" t="e">
        <f t="shared" si="177"/>
        <v>#NUM!</v>
      </c>
      <c r="DS179" s="60" t="e">
        <f t="shared" si="125"/>
        <v>#NUM!</v>
      </c>
      <c r="DT179" s="60">
        <f ca="1">AVERAGE(OFFSET($DS$3,0,0,'Données projet'!$E$14+1,1))-AVERAGE(OFFSET($H$3,0,0,'Données projet'!$E$14+1,1))</f>
        <v>302.15577364214136</v>
      </c>
      <c r="DU179" s="60">
        <f t="shared" si="152"/>
        <v>197.15142751137051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-5.1159076974727213E-13</v>
      </c>
      <c r="EK179" s="18">
        <f>EJ179*VLOOKUP('Données projet'!$B$15,Paramètres!$A$1:$I$89,3,0)*VLOOKUP('Données projet'!$B$15,Paramètres!$A$1:$I$89,5,0)</f>
        <v>-5.3471467253984886E-13</v>
      </c>
      <c r="EL179" s="14" t="e">
        <f t="shared" si="179"/>
        <v>#NUM!</v>
      </c>
      <c r="EM179" s="22" t="e">
        <f t="shared" si="180"/>
        <v>#NUM!</v>
      </c>
      <c r="EN179" s="60" t="e">
        <f t="shared" si="128"/>
        <v>#NUM!</v>
      </c>
      <c r="EO179" s="60">
        <f ca="1">AVERAGE(OFFSET($EN$3,0,0,'Données projet'!$E$15+1,1))-AVERAGE(OFFSET($H$3,0,0,'Données projet'!$E$15+1,1))</f>
        <v>493.70175665335978</v>
      </c>
      <c r="EP179" s="60">
        <f t="shared" si="154"/>
        <v>325.12357781685949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0" t="e">
        <f t="shared" si="131"/>
        <v>#N/A</v>
      </c>
      <c r="FJ179" s="60" t="e">
        <f ca="1">AVERAGE(OFFSET($FI$3,0,0,'Données projet'!$E$16+1,1))-AVERAGE(OFFSET($H$3,0,0,'Données projet'!$E$16+1,1))</f>
        <v>#N/A</v>
      </c>
      <c r="FK179" s="60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0" t="e">
        <f t="shared" si="134"/>
        <v>#N/A</v>
      </c>
      <c r="GE179" s="60" t="e">
        <f ca="1">AVERAGE(OFFSET($GD$3,0,0,'Données projet'!$E$17+1,1))-AVERAGE(OFFSET($H$3,0,0,'Données projet'!$E$17+1,1))</f>
        <v>#N/A</v>
      </c>
      <c r="GF179" s="60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5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8">
        <f t="shared" si="110"/>
        <v>256.66666666666669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0">
        <f t="shared" si="109"/>
        <v>293.3333333333353</v>
      </c>
      <c r="S180" s="60">
        <f ca="1">AVERAGE(OFFSET($R$3,0,0,'Données projet'!$E$9+1,1))-AVERAGE(OFFSET($H$3,0,0,'Données projet'!$E$9+1,1))</f>
        <v>260.02504691866199</v>
      </c>
      <c r="T180" s="60">
        <f t="shared" si="142"/>
        <v>270.11268336406368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0.54454593769252091</v>
      </c>
      <c r="AA180" s="23">
        <f>EXP(-LN(2)/25)*AA179+(1-EXP(-LN(2)/25))/(LN(2)/25)*Calculateur!V180*Calculateur!X180*VLOOKUP('Données projet'!$B$9,Paramètres!$A$1:$I$89,3,0)*0.475*44/12</f>
        <v>0.27908773269395032</v>
      </c>
      <c r="AB180" s="23">
        <f>EXP(-LN(2)/2)*AB179+(1-EXP(-LN(2)/2))/(LN(2)/2)*V180*Y180*VLOOKUP('Données projet'!$B$9,Paramètres!$A$1:$I$89,3,0)*0.475*44/12</f>
        <v>4.7465919826243782E-22</v>
      </c>
      <c r="AC180" s="24">
        <f t="shared" si="163"/>
        <v>0.82363367038647128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-9.6633812063373625E-13</v>
      </c>
      <c r="AJ180" s="14">
        <f>AI180*VLOOKUP('Données projet'!$B$10,Paramètres!$A$1:$I$89,3,0)*VLOOKUP('Données projet'!$B$10,Paramètres!$A$1:$I$89,5,0)</f>
        <v>-9.7986685432260874E-13</v>
      </c>
      <c r="AK180" s="14" t="e">
        <f t="shared" si="164"/>
        <v>#NUM!</v>
      </c>
      <c r="AL180" s="22" t="e">
        <f t="shared" si="165"/>
        <v>#NUM!</v>
      </c>
      <c r="AM180" s="60" t="e">
        <f t="shared" si="113"/>
        <v>#NUM!</v>
      </c>
      <c r="AN180" s="60">
        <f ca="1">AVERAGE(OFFSET($AM$3,0,0,'Données projet'!$E$10+1,1))-AVERAGE(OFFSET($H$3,0,0,'Données projet'!$E$10+1,1))</f>
        <v>475.47920969424894</v>
      </c>
      <c r="AO180" s="60">
        <f t="shared" si="144"/>
        <v>271.73544012419364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-1.4210854715202004E-13</v>
      </c>
      <c r="BE180" s="14">
        <f>BD180*VLOOKUP('Données projet'!$B$11,Paramètres!$A$1:$I$89,3,0)*VLOOKUP('Données projet'!$B$11,Paramètres!$A$1:$I$89,5,0)</f>
        <v>-1.2857981346314773E-13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325.2649384779973</v>
      </c>
      <c r="BJ180" s="60">
        <f t="shared" si="146"/>
        <v>146.70159365068315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1.0231815394945443E-12</v>
      </c>
      <c r="BZ180" s="14">
        <f>BY180*VLOOKUP('Données projet'!$B$12,Paramètres!$A$1:$I$89,3,0)*VLOOKUP('Données projet'!$B$12,Paramètres!$A$1:$I$89,5,0)</f>
        <v>4.5224624045658859E-13</v>
      </c>
      <c r="CA180" s="14">
        <f t="shared" si="170"/>
        <v>5.6995607121061449E-12</v>
      </c>
      <c r="CB180" s="22">
        <f t="shared" si="171"/>
        <v>1.0714397109046761E-11</v>
      </c>
      <c r="CC180" s="60">
        <f t="shared" si="119"/>
        <v>293.333333333344</v>
      </c>
      <c r="CD180" s="60">
        <f ca="1">AVERAGE(OFFSET($CC$3,0,0,'Données projet'!$E$12+1,1))-AVERAGE(OFFSET($H$3,0,0,'Données projet'!$E$12+1,1))</f>
        <v>401.84375324751227</v>
      </c>
      <c r="CE180" s="60">
        <f t="shared" si="148"/>
        <v>350.39368043404164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0.14150302939473944</v>
      </c>
      <c r="CM180" s="23">
        <f>EXP(-LN(2)/2)*CM179+(1-EXP(-LN(2)/2))/(LN(2)/2)*CG180*CJ180*VLOOKUP('Données projet'!$B$12,Paramètres!$A$1:$I$89,3,0)*0.475*44/12</f>
        <v>1.0431786647413196E-22</v>
      </c>
      <c r="CN180" s="24">
        <f t="shared" si="172"/>
        <v>0.14150302939473944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-1.1368683772161603E-13</v>
      </c>
      <c r="CU180" s="18">
        <f>CT180*VLOOKUP('Données projet'!$B$13,Paramètres!$A$1:$I$89,3,0)*VLOOKUP('Données projet'!$B$13,Paramètres!$A$1:$I$89,5,0)</f>
        <v>-6.7984728957526396E-14</v>
      </c>
      <c r="CV180" s="14" t="e">
        <f t="shared" si="173"/>
        <v>#NUM!</v>
      </c>
      <c r="CW180" s="22" t="e">
        <f t="shared" si="174"/>
        <v>#NUM!</v>
      </c>
      <c r="CX180" s="60" t="e">
        <f t="shared" si="122"/>
        <v>#NUM!</v>
      </c>
      <c r="CY180" s="60">
        <f ca="1">AVERAGE(OFFSET($CX$3,0,0,'Données projet'!$E$13+1,1))-AVERAGE(OFFSET($H$3,0,0,'Données projet'!$E$13+1,1))</f>
        <v>232.73140429491525</v>
      </c>
      <c r="CZ180" s="60">
        <f t="shared" si="150"/>
        <v>201.02719152328638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0.13520390614238828</v>
      </c>
      <c r="DH180" s="23">
        <f>EXP(-LN(2)/2)*DH179+(1-EXP(-LN(2)/2))/(LN(2)/2)*DB180*DE180*VLOOKUP('Données projet'!$B$13,Paramètres!$A$1:$I$89,3,0)*0.475*44/12</f>
        <v>2.3050479770906674E-22</v>
      </c>
      <c r="DI180" s="24">
        <f t="shared" si="175"/>
        <v>0.13520390614238828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>
        <f>DO180*VLOOKUP('Données projet'!$B$14,Paramètres!$A$1:$I$89,3,0)*VLOOKUP('Données projet'!$B$14,Paramètres!$A$1:$I$89,5,0)</f>
        <v>0</v>
      </c>
      <c r="DQ180" s="14" t="e">
        <f t="shared" si="176"/>
        <v>#NUM!</v>
      </c>
      <c r="DR180" s="22" t="e">
        <f t="shared" si="177"/>
        <v>#NUM!</v>
      </c>
      <c r="DS180" s="60" t="e">
        <f t="shared" si="125"/>
        <v>#NUM!</v>
      </c>
      <c r="DT180" s="60">
        <f ca="1">AVERAGE(OFFSET($DS$3,0,0,'Données projet'!$E$14+1,1))-AVERAGE(OFFSET($H$3,0,0,'Données projet'!$E$14+1,1))</f>
        <v>302.15577364214136</v>
      </c>
      <c r="DU180" s="60">
        <f t="shared" si="152"/>
        <v>197.15142751137051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-5.1159076974727213E-13</v>
      </c>
      <c r="EK180" s="18">
        <f>EJ180*VLOOKUP('Données projet'!$B$15,Paramètres!$A$1:$I$89,3,0)*VLOOKUP('Données projet'!$B$15,Paramètres!$A$1:$I$89,5,0)</f>
        <v>-5.3471467253984886E-13</v>
      </c>
      <c r="EL180" s="14" t="e">
        <f t="shared" si="179"/>
        <v>#NUM!</v>
      </c>
      <c r="EM180" s="22" t="e">
        <f t="shared" si="180"/>
        <v>#NUM!</v>
      </c>
      <c r="EN180" s="60" t="e">
        <f t="shared" si="128"/>
        <v>#NUM!</v>
      </c>
      <c r="EO180" s="60">
        <f ca="1">AVERAGE(OFFSET($EN$3,0,0,'Données projet'!$E$15+1,1))-AVERAGE(OFFSET($H$3,0,0,'Données projet'!$E$15+1,1))</f>
        <v>493.70175665335978</v>
      </c>
      <c r="EP180" s="60">
        <f t="shared" si="154"/>
        <v>325.12357781685949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0" t="e">
        <f t="shared" si="131"/>
        <v>#N/A</v>
      </c>
      <c r="FJ180" s="60" t="e">
        <f ca="1">AVERAGE(OFFSET($FI$3,0,0,'Données projet'!$E$16+1,1))-AVERAGE(OFFSET($H$3,0,0,'Données projet'!$E$16+1,1))</f>
        <v>#N/A</v>
      </c>
      <c r="FK180" s="60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0" t="e">
        <f t="shared" si="134"/>
        <v>#N/A</v>
      </c>
      <c r="GE180" s="60" t="e">
        <f ca="1">AVERAGE(OFFSET($GD$3,0,0,'Données projet'!$E$17+1,1))-AVERAGE(OFFSET($H$3,0,0,'Données projet'!$E$17+1,1))</f>
        <v>#N/A</v>
      </c>
      <c r="GF180" s="60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5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8">
        <f t="shared" si="110"/>
        <v>256.66666666666669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0">
        <f t="shared" si="109"/>
        <v>293.3333333333353</v>
      </c>
      <c r="S181" s="60">
        <f ca="1">AVERAGE(OFFSET($R$3,0,0,'Données projet'!$E$9+1,1))-AVERAGE(OFFSET($H$3,0,0,'Données projet'!$E$9+1,1))</f>
        <v>260.02504691866199</v>
      </c>
      <c r="T181" s="60">
        <f t="shared" si="142"/>
        <v>270.11268336406368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0.53386772399459648</v>
      </c>
      <c r="AA181" s="23">
        <f>EXP(-LN(2)/25)*AA180+(1-EXP(-LN(2)/25))/(LN(2)/25)*Calculateur!V181*Calculateur!X181*VLOOKUP('Données projet'!$B$9,Paramètres!$A$1:$I$89,3,0)*0.475*44/12</f>
        <v>0.27145606396684824</v>
      </c>
      <c r="AB181" s="23">
        <f>EXP(-LN(2)/2)*AB180+(1-EXP(-LN(2)/2))/(LN(2)/2)*V181*Y181*VLOOKUP('Données projet'!$B$9,Paramètres!$A$1:$I$89,3,0)*0.475*44/12</f>
        <v>3.356347378439397E-22</v>
      </c>
      <c r="AC181" s="24">
        <f t="shared" si="163"/>
        <v>0.80532378796144477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-9.6633812063373625E-13</v>
      </c>
      <c r="AJ181" s="14">
        <f>AI181*VLOOKUP('Données projet'!$B$10,Paramètres!$A$1:$I$89,3,0)*VLOOKUP('Données projet'!$B$10,Paramètres!$A$1:$I$89,5,0)</f>
        <v>-9.7986685432260874E-13</v>
      </c>
      <c r="AK181" s="14" t="e">
        <f t="shared" si="164"/>
        <v>#NUM!</v>
      </c>
      <c r="AL181" s="22" t="e">
        <f t="shared" si="165"/>
        <v>#NUM!</v>
      </c>
      <c r="AM181" s="60" t="e">
        <f t="shared" si="113"/>
        <v>#NUM!</v>
      </c>
      <c r="AN181" s="60">
        <f ca="1">AVERAGE(OFFSET($AM$3,0,0,'Données projet'!$E$10+1,1))-AVERAGE(OFFSET($H$3,0,0,'Données projet'!$E$10+1,1))</f>
        <v>475.47920969424894</v>
      </c>
      <c r="AO181" s="60">
        <f t="shared" si="144"/>
        <v>271.73544012419364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-1.4210854715202004E-13</v>
      </c>
      <c r="BE181" s="14">
        <f>BD181*VLOOKUP('Données projet'!$B$11,Paramètres!$A$1:$I$89,3,0)*VLOOKUP('Données projet'!$B$11,Paramètres!$A$1:$I$89,5,0)</f>
        <v>-1.2857981346314773E-13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325.2649384779973</v>
      </c>
      <c r="BJ181" s="60">
        <f t="shared" si="146"/>
        <v>146.70159365068315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1.0231815394945443E-12</v>
      </c>
      <c r="BZ181" s="14">
        <f>BY181*VLOOKUP('Données projet'!$B$12,Paramètres!$A$1:$I$89,3,0)*VLOOKUP('Données projet'!$B$12,Paramètres!$A$1:$I$89,5,0)</f>
        <v>4.5224624045658859E-13</v>
      </c>
      <c r="CA181" s="14">
        <f t="shared" si="170"/>
        <v>5.6995607121061449E-12</v>
      </c>
      <c r="CB181" s="22">
        <f t="shared" si="171"/>
        <v>1.0714397109046761E-11</v>
      </c>
      <c r="CC181" s="60">
        <f t="shared" si="119"/>
        <v>293.333333333344</v>
      </c>
      <c r="CD181" s="60">
        <f ca="1">AVERAGE(OFFSET($CC$3,0,0,'Données projet'!$E$12+1,1))-AVERAGE(OFFSET($H$3,0,0,'Données projet'!$E$12+1,1))</f>
        <v>401.84375324751227</v>
      </c>
      <c r="CE181" s="60">
        <f t="shared" si="148"/>
        <v>350.39368043404164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0.13763362161461939</v>
      </c>
      <c r="CM181" s="23">
        <f>EXP(-LN(2)/2)*CM180+(1-EXP(-LN(2)/2))/(LN(2)/2)*CG181*CJ181*VLOOKUP('Données projet'!$B$12,Paramètres!$A$1:$I$89,3,0)*0.475*44/12</f>
        <v>7.3763870782771512E-23</v>
      </c>
      <c r="CN181" s="24">
        <f t="shared" si="172"/>
        <v>0.13763362161461939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-1.1368683772161603E-13</v>
      </c>
      <c r="CU181" s="18">
        <f>CT181*VLOOKUP('Données projet'!$B$13,Paramètres!$A$1:$I$89,3,0)*VLOOKUP('Données projet'!$B$13,Paramètres!$A$1:$I$89,5,0)</f>
        <v>-6.7984728957526396E-14</v>
      </c>
      <c r="CV181" s="14" t="e">
        <f t="shared" si="173"/>
        <v>#NUM!</v>
      </c>
      <c r="CW181" s="22" t="e">
        <f t="shared" si="174"/>
        <v>#NUM!</v>
      </c>
      <c r="CX181" s="60" t="e">
        <f t="shared" si="122"/>
        <v>#NUM!</v>
      </c>
      <c r="CY181" s="60">
        <f ca="1">AVERAGE(OFFSET($CX$3,0,0,'Données projet'!$E$13+1,1))-AVERAGE(OFFSET($H$3,0,0,'Données projet'!$E$13+1,1))</f>
        <v>232.73140429491525</v>
      </c>
      <c r="CZ181" s="60">
        <f t="shared" si="150"/>
        <v>201.02719152328638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0.13150674821886027</v>
      </c>
      <c r="DH181" s="23">
        <f>EXP(-LN(2)/2)*DH180+(1-EXP(-LN(2)/2))/(LN(2)/2)*DB181*DE181*VLOOKUP('Données projet'!$B$13,Paramètres!$A$1:$I$89,3,0)*0.475*44/12</f>
        <v>1.6299150555611446E-22</v>
      </c>
      <c r="DI181" s="24">
        <f t="shared" si="175"/>
        <v>0.13150674821886027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>
        <f>DO181*VLOOKUP('Données projet'!$B$14,Paramètres!$A$1:$I$89,3,0)*VLOOKUP('Données projet'!$B$14,Paramètres!$A$1:$I$89,5,0)</f>
        <v>0</v>
      </c>
      <c r="DQ181" s="14" t="e">
        <f t="shared" si="176"/>
        <v>#NUM!</v>
      </c>
      <c r="DR181" s="22" t="e">
        <f t="shared" si="177"/>
        <v>#NUM!</v>
      </c>
      <c r="DS181" s="60" t="e">
        <f t="shared" si="125"/>
        <v>#NUM!</v>
      </c>
      <c r="DT181" s="60">
        <f ca="1">AVERAGE(OFFSET($DS$3,0,0,'Données projet'!$E$14+1,1))-AVERAGE(OFFSET($H$3,0,0,'Données projet'!$E$14+1,1))</f>
        <v>302.15577364214136</v>
      </c>
      <c r="DU181" s="60">
        <f t="shared" si="152"/>
        <v>197.15142751137051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-5.1159076974727213E-13</v>
      </c>
      <c r="EK181" s="18">
        <f>EJ181*VLOOKUP('Données projet'!$B$15,Paramètres!$A$1:$I$89,3,0)*VLOOKUP('Données projet'!$B$15,Paramètres!$A$1:$I$89,5,0)</f>
        <v>-5.3471467253984886E-13</v>
      </c>
      <c r="EL181" s="14" t="e">
        <f t="shared" si="179"/>
        <v>#NUM!</v>
      </c>
      <c r="EM181" s="22" t="e">
        <f t="shared" si="180"/>
        <v>#NUM!</v>
      </c>
      <c r="EN181" s="60" t="e">
        <f t="shared" si="128"/>
        <v>#NUM!</v>
      </c>
      <c r="EO181" s="60">
        <f ca="1">AVERAGE(OFFSET($EN$3,0,0,'Données projet'!$E$15+1,1))-AVERAGE(OFFSET($H$3,0,0,'Données projet'!$E$15+1,1))</f>
        <v>493.70175665335978</v>
      </c>
      <c r="EP181" s="60">
        <f t="shared" si="154"/>
        <v>325.12357781685949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0" t="e">
        <f t="shared" si="131"/>
        <v>#N/A</v>
      </c>
      <c r="FJ181" s="60" t="e">
        <f ca="1">AVERAGE(OFFSET($FI$3,0,0,'Données projet'!$E$16+1,1))-AVERAGE(OFFSET($H$3,0,0,'Données projet'!$E$16+1,1))</f>
        <v>#N/A</v>
      </c>
      <c r="FK181" s="60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0" t="e">
        <f t="shared" si="134"/>
        <v>#N/A</v>
      </c>
      <c r="GE181" s="60" t="e">
        <f ca="1">AVERAGE(OFFSET($GD$3,0,0,'Données projet'!$E$17+1,1))-AVERAGE(OFFSET($H$3,0,0,'Données projet'!$E$17+1,1))</f>
        <v>#N/A</v>
      </c>
      <c r="GF181" s="60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5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8">
        <f t="shared" si="110"/>
        <v>256.66666666666669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0">
        <f t="shared" si="109"/>
        <v>293.3333333333353</v>
      </c>
      <c r="S182" s="60">
        <f ca="1">AVERAGE(OFFSET($R$3,0,0,'Données projet'!$E$9+1,1))-AVERAGE(OFFSET($H$3,0,0,'Données projet'!$E$9+1,1))</f>
        <v>260.02504691866199</v>
      </c>
      <c r="T182" s="60">
        <f t="shared" si="142"/>
        <v>270.11268336406368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0.52339890355422103</v>
      </c>
      <c r="AA182" s="23">
        <f>EXP(-LN(2)/25)*AA181+(1-EXP(-LN(2)/25))/(LN(2)/25)*Calculateur!V182*Calculateur!X182*VLOOKUP('Données projet'!$B$9,Paramètres!$A$1:$I$89,3,0)*0.475*44/12</f>
        <v>0.26403308362242078</v>
      </c>
      <c r="AB182" s="23">
        <f>EXP(-LN(2)/2)*AB181+(1-EXP(-LN(2)/2))/(LN(2)/2)*V182*Y182*VLOOKUP('Données projet'!$B$9,Paramètres!$A$1:$I$89,3,0)*0.475*44/12</f>
        <v>2.3732959913121891E-22</v>
      </c>
      <c r="AC182" s="24">
        <f t="shared" si="163"/>
        <v>0.78743198717664176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-9.6633812063373625E-13</v>
      </c>
      <c r="AJ182" s="14">
        <f>AI182*VLOOKUP('Données projet'!$B$10,Paramètres!$A$1:$I$89,3,0)*VLOOKUP('Données projet'!$B$10,Paramètres!$A$1:$I$89,5,0)</f>
        <v>-9.7986685432260874E-13</v>
      </c>
      <c r="AK182" s="14" t="e">
        <f t="shared" si="164"/>
        <v>#NUM!</v>
      </c>
      <c r="AL182" s="22" t="e">
        <f t="shared" si="165"/>
        <v>#NUM!</v>
      </c>
      <c r="AM182" s="60" t="e">
        <f t="shared" si="113"/>
        <v>#NUM!</v>
      </c>
      <c r="AN182" s="60">
        <f ca="1">AVERAGE(OFFSET($AM$3,0,0,'Données projet'!$E$10+1,1))-AVERAGE(OFFSET($H$3,0,0,'Données projet'!$E$10+1,1))</f>
        <v>475.47920969424894</v>
      </c>
      <c r="AO182" s="60">
        <f t="shared" si="144"/>
        <v>271.73544012419364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-1.4210854715202004E-13</v>
      </c>
      <c r="BE182" s="14">
        <f>BD182*VLOOKUP('Données projet'!$B$11,Paramètres!$A$1:$I$89,3,0)*VLOOKUP('Données projet'!$B$11,Paramètres!$A$1:$I$89,5,0)</f>
        <v>-1.2857981346314773E-13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325.2649384779973</v>
      </c>
      <c r="BJ182" s="60">
        <f t="shared" si="146"/>
        <v>146.70159365068315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1.0231815394945443E-12</v>
      </c>
      <c r="BZ182" s="14">
        <f>BY182*VLOOKUP('Données projet'!$B$12,Paramètres!$A$1:$I$89,3,0)*VLOOKUP('Données projet'!$B$12,Paramètres!$A$1:$I$89,5,0)</f>
        <v>4.5224624045658859E-13</v>
      </c>
      <c r="CA182" s="14">
        <f t="shared" si="170"/>
        <v>5.6995607121061449E-12</v>
      </c>
      <c r="CB182" s="22">
        <f t="shared" si="171"/>
        <v>1.0714397109046761E-11</v>
      </c>
      <c r="CC182" s="60">
        <f t="shared" si="119"/>
        <v>293.333333333344</v>
      </c>
      <c r="CD182" s="60">
        <f ca="1">AVERAGE(OFFSET($CC$3,0,0,'Données projet'!$E$12+1,1))-AVERAGE(OFFSET($H$3,0,0,'Données projet'!$E$12+1,1))</f>
        <v>401.84375324751227</v>
      </c>
      <c r="CE182" s="60">
        <f t="shared" si="148"/>
        <v>350.39368043404164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0.13387002299373002</v>
      </c>
      <c r="CM182" s="23">
        <f>EXP(-LN(2)/2)*CM181+(1-EXP(-LN(2)/2))/(LN(2)/2)*CG182*CJ182*VLOOKUP('Données projet'!$B$12,Paramètres!$A$1:$I$89,3,0)*0.475*44/12</f>
        <v>5.2158933237065985E-23</v>
      </c>
      <c r="CN182" s="24">
        <f t="shared" si="172"/>
        <v>0.13387002299373002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-1.1368683772161603E-13</v>
      </c>
      <c r="CU182" s="18">
        <f>CT182*VLOOKUP('Données projet'!$B$13,Paramètres!$A$1:$I$89,3,0)*VLOOKUP('Données projet'!$B$13,Paramètres!$A$1:$I$89,5,0)</f>
        <v>-6.7984728957526396E-14</v>
      </c>
      <c r="CV182" s="14" t="e">
        <f t="shared" si="173"/>
        <v>#NUM!</v>
      </c>
      <c r="CW182" s="22" t="e">
        <f t="shared" si="174"/>
        <v>#NUM!</v>
      </c>
      <c r="CX182" s="60" t="e">
        <f t="shared" si="122"/>
        <v>#NUM!</v>
      </c>
      <c r="CY182" s="60">
        <f ca="1">AVERAGE(OFFSET($CX$3,0,0,'Données projet'!$E$13+1,1))-AVERAGE(OFFSET($H$3,0,0,'Données projet'!$E$13+1,1))</f>
        <v>232.73140429491525</v>
      </c>
      <c r="CZ182" s="60">
        <f t="shared" si="150"/>
        <v>201.02719152328638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0.1279106892731762</v>
      </c>
      <c r="DH182" s="23">
        <f>EXP(-LN(2)/2)*DH181+(1-EXP(-LN(2)/2))/(LN(2)/2)*DB182*DE182*VLOOKUP('Données projet'!$B$13,Paramètres!$A$1:$I$89,3,0)*0.475*44/12</f>
        <v>1.1525239885453337E-22</v>
      </c>
      <c r="DI182" s="24">
        <f t="shared" si="175"/>
        <v>0.1279106892731762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>
        <f>DO182*VLOOKUP('Données projet'!$B$14,Paramètres!$A$1:$I$89,3,0)*VLOOKUP('Données projet'!$B$14,Paramètres!$A$1:$I$89,5,0)</f>
        <v>0</v>
      </c>
      <c r="DQ182" s="14" t="e">
        <f t="shared" si="176"/>
        <v>#NUM!</v>
      </c>
      <c r="DR182" s="22" t="e">
        <f t="shared" si="177"/>
        <v>#NUM!</v>
      </c>
      <c r="DS182" s="60" t="e">
        <f t="shared" si="125"/>
        <v>#NUM!</v>
      </c>
      <c r="DT182" s="60">
        <f ca="1">AVERAGE(OFFSET($DS$3,0,0,'Données projet'!$E$14+1,1))-AVERAGE(OFFSET($H$3,0,0,'Données projet'!$E$14+1,1))</f>
        <v>302.15577364214136</v>
      </c>
      <c r="DU182" s="60">
        <f t="shared" si="152"/>
        <v>197.15142751137051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-5.1159076974727213E-13</v>
      </c>
      <c r="EK182" s="18">
        <f>EJ182*VLOOKUP('Données projet'!$B$15,Paramètres!$A$1:$I$89,3,0)*VLOOKUP('Données projet'!$B$15,Paramètres!$A$1:$I$89,5,0)</f>
        <v>-5.3471467253984886E-13</v>
      </c>
      <c r="EL182" s="14" t="e">
        <f t="shared" si="179"/>
        <v>#NUM!</v>
      </c>
      <c r="EM182" s="22" t="e">
        <f t="shared" si="180"/>
        <v>#NUM!</v>
      </c>
      <c r="EN182" s="60" t="e">
        <f t="shared" si="128"/>
        <v>#NUM!</v>
      </c>
      <c r="EO182" s="60">
        <f ca="1">AVERAGE(OFFSET($EN$3,0,0,'Données projet'!$E$15+1,1))-AVERAGE(OFFSET($H$3,0,0,'Données projet'!$E$15+1,1))</f>
        <v>493.70175665335978</v>
      </c>
      <c r="EP182" s="60">
        <f t="shared" si="154"/>
        <v>325.12357781685949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0" t="e">
        <f t="shared" si="131"/>
        <v>#N/A</v>
      </c>
      <c r="FJ182" s="60" t="e">
        <f ca="1">AVERAGE(OFFSET($FI$3,0,0,'Données projet'!$E$16+1,1))-AVERAGE(OFFSET($H$3,0,0,'Données projet'!$E$16+1,1))</f>
        <v>#N/A</v>
      </c>
      <c r="FK182" s="60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0" t="e">
        <f t="shared" si="134"/>
        <v>#N/A</v>
      </c>
      <c r="GE182" s="60" t="e">
        <f ca="1">AVERAGE(OFFSET($GD$3,0,0,'Données projet'!$E$17+1,1))-AVERAGE(OFFSET($H$3,0,0,'Données projet'!$E$17+1,1))</f>
        <v>#N/A</v>
      </c>
      <c r="GF182" s="60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5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8">
        <f t="shared" si="110"/>
        <v>256.66666666666669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0">
        <f t="shared" si="109"/>
        <v>293.3333333333353</v>
      </c>
      <c r="S183" s="60">
        <f ca="1">AVERAGE(OFFSET($R$3,0,0,'Données projet'!$E$9+1,1))-AVERAGE(OFFSET($H$3,0,0,'Données projet'!$E$9+1,1))</f>
        <v>260.02504691866199</v>
      </c>
      <c r="T183" s="60">
        <f t="shared" si="142"/>
        <v>270.11268336406368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0.51313537029733136</v>
      </c>
      <c r="AA183" s="23">
        <f>EXP(-LN(2)/25)*AA182+(1-EXP(-LN(2)/25))/(LN(2)/25)*Calculateur!V183*Calculateur!X183*VLOOKUP('Données projet'!$B$9,Paramètres!$A$1:$I$89,3,0)*0.475*44/12</f>
        <v>0.25681308506586925</v>
      </c>
      <c r="AB183" s="23">
        <f>EXP(-LN(2)/2)*AB182+(1-EXP(-LN(2)/2))/(LN(2)/2)*V183*Y183*VLOOKUP('Données projet'!$B$9,Paramètres!$A$1:$I$89,3,0)*0.475*44/12</f>
        <v>1.6781736892196985E-22</v>
      </c>
      <c r="AC183" s="24">
        <f t="shared" si="163"/>
        <v>0.76994845536320056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-9.6633812063373625E-13</v>
      </c>
      <c r="AJ183" s="14">
        <f>AI183*VLOOKUP('Données projet'!$B$10,Paramètres!$A$1:$I$89,3,0)*VLOOKUP('Données projet'!$B$10,Paramètres!$A$1:$I$89,5,0)</f>
        <v>-9.7986685432260874E-13</v>
      </c>
      <c r="AK183" s="14" t="e">
        <f t="shared" si="164"/>
        <v>#NUM!</v>
      </c>
      <c r="AL183" s="22" t="e">
        <f t="shared" si="165"/>
        <v>#NUM!</v>
      </c>
      <c r="AM183" s="60" t="e">
        <f t="shared" si="113"/>
        <v>#NUM!</v>
      </c>
      <c r="AN183" s="60">
        <f ca="1">AVERAGE(OFFSET($AM$3,0,0,'Données projet'!$E$10+1,1))-AVERAGE(OFFSET($H$3,0,0,'Données projet'!$E$10+1,1))</f>
        <v>475.47920969424894</v>
      </c>
      <c r="AO183" s="60">
        <f t="shared" si="144"/>
        <v>271.73544012419364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-1.4210854715202004E-13</v>
      </c>
      <c r="BE183" s="14">
        <f>BD183*VLOOKUP('Données projet'!$B$11,Paramètres!$A$1:$I$89,3,0)*VLOOKUP('Données projet'!$B$11,Paramètres!$A$1:$I$89,5,0)</f>
        <v>-1.2857981346314773E-13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325.2649384779973</v>
      </c>
      <c r="BJ183" s="60">
        <f t="shared" si="146"/>
        <v>146.70159365068315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1.0231815394945443E-12</v>
      </c>
      <c r="BZ183" s="14">
        <f>BY183*VLOOKUP('Données projet'!$B$12,Paramètres!$A$1:$I$89,3,0)*VLOOKUP('Données projet'!$B$12,Paramètres!$A$1:$I$89,5,0)</f>
        <v>4.5224624045658859E-13</v>
      </c>
      <c r="CA183" s="14">
        <f t="shared" si="170"/>
        <v>5.6995607121061449E-12</v>
      </c>
      <c r="CB183" s="22">
        <f t="shared" si="171"/>
        <v>1.0714397109046761E-11</v>
      </c>
      <c r="CC183" s="60">
        <f t="shared" si="119"/>
        <v>293.333333333344</v>
      </c>
      <c r="CD183" s="60">
        <f ca="1">AVERAGE(OFFSET($CC$3,0,0,'Données projet'!$E$12+1,1))-AVERAGE(OFFSET($H$3,0,0,'Données projet'!$E$12+1,1))</f>
        <v>401.84375324751227</v>
      </c>
      <c r="CE183" s="60">
        <f t="shared" si="148"/>
        <v>350.39368043404164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0.13020934017504793</v>
      </c>
      <c r="CM183" s="23">
        <f>EXP(-LN(2)/2)*CM182+(1-EXP(-LN(2)/2))/(LN(2)/2)*CG183*CJ183*VLOOKUP('Données projet'!$B$12,Paramètres!$A$1:$I$89,3,0)*0.475*44/12</f>
        <v>3.6881935391385762E-23</v>
      </c>
      <c r="CN183" s="24">
        <f t="shared" si="172"/>
        <v>0.13020934017504793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-1.1368683772161603E-13</v>
      </c>
      <c r="CU183" s="18">
        <f>CT183*VLOOKUP('Données projet'!$B$13,Paramètres!$A$1:$I$89,3,0)*VLOOKUP('Données projet'!$B$13,Paramètres!$A$1:$I$89,5,0)</f>
        <v>-6.7984728957526396E-14</v>
      </c>
      <c r="CV183" s="14" t="e">
        <f t="shared" si="173"/>
        <v>#NUM!</v>
      </c>
      <c r="CW183" s="22" t="e">
        <f t="shared" si="174"/>
        <v>#NUM!</v>
      </c>
      <c r="CX183" s="60" t="e">
        <f t="shared" si="122"/>
        <v>#NUM!</v>
      </c>
      <c r="CY183" s="60">
        <f ca="1">AVERAGE(OFFSET($CX$3,0,0,'Données projet'!$E$13+1,1))-AVERAGE(OFFSET($H$3,0,0,'Données projet'!$E$13+1,1))</f>
        <v>232.73140429491525</v>
      </c>
      <c r="CZ183" s="60">
        <f t="shared" si="150"/>
        <v>201.02719152328638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0.12441296474847038</v>
      </c>
      <c r="DH183" s="23">
        <f>EXP(-LN(2)/2)*DH182+(1-EXP(-LN(2)/2))/(LN(2)/2)*DB183*DE183*VLOOKUP('Données projet'!$B$13,Paramètres!$A$1:$I$89,3,0)*0.475*44/12</f>
        <v>8.1495752778057229E-23</v>
      </c>
      <c r="DI183" s="24">
        <f t="shared" si="175"/>
        <v>0.12441296474847038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>
        <f>DO183*VLOOKUP('Données projet'!$B$14,Paramètres!$A$1:$I$89,3,0)*VLOOKUP('Données projet'!$B$14,Paramètres!$A$1:$I$89,5,0)</f>
        <v>0</v>
      </c>
      <c r="DQ183" s="14" t="e">
        <f t="shared" si="176"/>
        <v>#NUM!</v>
      </c>
      <c r="DR183" s="22" t="e">
        <f t="shared" si="177"/>
        <v>#NUM!</v>
      </c>
      <c r="DS183" s="60" t="e">
        <f t="shared" si="125"/>
        <v>#NUM!</v>
      </c>
      <c r="DT183" s="60">
        <f ca="1">AVERAGE(OFFSET($DS$3,0,0,'Données projet'!$E$14+1,1))-AVERAGE(OFFSET($H$3,0,0,'Données projet'!$E$14+1,1))</f>
        <v>302.15577364214136</v>
      </c>
      <c r="DU183" s="60">
        <f t="shared" si="152"/>
        <v>197.15142751137051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-5.1159076974727213E-13</v>
      </c>
      <c r="EK183" s="18">
        <f>EJ183*VLOOKUP('Données projet'!$B$15,Paramètres!$A$1:$I$89,3,0)*VLOOKUP('Données projet'!$B$15,Paramètres!$A$1:$I$89,5,0)</f>
        <v>-5.3471467253984886E-13</v>
      </c>
      <c r="EL183" s="14" t="e">
        <f t="shared" si="179"/>
        <v>#NUM!</v>
      </c>
      <c r="EM183" s="22" t="e">
        <f t="shared" si="180"/>
        <v>#NUM!</v>
      </c>
      <c r="EN183" s="60" t="e">
        <f t="shared" si="128"/>
        <v>#NUM!</v>
      </c>
      <c r="EO183" s="60">
        <f ca="1">AVERAGE(OFFSET($EN$3,0,0,'Données projet'!$E$15+1,1))-AVERAGE(OFFSET($H$3,0,0,'Données projet'!$E$15+1,1))</f>
        <v>493.70175665335978</v>
      </c>
      <c r="EP183" s="60">
        <f t="shared" si="154"/>
        <v>325.12357781685949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0" t="e">
        <f t="shared" si="131"/>
        <v>#N/A</v>
      </c>
      <c r="FJ183" s="60" t="e">
        <f ca="1">AVERAGE(OFFSET($FI$3,0,0,'Données projet'!$E$16+1,1))-AVERAGE(OFFSET($H$3,0,0,'Données projet'!$E$16+1,1))</f>
        <v>#N/A</v>
      </c>
      <c r="FK183" s="60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0" t="e">
        <f t="shared" si="134"/>
        <v>#N/A</v>
      </c>
      <c r="GE183" s="60" t="e">
        <f ca="1">AVERAGE(OFFSET($GD$3,0,0,'Données projet'!$E$17+1,1))-AVERAGE(OFFSET($H$3,0,0,'Données projet'!$E$17+1,1))</f>
        <v>#N/A</v>
      </c>
      <c r="GF183" s="60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5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8">
        <f t="shared" si="110"/>
        <v>256.66666666666669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0">
        <f t="shared" si="109"/>
        <v>293.3333333333353</v>
      </c>
      <c r="S184" s="60">
        <f ca="1">AVERAGE(OFFSET($R$3,0,0,'Données projet'!$E$9+1,1))-AVERAGE(OFFSET($H$3,0,0,'Données projet'!$E$9+1,1))</f>
        <v>260.02504691866199</v>
      </c>
      <c r="T184" s="60">
        <f t="shared" si="142"/>
        <v>270.11268336406368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0.50307309866747218</v>
      </c>
      <c r="AA184" s="23">
        <f>EXP(-LN(2)/25)*AA183+(1-EXP(-LN(2)/25))/(LN(2)/25)*Calculateur!V184*Calculateur!X184*VLOOKUP('Données projet'!$B$9,Paramètres!$A$1:$I$89,3,0)*0.475*44/12</f>
        <v>0.24979051774952987</v>
      </c>
      <c r="AB184" s="23">
        <f>EXP(-LN(2)/2)*AB183+(1-EXP(-LN(2)/2))/(LN(2)/2)*V184*Y184*VLOOKUP('Données projet'!$B$9,Paramètres!$A$1:$I$89,3,0)*0.475*44/12</f>
        <v>1.1866479956560946E-22</v>
      </c>
      <c r="AC184" s="24">
        <f t="shared" si="163"/>
        <v>0.75286361641700206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-9.6633812063373625E-13</v>
      </c>
      <c r="AJ184" s="14">
        <f>AI184*VLOOKUP('Données projet'!$B$10,Paramètres!$A$1:$I$89,3,0)*VLOOKUP('Données projet'!$B$10,Paramètres!$A$1:$I$89,5,0)</f>
        <v>-9.7986685432260874E-13</v>
      </c>
      <c r="AK184" s="14" t="e">
        <f t="shared" si="164"/>
        <v>#NUM!</v>
      </c>
      <c r="AL184" s="22" t="e">
        <f t="shared" si="165"/>
        <v>#NUM!</v>
      </c>
      <c r="AM184" s="60" t="e">
        <f t="shared" si="113"/>
        <v>#NUM!</v>
      </c>
      <c r="AN184" s="60">
        <f ca="1">AVERAGE(OFFSET($AM$3,0,0,'Données projet'!$E$10+1,1))-AVERAGE(OFFSET($H$3,0,0,'Données projet'!$E$10+1,1))</f>
        <v>475.47920969424894</v>
      </c>
      <c r="AO184" s="60">
        <f t="shared" si="144"/>
        <v>271.73544012419364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-1.4210854715202004E-13</v>
      </c>
      <c r="BE184" s="14">
        <f>BD184*VLOOKUP('Données projet'!$B$11,Paramètres!$A$1:$I$89,3,0)*VLOOKUP('Données projet'!$B$11,Paramètres!$A$1:$I$89,5,0)</f>
        <v>-1.2857981346314773E-13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325.2649384779973</v>
      </c>
      <c r="BJ184" s="60">
        <f t="shared" si="146"/>
        <v>146.70159365068315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1.0231815394945443E-12</v>
      </c>
      <c r="BZ184" s="14">
        <f>BY184*VLOOKUP('Données projet'!$B$12,Paramètres!$A$1:$I$89,3,0)*VLOOKUP('Données projet'!$B$12,Paramètres!$A$1:$I$89,5,0)</f>
        <v>4.5224624045658859E-13</v>
      </c>
      <c r="CA184" s="14">
        <f t="shared" si="170"/>
        <v>5.6995607121061449E-12</v>
      </c>
      <c r="CB184" s="22">
        <f t="shared" si="171"/>
        <v>1.0714397109046761E-11</v>
      </c>
      <c r="CC184" s="60">
        <f t="shared" si="119"/>
        <v>293.333333333344</v>
      </c>
      <c r="CD184" s="60">
        <f ca="1">AVERAGE(OFFSET($CC$3,0,0,'Données projet'!$E$12+1,1))-AVERAGE(OFFSET($H$3,0,0,'Données projet'!$E$12+1,1))</f>
        <v>401.84375324751227</v>
      </c>
      <c r="CE184" s="60">
        <f t="shared" si="148"/>
        <v>350.39368043404164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0.12664875892054964</v>
      </c>
      <c r="CM184" s="23">
        <f>EXP(-LN(2)/2)*CM183+(1-EXP(-LN(2)/2))/(LN(2)/2)*CG184*CJ184*VLOOKUP('Données projet'!$B$12,Paramètres!$A$1:$I$89,3,0)*0.475*44/12</f>
        <v>2.6079466618532998E-23</v>
      </c>
      <c r="CN184" s="24">
        <f t="shared" si="172"/>
        <v>0.12664875892054964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-1.1368683772161603E-13</v>
      </c>
      <c r="CU184" s="18">
        <f>CT184*VLOOKUP('Données projet'!$B$13,Paramètres!$A$1:$I$89,3,0)*VLOOKUP('Données projet'!$B$13,Paramètres!$A$1:$I$89,5,0)</f>
        <v>-6.7984728957526396E-14</v>
      </c>
      <c r="CV184" s="14" t="e">
        <f t="shared" si="173"/>
        <v>#NUM!</v>
      </c>
      <c r="CW184" s="22" t="e">
        <f t="shared" si="174"/>
        <v>#NUM!</v>
      </c>
      <c r="CX184" s="60" t="e">
        <f t="shared" si="122"/>
        <v>#NUM!</v>
      </c>
      <c r="CY184" s="60">
        <f ca="1">AVERAGE(OFFSET($CX$3,0,0,'Données projet'!$E$13+1,1))-AVERAGE(OFFSET($H$3,0,0,'Données projet'!$E$13+1,1))</f>
        <v>232.73140429491525</v>
      </c>
      <c r="CZ184" s="60">
        <f t="shared" si="150"/>
        <v>201.02719152328638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0.12101088568483</v>
      </c>
      <c r="DH184" s="23">
        <f>EXP(-LN(2)/2)*DH183+(1-EXP(-LN(2)/2))/(LN(2)/2)*DB184*DE184*VLOOKUP('Données projet'!$B$13,Paramètres!$A$1:$I$89,3,0)*0.475*44/12</f>
        <v>5.7626199427266685E-23</v>
      </c>
      <c r="DI184" s="24">
        <f t="shared" si="175"/>
        <v>0.12101088568483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>
        <f>DO184*VLOOKUP('Données projet'!$B$14,Paramètres!$A$1:$I$89,3,0)*VLOOKUP('Données projet'!$B$14,Paramètres!$A$1:$I$89,5,0)</f>
        <v>0</v>
      </c>
      <c r="DQ184" s="14" t="e">
        <f t="shared" si="176"/>
        <v>#NUM!</v>
      </c>
      <c r="DR184" s="22" t="e">
        <f t="shared" si="177"/>
        <v>#NUM!</v>
      </c>
      <c r="DS184" s="60" t="e">
        <f t="shared" si="125"/>
        <v>#NUM!</v>
      </c>
      <c r="DT184" s="60">
        <f ca="1">AVERAGE(OFFSET($DS$3,0,0,'Données projet'!$E$14+1,1))-AVERAGE(OFFSET($H$3,0,0,'Données projet'!$E$14+1,1))</f>
        <v>302.15577364214136</v>
      </c>
      <c r="DU184" s="60">
        <f t="shared" si="152"/>
        <v>197.15142751137051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-5.1159076974727213E-13</v>
      </c>
      <c r="EK184" s="18">
        <f>EJ184*VLOOKUP('Données projet'!$B$15,Paramètres!$A$1:$I$89,3,0)*VLOOKUP('Données projet'!$B$15,Paramètres!$A$1:$I$89,5,0)</f>
        <v>-5.3471467253984886E-13</v>
      </c>
      <c r="EL184" s="14" t="e">
        <f t="shared" si="179"/>
        <v>#NUM!</v>
      </c>
      <c r="EM184" s="22" t="e">
        <f t="shared" si="180"/>
        <v>#NUM!</v>
      </c>
      <c r="EN184" s="60" t="e">
        <f t="shared" si="128"/>
        <v>#NUM!</v>
      </c>
      <c r="EO184" s="60">
        <f ca="1">AVERAGE(OFFSET($EN$3,0,0,'Données projet'!$E$15+1,1))-AVERAGE(OFFSET($H$3,0,0,'Données projet'!$E$15+1,1))</f>
        <v>493.70175665335978</v>
      </c>
      <c r="EP184" s="60">
        <f t="shared" si="154"/>
        <v>325.12357781685949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0" t="e">
        <f t="shared" si="131"/>
        <v>#N/A</v>
      </c>
      <c r="FJ184" s="60" t="e">
        <f ca="1">AVERAGE(OFFSET($FI$3,0,0,'Données projet'!$E$16+1,1))-AVERAGE(OFFSET($H$3,0,0,'Données projet'!$E$16+1,1))</f>
        <v>#N/A</v>
      </c>
      <c r="FK184" s="60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0" t="e">
        <f t="shared" si="134"/>
        <v>#N/A</v>
      </c>
      <c r="GE184" s="60" t="e">
        <f ca="1">AVERAGE(OFFSET($GD$3,0,0,'Données projet'!$E$17+1,1))-AVERAGE(OFFSET($H$3,0,0,'Données projet'!$E$17+1,1))</f>
        <v>#N/A</v>
      </c>
      <c r="GF184" s="60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5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8">
        <f t="shared" si="110"/>
        <v>256.66666666666669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0">
        <f t="shared" si="109"/>
        <v>293.3333333333353</v>
      </c>
      <c r="S185" s="60">
        <f ca="1">AVERAGE(OFFSET($R$3,0,0,'Données projet'!$E$9+1,1))-AVERAGE(OFFSET($H$3,0,0,'Données projet'!$E$9+1,1))</f>
        <v>260.02504691866199</v>
      </c>
      <c r="T185" s="60">
        <f t="shared" si="142"/>
        <v>270.11268336406368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0.49320814204689489</v>
      </c>
      <c r="AA185" s="23">
        <f>EXP(-LN(2)/25)*AA184+(1-EXP(-LN(2)/25))/(LN(2)/25)*Calculateur!V185*Calculateur!X185*VLOOKUP('Données projet'!$B$9,Paramètres!$A$1:$I$89,3,0)*0.475*44/12</f>
        <v>0.24295998290575654</v>
      </c>
      <c r="AB185" s="23">
        <f>EXP(-LN(2)/2)*AB184+(1-EXP(-LN(2)/2))/(LN(2)/2)*V185*Y185*VLOOKUP('Données projet'!$B$9,Paramètres!$A$1:$I$89,3,0)*0.475*44/12</f>
        <v>8.3908684460984925E-23</v>
      </c>
      <c r="AC185" s="24">
        <f t="shared" si="163"/>
        <v>0.73616812495265149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-9.6633812063373625E-13</v>
      </c>
      <c r="AJ185" s="14">
        <f>AI185*VLOOKUP('Données projet'!$B$10,Paramètres!$A$1:$I$89,3,0)*VLOOKUP('Données projet'!$B$10,Paramètres!$A$1:$I$89,5,0)</f>
        <v>-9.7986685432260874E-13</v>
      </c>
      <c r="AK185" s="14" t="e">
        <f t="shared" si="164"/>
        <v>#NUM!</v>
      </c>
      <c r="AL185" s="22" t="e">
        <f t="shared" si="165"/>
        <v>#NUM!</v>
      </c>
      <c r="AM185" s="60" t="e">
        <f t="shared" si="113"/>
        <v>#NUM!</v>
      </c>
      <c r="AN185" s="60">
        <f ca="1">AVERAGE(OFFSET($AM$3,0,0,'Données projet'!$E$10+1,1))-AVERAGE(OFFSET($H$3,0,0,'Données projet'!$E$10+1,1))</f>
        <v>475.47920969424894</v>
      </c>
      <c r="AO185" s="60">
        <f t="shared" si="144"/>
        <v>271.73544012419364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-1.4210854715202004E-13</v>
      </c>
      <c r="BE185" s="14">
        <f>BD185*VLOOKUP('Données projet'!$B$11,Paramètres!$A$1:$I$89,3,0)*VLOOKUP('Données projet'!$B$11,Paramètres!$A$1:$I$89,5,0)</f>
        <v>-1.2857981346314773E-13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325.2649384779973</v>
      </c>
      <c r="BJ185" s="60">
        <f t="shared" si="146"/>
        <v>146.70159365068315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1.0231815394945443E-12</v>
      </c>
      <c r="BZ185" s="14">
        <f>BY185*VLOOKUP('Données projet'!$B$12,Paramètres!$A$1:$I$89,3,0)*VLOOKUP('Données projet'!$B$12,Paramètres!$A$1:$I$89,5,0)</f>
        <v>4.5224624045658859E-13</v>
      </c>
      <c r="CA185" s="14">
        <f t="shared" si="170"/>
        <v>5.6995607121061449E-12</v>
      </c>
      <c r="CB185" s="22">
        <f t="shared" si="171"/>
        <v>1.0714397109046761E-11</v>
      </c>
      <c r="CC185" s="60">
        <f t="shared" si="119"/>
        <v>293.333333333344</v>
      </c>
      <c r="CD185" s="60">
        <f ca="1">AVERAGE(OFFSET($CC$3,0,0,'Données projet'!$E$12+1,1))-AVERAGE(OFFSET($H$3,0,0,'Données projet'!$E$12+1,1))</f>
        <v>401.84375324751227</v>
      </c>
      <c r="CE185" s="60">
        <f t="shared" si="148"/>
        <v>350.39368043404164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0.12318554194769843</v>
      </c>
      <c r="CM185" s="23">
        <f>EXP(-LN(2)/2)*CM184+(1-EXP(-LN(2)/2))/(LN(2)/2)*CG185*CJ185*VLOOKUP('Données projet'!$B$12,Paramètres!$A$1:$I$89,3,0)*0.475*44/12</f>
        <v>1.8440967695692884E-23</v>
      </c>
      <c r="CN185" s="24">
        <f t="shared" si="172"/>
        <v>0.12318554194769843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-1.1368683772161603E-13</v>
      </c>
      <c r="CU185" s="18">
        <f>CT185*VLOOKUP('Données projet'!$B$13,Paramètres!$A$1:$I$89,3,0)*VLOOKUP('Données projet'!$B$13,Paramètres!$A$1:$I$89,5,0)</f>
        <v>-6.7984728957526396E-14</v>
      </c>
      <c r="CV185" s="14" t="e">
        <f t="shared" si="173"/>
        <v>#NUM!</v>
      </c>
      <c r="CW185" s="22" t="e">
        <f t="shared" si="174"/>
        <v>#NUM!</v>
      </c>
      <c r="CX185" s="60" t="e">
        <f t="shared" si="122"/>
        <v>#NUM!</v>
      </c>
      <c r="CY185" s="60">
        <f ca="1">AVERAGE(OFFSET($CX$3,0,0,'Données projet'!$E$13+1,1))-AVERAGE(OFFSET($H$3,0,0,'Données projet'!$E$13+1,1))</f>
        <v>232.73140429491525</v>
      </c>
      <c r="CZ185" s="60">
        <f t="shared" si="150"/>
        <v>201.02719152328638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0.11770183665209241</v>
      </c>
      <c r="DH185" s="23">
        <f>EXP(-LN(2)/2)*DH184+(1-EXP(-LN(2)/2))/(LN(2)/2)*DB185*DE185*VLOOKUP('Données projet'!$B$13,Paramètres!$A$1:$I$89,3,0)*0.475*44/12</f>
        <v>4.0747876389028614E-23</v>
      </c>
      <c r="DI185" s="24">
        <f t="shared" si="175"/>
        <v>0.11770183665209241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>
        <f>DO185*VLOOKUP('Données projet'!$B$14,Paramètres!$A$1:$I$89,3,0)*VLOOKUP('Données projet'!$B$14,Paramètres!$A$1:$I$89,5,0)</f>
        <v>0</v>
      </c>
      <c r="DQ185" s="14" t="e">
        <f t="shared" si="176"/>
        <v>#NUM!</v>
      </c>
      <c r="DR185" s="22" t="e">
        <f t="shared" si="177"/>
        <v>#NUM!</v>
      </c>
      <c r="DS185" s="60" t="e">
        <f t="shared" si="125"/>
        <v>#NUM!</v>
      </c>
      <c r="DT185" s="60">
        <f ca="1">AVERAGE(OFFSET($DS$3,0,0,'Données projet'!$E$14+1,1))-AVERAGE(OFFSET($H$3,0,0,'Données projet'!$E$14+1,1))</f>
        <v>302.15577364214136</v>
      </c>
      <c r="DU185" s="60">
        <f t="shared" si="152"/>
        <v>197.15142751137051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-5.1159076974727213E-13</v>
      </c>
      <c r="EK185" s="18">
        <f>EJ185*VLOOKUP('Données projet'!$B$15,Paramètres!$A$1:$I$89,3,0)*VLOOKUP('Données projet'!$B$15,Paramètres!$A$1:$I$89,5,0)</f>
        <v>-5.3471467253984886E-13</v>
      </c>
      <c r="EL185" s="14" t="e">
        <f t="shared" si="179"/>
        <v>#NUM!</v>
      </c>
      <c r="EM185" s="22" t="e">
        <f t="shared" si="180"/>
        <v>#NUM!</v>
      </c>
      <c r="EN185" s="60" t="e">
        <f t="shared" si="128"/>
        <v>#NUM!</v>
      </c>
      <c r="EO185" s="60">
        <f ca="1">AVERAGE(OFFSET($EN$3,0,0,'Données projet'!$E$15+1,1))-AVERAGE(OFFSET($H$3,0,0,'Données projet'!$E$15+1,1))</f>
        <v>493.70175665335978</v>
      </c>
      <c r="EP185" s="60">
        <f t="shared" si="154"/>
        <v>325.12357781685949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0" t="e">
        <f t="shared" si="131"/>
        <v>#N/A</v>
      </c>
      <c r="FJ185" s="60" t="e">
        <f ca="1">AVERAGE(OFFSET($FI$3,0,0,'Données projet'!$E$16+1,1))-AVERAGE(OFFSET($H$3,0,0,'Données projet'!$E$16+1,1))</f>
        <v>#N/A</v>
      </c>
      <c r="FK185" s="60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0" t="e">
        <f t="shared" si="134"/>
        <v>#N/A</v>
      </c>
      <c r="GE185" s="60" t="e">
        <f ca="1">AVERAGE(OFFSET($GD$3,0,0,'Données projet'!$E$17+1,1))-AVERAGE(OFFSET($H$3,0,0,'Données projet'!$E$17+1,1))</f>
        <v>#N/A</v>
      </c>
      <c r="GF185" s="60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5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8">
        <f t="shared" si="110"/>
        <v>256.66666666666669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0">
        <f t="shared" si="109"/>
        <v>293.3333333333353</v>
      </c>
      <c r="S186" s="60">
        <f ca="1">AVERAGE(OFFSET($R$3,0,0,'Données projet'!$E$9+1,1))-AVERAGE(OFFSET($H$3,0,0,'Données projet'!$E$9+1,1))</f>
        <v>260.02504691866199</v>
      </c>
      <c r="T186" s="60">
        <f t="shared" si="142"/>
        <v>270.11268336406368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0.48353663120861773</v>
      </c>
      <c r="AA186" s="23">
        <f>EXP(-LN(2)/25)*AA185+(1-EXP(-LN(2)/25))/(LN(2)/25)*Calculateur!V186*Calculateur!X186*VLOOKUP('Données projet'!$B$9,Paramètres!$A$1:$I$89,3,0)*0.475*44/12</f>
        <v>0.23631622939648841</v>
      </c>
      <c r="AB186" s="23">
        <f>EXP(-LN(2)/2)*AB185+(1-EXP(-LN(2)/2))/(LN(2)/2)*V186*Y186*VLOOKUP('Données projet'!$B$9,Paramètres!$A$1:$I$89,3,0)*0.475*44/12</f>
        <v>5.9332399782804728E-23</v>
      </c>
      <c r="AC186" s="24">
        <f t="shared" si="163"/>
        <v>0.71985286060510612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-9.6633812063373625E-13</v>
      </c>
      <c r="AJ186" s="14">
        <f>AI186*VLOOKUP('Données projet'!$B$10,Paramètres!$A$1:$I$89,3,0)*VLOOKUP('Données projet'!$B$10,Paramètres!$A$1:$I$89,5,0)</f>
        <v>-9.7986685432260874E-13</v>
      </c>
      <c r="AK186" s="14" t="e">
        <f t="shared" si="164"/>
        <v>#NUM!</v>
      </c>
      <c r="AL186" s="22" t="e">
        <f t="shared" si="165"/>
        <v>#NUM!</v>
      </c>
      <c r="AM186" s="60" t="e">
        <f t="shared" si="113"/>
        <v>#NUM!</v>
      </c>
      <c r="AN186" s="60">
        <f ca="1">AVERAGE(OFFSET($AM$3,0,0,'Données projet'!$E$10+1,1))-AVERAGE(OFFSET($H$3,0,0,'Données projet'!$E$10+1,1))</f>
        <v>475.47920969424894</v>
      </c>
      <c r="AO186" s="60">
        <f t="shared" si="144"/>
        <v>271.73544012419364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-1.4210854715202004E-13</v>
      </c>
      <c r="BE186" s="14">
        <f>BD186*VLOOKUP('Données projet'!$B$11,Paramètres!$A$1:$I$89,3,0)*VLOOKUP('Données projet'!$B$11,Paramètres!$A$1:$I$89,5,0)</f>
        <v>-1.2857981346314773E-13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325.2649384779973</v>
      </c>
      <c r="BJ186" s="60">
        <f t="shared" si="146"/>
        <v>146.70159365068315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1.0231815394945443E-12</v>
      </c>
      <c r="BZ186" s="14">
        <f>BY186*VLOOKUP('Données projet'!$B$12,Paramètres!$A$1:$I$89,3,0)*VLOOKUP('Données projet'!$B$12,Paramètres!$A$1:$I$89,5,0)</f>
        <v>4.5224624045658859E-13</v>
      </c>
      <c r="CA186" s="14">
        <f t="shared" si="170"/>
        <v>5.6995607121061449E-12</v>
      </c>
      <c r="CB186" s="22">
        <f t="shared" si="171"/>
        <v>1.0714397109046761E-11</v>
      </c>
      <c r="CC186" s="60">
        <f t="shared" si="119"/>
        <v>293.333333333344</v>
      </c>
      <c r="CD186" s="60">
        <f ca="1">AVERAGE(OFFSET($CC$3,0,0,'Données projet'!$E$12+1,1))-AVERAGE(OFFSET($H$3,0,0,'Données projet'!$E$12+1,1))</f>
        <v>401.84375324751227</v>
      </c>
      <c r="CE186" s="60">
        <f t="shared" si="148"/>
        <v>350.39368043404164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0.11981702682509252</v>
      </c>
      <c r="CM186" s="23">
        <f>EXP(-LN(2)/2)*CM185+(1-EXP(-LN(2)/2))/(LN(2)/2)*CG186*CJ186*VLOOKUP('Données projet'!$B$12,Paramètres!$A$1:$I$89,3,0)*0.475*44/12</f>
        <v>1.3039733309266501E-23</v>
      </c>
      <c r="CN186" s="24">
        <f t="shared" si="172"/>
        <v>0.11981702682509252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-1.1368683772161603E-13</v>
      </c>
      <c r="CU186" s="18">
        <f>CT186*VLOOKUP('Données projet'!$B$13,Paramètres!$A$1:$I$89,3,0)*VLOOKUP('Données projet'!$B$13,Paramètres!$A$1:$I$89,5,0)</f>
        <v>-6.7984728957526396E-14</v>
      </c>
      <c r="CV186" s="14" t="e">
        <f t="shared" si="173"/>
        <v>#NUM!</v>
      </c>
      <c r="CW186" s="22" t="e">
        <f t="shared" si="174"/>
        <v>#NUM!</v>
      </c>
      <c r="CX186" s="60" t="e">
        <f t="shared" si="122"/>
        <v>#NUM!</v>
      </c>
      <c r="CY186" s="60">
        <f ca="1">AVERAGE(OFFSET($CX$3,0,0,'Données projet'!$E$13+1,1))-AVERAGE(OFFSET($H$3,0,0,'Données projet'!$E$13+1,1))</f>
        <v>232.73140429491525</v>
      </c>
      <c r="CZ186" s="60">
        <f t="shared" si="150"/>
        <v>201.02719152328638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0.11448327373917036</v>
      </c>
      <c r="DH186" s="23">
        <f>EXP(-LN(2)/2)*DH185+(1-EXP(-LN(2)/2))/(LN(2)/2)*DB186*DE186*VLOOKUP('Données projet'!$B$13,Paramètres!$A$1:$I$89,3,0)*0.475*44/12</f>
        <v>2.8813099713633342E-23</v>
      </c>
      <c r="DI186" s="24">
        <f t="shared" si="175"/>
        <v>0.11448327373917036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>
        <f>DO186*VLOOKUP('Données projet'!$B$14,Paramètres!$A$1:$I$89,3,0)*VLOOKUP('Données projet'!$B$14,Paramètres!$A$1:$I$89,5,0)</f>
        <v>0</v>
      </c>
      <c r="DQ186" s="14" t="e">
        <f t="shared" si="176"/>
        <v>#NUM!</v>
      </c>
      <c r="DR186" s="22" t="e">
        <f t="shared" si="177"/>
        <v>#NUM!</v>
      </c>
      <c r="DS186" s="60" t="e">
        <f t="shared" si="125"/>
        <v>#NUM!</v>
      </c>
      <c r="DT186" s="60">
        <f ca="1">AVERAGE(OFFSET($DS$3,0,0,'Données projet'!$E$14+1,1))-AVERAGE(OFFSET($H$3,0,0,'Données projet'!$E$14+1,1))</f>
        <v>302.15577364214136</v>
      </c>
      <c r="DU186" s="60">
        <f t="shared" si="152"/>
        <v>197.15142751137051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-5.1159076974727213E-13</v>
      </c>
      <c r="EK186" s="18">
        <f>EJ186*VLOOKUP('Données projet'!$B$15,Paramètres!$A$1:$I$89,3,0)*VLOOKUP('Données projet'!$B$15,Paramètres!$A$1:$I$89,5,0)</f>
        <v>-5.3471467253984886E-13</v>
      </c>
      <c r="EL186" s="14" t="e">
        <f t="shared" si="179"/>
        <v>#NUM!</v>
      </c>
      <c r="EM186" s="22" t="e">
        <f t="shared" si="180"/>
        <v>#NUM!</v>
      </c>
      <c r="EN186" s="60" t="e">
        <f t="shared" si="128"/>
        <v>#NUM!</v>
      </c>
      <c r="EO186" s="60">
        <f ca="1">AVERAGE(OFFSET($EN$3,0,0,'Données projet'!$E$15+1,1))-AVERAGE(OFFSET($H$3,0,0,'Données projet'!$E$15+1,1))</f>
        <v>493.70175665335978</v>
      </c>
      <c r="EP186" s="60">
        <f t="shared" si="154"/>
        <v>325.12357781685949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0" t="e">
        <f t="shared" si="131"/>
        <v>#N/A</v>
      </c>
      <c r="FJ186" s="60" t="e">
        <f ca="1">AVERAGE(OFFSET($FI$3,0,0,'Données projet'!$E$16+1,1))-AVERAGE(OFFSET($H$3,0,0,'Données projet'!$E$16+1,1))</f>
        <v>#N/A</v>
      </c>
      <c r="FK186" s="60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0" t="e">
        <f t="shared" si="134"/>
        <v>#N/A</v>
      </c>
      <c r="GE186" s="60" t="e">
        <f ca="1">AVERAGE(OFFSET($GD$3,0,0,'Données projet'!$E$17+1,1))-AVERAGE(OFFSET($H$3,0,0,'Données projet'!$E$17+1,1))</f>
        <v>#N/A</v>
      </c>
      <c r="GF186" s="60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5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8">
        <f t="shared" si="110"/>
        <v>256.66666666666669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0">
        <f t="shared" si="109"/>
        <v>293.3333333333353</v>
      </c>
      <c r="S187" s="60">
        <f ca="1">AVERAGE(OFFSET($R$3,0,0,'Données projet'!$E$9+1,1))-AVERAGE(OFFSET($H$3,0,0,'Données projet'!$E$9+1,1))</f>
        <v>260.02504691866199</v>
      </c>
      <c r="T187" s="60">
        <f t="shared" si="142"/>
        <v>270.11268336406368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0.47405477279884001</v>
      </c>
      <c r="AA187" s="23">
        <f>EXP(-LN(2)/25)*AA186+(1-EXP(-LN(2)/25))/(LN(2)/25)*Calculateur!V187*Calculateur!X187*VLOOKUP('Données projet'!$B$9,Paramètres!$A$1:$I$89,3,0)*0.475*44/12</f>
        <v>0.22985414967631104</v>
      </c>
      <c r="AB187" s="23">
        <f>EXP(-LN(2)/2)*AB186+(1-EXP(-LN(2)/2))/(LN(2)/2)*V187*Y187*VLOOKUP('Données projet'!$B$9,Paramètres!$A$1:$I$89,3,0)*0.475*44/12</f>
        <v>4.1954342230492463E-23</v>
      </c>
      <c r="AC187" s="24">
        <f t="shared" si="163"/>
        <v>0.70390892247515102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-9.6633812063373625E-13</v>
      </c>
      <c r="AJ187" s="14">
        <f>AI187*VLOOKUP('Données projet'!$B$10,Paramètres!$A$1:$I$89,3,0)*VLOOKUP('Données projet'!$B$10,Paramètres!$A$1:$I$89,5,0)</f>
        <v>-9.7986685432260874E-13</v>
      </c>
      <c r="AK187" s="14" t="e">
        <f t="shared" si="164"/>
        <v>#NUM!</v>
      </c>
      <c r="AL187" s="22" t="e">
        <f t="shared" si="165"/>
        <v>#NUM!</v>
      </c>
      <c r="AM187" s="60" t="e">
        <f t="shared" si="113"/>
        <v>#NUM!</v>
      </c>
      <c r="AN187" s="60">
        <f ca="1">AVERAGE(OFFSET($AM$3,0,0,'Données projet'!$E$10+1,1))-AVERAGE(OFFSET($H$3,0,0,'Données projet'!$E$10+1,1))</f>
        <v>475.47920969424894</v>
      </c>
      <c r="AO187" s="60">
        <f t="shared" si="144"/>
        <v>271.73544012419364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-1.4210854715202004E-13</v>
      </c>
      <c r="BE187" s="14">
        <f>BD187*VLOOKUP('Données projet'!$B$11,Paramètres!$A$1:$I$89,3,0)*VLOOKUP('Données projet'!$B$11,Paramètres!$A$1:$I$89,5,0)</f>
        <v>-1.2857981346314773E-13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325.2649384779973</v>
      </c>
      <c r="BJ187" s="60">
        <f t="shared" si="146"/>
        <v>146.70159365068315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1.0231815394945443E-12</v>
      </c>
      <c r="BZ187" s="14">
        <f>BY187*VLOOKUP('Données projet'!$B$12,Paramètres!$A$1:$I$89,3,0)*VLOOKUP('Données projet'!$B$12,Paramètres!$A$1:$I$89,5,0)</f>
        <v>4.5224624045658859E-13</v>
      </c>
      <c r="CA187" s="14">
        <f t="shared" si="170"/>
        <v>5.6995607121061449E-12</v>
      </c>
      <c r="CB187" s="22">
        <f t="shared" si="171"/>
        <v>1.0714397109046761E-11</v>
      </c>
      <c r="CC187" s="60">
        <f t="shared" si="119"/>
        <v>293.333333333344</v>
      </c>
      <c r="CD187" s="60">
        <f ca="1">AVERAGE(OFFSET($CC$3,0,0,'Données projet'!$E$12+1,1))-AVERAGE(OFFSET($H$3,0,0,'Données projet'!$E$12+1,1))</f>
        <v>401.84375324751227</v>
      </c>
      <c r="CE187" s="60">
        <f t="shared" si="148"/>
        <v>350.39368043404164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0.11654062392565677</v>
      </c>
      <c r="CM187" s="23">
        <f>EXP(-LN(2)/2)*CM186+(1-EXP(-LN(2)/2))/(LN(2)/2)*CG187*CJ187*VLOOKUP('Données projet'!$B$12,Paramètres!$A$1:$I$89,3,0)*0.475*44/12</f>
        <v>9.2204838478464434E-24</v>
      </c>
      <c r="CN187" s="24">
        <f t="shared" si="172"/>
        <v>0.11654062392565677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-1.1368683772161603E-13</v>
      </c>
      <c r="CU187" s="18">
        <f>CT187*VLOOKUP('Données projet'!$B$13,Paramètres!$A$1:$I$89,3,0)*VLOOKUP('Données projet'!$B$13,Paramètres!$A$1:$I$89,5,0)</f>
        <v>-6.7984728957526396E-14</v>
      </c>
      <c r="CV187" s="14" t="e">
        <f t="shared" si="173"/>
        <v>#NUM!</v>
      </c>
      <c r="CW187" s="22" t="e">
        <f t="shared" si="174"/>
        <v>#NUM!</v>
      </c>
      <c r="CX187" s="60" t="e">
        <f t="shared" si="122"/>
        <v>#NUM!</v>
      </c>
      <c r="CY187" s="60">
        <f ca="1">AVERAGE(OFFSET($CX$3,0,0,'Données projet'!$E$13+1,1))-AVERAGE(OFFSET($H$3,0,0,'Données projet'!$E$13+1,1))</f>
        <v>232.73140429491525</v>
      </c>
      <c r="CZ187" s="60">
        <f t="shared" si="150"/>
        <v>201.02719152328638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0.11135272259835903</v>
      </c>
      <c r="DH187" s="23">
        <f>EXP(-LN(2)/2)*DH186+(1-EXP(-LN(2)/2))/(LN(2)/2)*DB187*DE187*VLOOKUP('Données projet'!$B$13,Paramètres!$A$1:$I$89,3,0)*0.475*44/12</f>
        <v>2.0373938194514307E-23</v>
      </c>
      <c r="DI187" s="24">
        <f t="shared" si="175"/>
        <v>0.11135272259835903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>
        <f>DO187*VLOOKUP('Données projet'!$B$14,Paramètres!$A$1:$I$89,3,0)*VLOOKUP('Données projet'!$B$14,Paramètres!$A$1:$I$89,5,0)</f>
        <v>0</v>
      </c>
      <c r="DQ187" s="14" t="e">
        <f t="shared" si="176"/>
        <v>#NUM!</v>
      </c>
      <c r="DR187" s="22" t="e">
        <f t="shared" si="177"/>
        <v>#NUM!</v>
      </c>
      <c r="DS187" s="60" t="e">
        <f t="shared" si="125"/>
        <v>#NUM!</v>
      </c>
      <c r="DT187" s="60">
        <f ca="1">AVERAGE(OFFSET($DS$3,0,0,'Données projet'!$E$14+1,1))-AVERAGE(OFFSET($H$3,0,0,'Données projet'!$E$14+1,1))</f>
        <v>302.15577364214136</v>
      </c>
      <c r="DU187" s="60">
        <f t="shared" si="152"/>
        <v>197.15142751137051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-5.1159076974727213E-13</v>
      </c>
      <c r="EK187" s="18">
        <f>EJ187*VLOOKUP('Données projet'!$B$15,Paramètres!$A$1:$I$89,3,0)*VLOOKUP('Données projet'!$B$15,Paramètres!$A$1:$I$89,5,0)</f>
        <v>-5.3471467253984886E-13</v>
      </c>
      <c r="EL187" s="14" t="e">
        <f t="shared" si="179"/>
        <v>#NUM!</v>
      </c>
      <c r="EM187" s="22" t="e">
        <f t="shared" si="180"/>
        <v>#NUM!</v>
      </c>
      <c r="EN187" s="60" t="e">
        <f t="shared" si="128"/>
        <v>#NUM!</v>
      </c>
      <c r="EO187" s="60">
        <f ca="1">AVERAGE(OFFSET($EN$3,0,0,'Données projet'!$E$15+1,1))-AVERAGE(OFFSET($H$3,0,0,'Données projet'!$E$15+1,1))</f>
        <v>493.70175665335978</v>
      </c>
      <c r="EP187" s="60">
        <f t="shared" si="154"/>
        <v>325.12357781685949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0" t="e">
        <f t="shared" si="131"/>
        <v>#N/A</v>
      </c>
      <c r="FJ187" s="60" t="e">
        <f ca="1">AVERAGE(OFFSET($FI$3,0,0,'Données projet'!$E$16+1,1))-AVERAGE(OFFSET($H$3,0,0,'Données projet'!$E$16+1,1))</f>
        <v>#N/A</v>
      </c>
      <c r="FK187" s="60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0" t="e">
        <f t="shared" si="134"/>
        <v>#N/A</v>
      </c>
      <c r="GE187" s="60" t="e">
        <f ca="1">AVERAGE(OFFSET($GD$3,0,0,'Données projet'!$E$17+1,1))-AVERAGE(OFFSET($H$3,0,0,'Données projet'!$E$17+1,1))</f>
        <v>#N/A</v>
      </c>
      <c r="GF187" s="60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5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8">
        <f t="shared" si="110"/>
        <v>256.66666666666669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0">
        <f t="shared" si="109"/>
        <v>293.3333333333353</v>
      </c>
      <c r="S188" s="60">
        <f ca="1">AVERAGE(OFFSET($R$3,0,0,'Données projet'!$E$9+1,1))-AVERAGE(OFFSET($H$3,0,0,'Données projet'!$E$9+1,1))</f>
        <v>260.02504691866199</v>
      </c>
      <c r="T188" s="60">
        <f t="shared" si="142"/>
        <v>270.11268336406368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0.46475884784911548</v>
      </c>
      <c r="AA188" s="23">
        <f>EXP(-LN(2)/25)*AA187+(1-EXP(-LN(2)/25))/(LN(2)/25)*Calculateur!V188*Calculateur!X188*VLOOKUP('Données projet'!$B$9,Paramètres!$A$1:$I$89,3,0)*0.475*44/12</f>
        <v>0.22356877586590793</v>
      </c>
      <c r="AB188" s="23">
        <f>EXP(-LN(2)/2)*AB187+(1-EXP(-LN(2)/2))/(LN(2)/2)*V188*Y188*VLOOKUP('Données projet'!$B$9,Paramètres!$A$1:$I$89,3,0)*0.475*44/12</f>
        <v>2.9666199891402364E-23</v>
      </c>
      <c r="AC188" s="24">
        <f t="shared" si="163"/>
        <v>0.68832762371502343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-9.6633812063373625E-13</v>
      </c>
      <c r="AJ188" s="14">
        <f>AI188*VLOOKUP('Données projet'!$B$10,Paramètres!$A$1:$I$89,3,0)*VLOOKUP('Données projet'!$B$10,Paramètres!$A$1:$I$89,5,0)</f>
        <v>-9.7986685432260874E-13</v>
      </c>
      <c r="AK188" s="14" t="e">
        <f t="shared" si="164"/>
        <v>#NUM!</v>
      </c>
      <c r="AL188" s="22" t="e">
        <f t="shared" si="165"/>
        <v>#NUM!</v>
      </c>
      <c r="AM188" s="60" t="e">
        <f t="shared" si="113"/>
        <v>#NUM!</v>
      </c>
      <c r="AN188" s="60">
        <f ca="1">AVERAGE(OFFSET($AM$3,0,0,'Données projet'!$E$10+1,1))-AVERAGE(OFFSET($H$3,0,0,'Données projet'!$E$10+1,1))</f>
        <v>475.47920969424894</v>
      </c>
      <c r="AO188" s="60">
        <f t="shared" si="144"/>
        <v>271.73544012419364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-1.4210854715202004E-13</v>
      </c>
      <c r="BE188" s="14">
        <f>BD188*VLOOKUP('Données projet'!$B$11,Paramètres!$A$1:$I$89,3,0)*VLOOKUP('Données projet'!$B$11,Paramètres!$A$1:$I$89,5,0)</f>
        <v>-1.2857981346314773E-13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325.2649384779973</v>
      </c>
      <c r="BJ188" s="60">
        <f t="shared" si="146"/>
        <v>146.70159365068315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1.0231815394945443E-12</v>
      </c>
      <c r="BZ188" s="14">
        <f>BY188*VLOOKUP('Données projet'!$B$12,Paramètres!$A$1:$I$89,3,0)*VLOOKUP('Données projet'!$B$12,Paramètres!$A$1:$I$89,5,0)</f>
        <v>4.5224624045658859E-13</v>
      </c>
      <c r="CA188" s="14">
        <f t="shared" si="170"/>
        <v>5.6995607121061449E-12</v>
      </c>
      <c r="CB188" s="22">
        <f t="shared" si="171"/>
        <v>1.0714397109046761E-11</v>
      </c>
      <c r="CC188" s="60">
        <f t="shared" si="119"/>
        <v>293.333333333344</v>
      </c>
      <c r="CD188" s="60">
        <f ca="1">AVERAGE(OFFSET($CC$3,0,0,'Données projet'!$E$12+1,1))-AVERAGE(OFFSET($H$3,0,0,'Données projet'!$E$12+1,1))</f>
        <v>401.84375324751227</v>
      </c>
      <c r="CE188" s="60">
        <f t="shared" si="148"/>
        <v>350.39368043404164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0.11335381443580463</v>
      </c>
      <c r="CM188" s="23">
        <f>EXP(-LN(2)/2)*CM187+(1-EXP(-LN(2)/2))/(LN(2)/2)*CG188*CJ188*VLOOKUP('Données projet'!$B$12,Paramètres!$A$1:$I$89,3,0)*0.475*44/12</f>
        <v>6.519866654633251E-24</v>
      </c>
      <c r="CN188" s="24">
        <f t="shared" si="172"/>
        <v>0.11335381443580463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-1.1368683772161603E-13</v>
      </c>
      <c r="CU188" s="18">
        <f>CT188*VLOOKUP('Données projet'!$B$13,Paramètres!$A$1:$I$89,3,0)*VLOOKUP('Données projet'!$B$13,Paramètres!$A$1:$I$89,5,0)</f>
        <v>-6.7984728957526396E-14</v>
      </c>
      <c r="CV188" s="14" t="e">
        <f t="shared" si="173"/>
        <v>#NUM!</v>
      </c>
      <c r="CW188" s="22" t="e">
        <f t="shared" si="174"/>
        <v>#NUM!</v>
      </c>
      <c r="CX188" s="60" t="e">
        <f t="shared" si="122"/>
        <v>#NUM!</v>
      </c>
      <c r="CY188" s="60">
        <f ca="1">AVERAGE(OFFSET($CX$3,0,0,'Données projet'!$E$13+1,1))-AVERAGE(OFFSET($H$3,0,0,'Données projet'!$E$13+1,1))</f>
        <v>232.73140429491525</v>
      </c>
      <c r="CZ188" s="60">
        <f t="shared" si="150"/>
        <v>201.02719152328638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0.10830777654312172</v>
      </c>
      <c r="DH188" s="23">
        <f>EXP(-LN(2)/2)*DH187+(1-EXP(-LN(2)/2))/(LN(2)/2)*DB188*DE188*VLOOKUP('Données projet'!$B$13,Paramètres!$A$1:$I$89,3,0)*0.475*44/12</f>
        <v>1.4406549856816671E-23</v>
      </c>
      <c r="DI188" s="24">
        <f t="shared" si="175"/>
        <v>0.10830777654312172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>
        <f>DO188*VLOOKUP('Données projet'!$B$14,Paramètres!$A$1:$I$89,3,0)*VLOOKUP('Données projet'!$B$14,Paramètres!$A$1:$I$89,5,0)</f>
        <v>0</v>
      </c>
      <c r="DQ188" s="14" t="e">
        <f t="shared" si="176"/>
        <v>#NUM!</v>
      </c>
      <c r="DR188" s="22" t="e">
        <f t="shared" si="177"/>
        <v>#NUM!</v>
      </c>
      <c r="DS188" s="60" t="e">
        <f t="shared" si="125"/>
        <v>#NUM!</v>
      </c>
      <c r="DT188" s="60">
        <f ca="1">AVERAGE(OFFSET($DS$3,0,0,'Données projet'!$E$14+1,1))-AVERAGE(OFFSET($H$3,0,0,'Données projet'!$E$14+1,1))</f>
        <v>302.15577364214136</v>
      </c>
      <c r="DU188" s="60">
        <f t="shared" si="152"/>
        <v>197.15142751137051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-5.1159076974727213E-13</v>
      </c>
      <c r="EK188" s="18">
        <f>EJ188*VLOOKUP('Données projet'!$B$15,Paramètres!$A$1:$I$89,3,0)*VLOOKUP('Données projet'!$B$15,Paramètres!$A$1:$I$89,5,0)</f>
        <v>-5.3471467253984886E-13</v>
      </c>
      <c r="EL188" s="14" t="e">
        <f t="shared" si="179"/>
        <v>#NUM!</v>
      </c>
      <c r="EM188" s="22" t="e">
        <f t="shared" si="180"/>
        <v>#NUM!</v>
      </c>
      <c r="EN188" s="60" t="e">
        <f t="shared" si="128"/>
        <v>#NUM!</v>
      </c>
      <c r="EO188" s="60">
        <f ca="1">AVERAGE(OFFSET($EN$3,0,0,'Données projet'!$E$15+1,1))-AVERAGE(OFFSET($H$3,0,0,'Données projet'!$E$15+1,1))</f>
        <v>493.70175665335978</v>
      </c>
      <c r="EP188" s="60">
        <f t="shared" si="154"/>
        <v>325.12357781685949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0" t="e">
        <f t="shared" si="131"/>
        <v>#N/A</v>
      </c>
      <c r="FJ188" s="60" t="e">
        <f ca="1">AVERAGE(OFFSET($FI$3,0,0,'Données projet'!$E$16+1,1))-AVERAGE(OFFSET($H$3,0,0,'Données projet'!$E$16+1,1))</f>
        <v>#N/A</v>
      </c>
      <c r="FK188" s="60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0" t="e">
        <f t="shared" si="134"/>
        <v>#N/A</v>
      </c>
      <c r="GE188" s="60" t="e">
        <f ca="1">AVERAGE(OFFSET($GD$3,0,0,'Données projet'!$E$17+1,1))-AVERAGE(OFFSET($H$3,0,0,'Données projet'!$E$17+1,1))</f>
        <v>#N/A</v>
      </c>
      <c r="GF188" s="60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5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8">
        <f t="shared" si="110"/>
        <v>256.66666666666669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0">
        <f t="shared" si="109"/>
        <v>293.3333333333353</v>
      </c>
      <c r="S189" s="60">
        <f ca="1">AVERAGE(OFFSET($R$3,0,0,'Données projet'!$E$9+1,1))-AVERAGE(OFFSET($H$3,0,0,'Données projet'!$E$9+1,1))</f>
        <v>260.02504691866199</v>
      </c>
      <c r="T189" s="60">
        <f t="shared" si="142"/>
        <v>270.11268336406368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0.45564521031770067</v>
      </c>
      <c r="AA189" s="23">
        <f>EXP(-LN(2)/25)*AA188+(1-EXP(-LN(2)/25))/(LN(2)/25)*Calculateur!V189*Calculateur!X189*VLOOKUP('Données projet'!$B$9,Paramètres!$A$1:$I$89,3,0)*0.475*44/12</f>
        <v>0.21745527593288372</v>
      </c>
      <c r="AB189" s="23">
        <f>EXP(-LN(2)/2)*AB188+(1-EXP(-LN(2)/2))/(LN(2)/2)*V189*Y189*VLOOKUP('Données projet'!$B$9,Paramètres!$A$1:$I$89,3,0)*0.475*44/12</f>
        <v>2.0977171115246231E-23</v>
      </c>
      <c r="AC189" s="24">
        <f t="shared" si="163"/>
        <v>0.67310048625058438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-9.6633812063373625E-13</v>
      </c>
      <c r="AJ189" s="14">
        <f>AI189*VLOOKUP('Données projet'!$B$10,Paramètres!$A$1:$I$89,3,0)*VLOOKUP('Données projet'!$B$10,Paramètres!$A$1:$I$89,5,0)</f>
        <v>-9.7986685432260874E-13</v>
      </c>
      <c r="AK189" s="14" t="e">
        <f t="shared" si="164"/>
        <v>#NUM!</v>
      </c>
      <c r="AL189" s="22" t="e">
        <f t="shared" si="165"/>
        <v>#NUM!</v>
      </c>
      <c r="AM189" s="60" t="e">
        <f t="shared" si="113"/>
        <v>#NUM!</v>
      </c>
      <c r="AN189" s="60">
        <f ca="1">AVERAGE(OFFSET($AM$3,0,0,'Données projet'!$E$10+1,1))-AVERAGE(OFFSET($H$3,0,0,'Données projet'!$E$10+1,1))</f>
        <v>475.47920969424894</v>
      </c>
      <c r="AO189" s="60">
        <f t="shared" si="144"/>
        <v>271.73544012419364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-1.4210854715202004E-13</v>
      </c>
      <c r="BE189" s="14">
        <f>BD189*VLOOKUP('Données projet'!$B$11,Paramètres!$A$1:$I$89,3,0)*VLOOKUP('Données projet'!$B$11,Paramètres!$A$1:$I$89,5,0)</f>
        <v>-1.2857981346314773E-13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325.2649384779973</v>
      </c>
      <c r="BJ189" s="60">
        <f t="shared" si="146"/>
        <v>146.70159365068315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1.0231815394945443E-12</v>
      </c>
      <c r="BZ189" s="14">
        <f>BY189*VLOOKUP('Données projet'!$B$12,Paramètres!$A$1:$I$89,3,0)*VLOOKUP('Données projet'!$B$12,Paramètres!$A$1:$I$89,5,0)</f>
        <v>4.5224624045658859E-13</v>
      </c>
      <c r="CA189" s="14">
        <f t="shared" si="170"/>
        <v>5.6995607121061449E-12</v>
      </c>
      <c r="CB189" s="22">
        <f t="shared" si="171"/>
        <v>1.0714397109046761E-11</v>
      </c>
      <c r="CC189" s="60">
        <f t="shared" si="119"/>
        <v>293.333333333344</v>
      </c>
      <c r="CD189" s="60">
        <f ca="1">AVERAGE(OFFSET($CC$3,0,0,'Données projet'!$E$12+1,1))-AVERAGE(OFFSET($H$3,0,0,'Données projet'!$E$12+1,1))</f>
        <v>401.84375324751227</v>
      </c>
      <c r="CE189" s="60">
        <f t="shared" si="148"/>
        <v>350.39368043404164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0.11025414841903952</v>
      </c>
      <c r="CM189" s="23">
        <f>EXP(-LN(2)/2)*CM188+(1-EXP(-LN(2)/2))/(LN(2)/2)*CG189*CJ189*VLOOKUP('Données projet'!$B$12,Paramètres!$A$1:$I$89,3,0)*0.475*44/12</f>
        <v>4.6102419239232224E-24</v>
      </c>
      <c r="CN189" s="24">
        <f t="shared" si="172"/>
        <v>0.11025414841903952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-1.1368683772161603E-13</v>
      </c>
      <c r="CU189" s="18">
        <f>CT189*VLOOKUP('Données projet'!$B$13,Paramètres!$A$1:$I$89,3,0)*VLOOKUP('Données projet'!$B$13,Paramètres!$A$1:$I$89,5,0)</f>
        <v>-6.7984728957526396E-14</v>
      </c>
      <c r="CV189" s="14" t="e">
        <f t="shared" si="173"/>
        <v>#NUM!</v>
      </c>
      <c r="CW189" s="22" t="e">
        <f t="shared" si="174"/>
        <v>#NUM!</v>
      </c>
      <c r="CX189" s="60" t="e">
        <f t="shared" si="122"/>
        <v>#NUM!</v>
      </c>
      <c r="CY189" s="60">
        <f ca="1">AVERAGE(OFFSET($CX$3,0,0,'Données projet'!$E$13+1,1))-AVERAGE(OFFSET($H$3,0,0,'Données projet'!$E$13+1,1))</f>
        <v>232.73140429491525</v>
      </c>
      <c r="CZ189" s="60">
        <f t="shared" si="150"/>
        <v>201.02719152328638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0.10534609469789163</v>
      </c>
      <c r="DH189" s="23">
        <f>EXP(-LN(2)/2)*DH188+(1-EXP(-LN(2)/2))/(LN(2)/2)*DB189*DE189*VLOOKUP('Données projet'!$B$13,Paramètres!$A$1:$I$89,3,0)*0.475*44/12</f>
        <v>1.0186969097257154E-23</v>
      </c>
      <c r="DI189" s="24">
        <f t="shared" si="175"/>
        <v>0.10534609469789163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>
        <f>DO189*VLOOKUP('Données projet'!$B$14,Paramètres!$A$1:$I$89,3,0)*VLOOKUP('Données projet'!$B$14,Paramètres!$A$1:$I$89,5,0)</f>
        <v>0</v>
      </c>
      <c r="DQ189" s="14" t="e">
        <f t="shared" si="176"/>
        <v>#NUM!</v>
      </c>
      <c r="DR189" s="22" t="e">
        <f t="shared" si="177"/>
        <v>#NUM!</v>
      </c>
      <c r="DS189" s="60" t="e">
        <f t="shared" si="125"/>
        <v>#NUM!</v>
      </c>
      <c r="DT189" s="60">
        <f ca="1">AVERAGE(OFFSET($DS$3,0,0,'Données projet'!$E$14+1,1))-AVERAGE(OFFSET($H$3,0,0,'Données projet'!$E$14+1,1))</f>
        <v>302.15577364214136</v>
      </c>
      <c r="DU189" s="60">
        <f t="shared" si="152"/>
        <v>197.15142751137051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-5.1159076974727213E-13</v>
      </c>
      <c r="EK189" s="18">
        <f>EJ189*VLOOKUP('Données projet'!$B$15,Paramètres!$A$1:$I$89,3,0)*VLOOKUP('Données projet'!$B$15,Paramètres!$A$1:$I$89,5,0)</f>
        <v>-5.3471467253984886E-13</v>
      </c>
      <c r="EL189" s="14" t="e">
        <f t="shared" si="179"/>
        <v>#NUM!</v>
      </c>
      <c r="EM189" s="22" t="e">
        <f t="shared" si="180"/>
        <v>#NUM!</v>
      </c>
      <c r="EN189" s="60" t="e">
        <f t="shared" si="128"/>
        <v>#NUM!</v>
      </c>
      <c r="EO189" s="60">
        <f ca="1">AVERAGE(OFFSET($EN$3,0,0,'Données projet'!$E$15+1,1))-AVERAGE(OFFSET($H$3,0,0,'Données projet'!$E$15+1,1))</f>
        <v>493.70175665335978</v>
      </c>
      <c r="EP189" s="60">
        <f t="shared" si="154"/>
        <v>325.12357781685949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0" t="e">
        <f t="shared" si="131"/>
        <v>#N/A</v>
      </c>
      <c r="FJ189" s="60" t="e">
        <f ca="1">AVERAGE(OFFSET($FI$3,0,0,'Données projet'!$E$16+1,1))-AVERAGE(OFFSET($H$3,0,0,'Données projet'!$E$16+1,1))</f>
        <v>#N/A</v>
      </c>
      <c r="FK189" s="60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0" t="e">
        <f t="shared" si="134"/>
        <v>#N/A</v>
      </c>
      <c r="GE189" s="60" t="e">
        <f ca="1">AVERAGE(OFFSET($GD$3,0,0,'Données projet'!$E$17+1,1))-AVERAGE(OFFSET($H$3,0,0,'Données projet'!$E$17+1,1))</f>
        <v>#N/A</v>
      </c>
      <c r="GF189" s="60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5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8">
        <f t="shared" si="110"/>
        <v>256.66666666666669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0">
        <f t="shared" si="109"/>
        <v>293.3333333333353</v>
      </c>
      <c r="S190" s="60">
        <f ca="1">AVERAGE(OFFSET($R$3,0,0,'Données projet'!$E$9+1,1))-AVERAGE(OFFSET($H$3,0,0,'Données projet'!$E$9+1,1))</f>
        <v>260.02504691866199</v>
      </c>
      <c r="T190" s="60">
        <f t="shared" si="142"/>
        <v>270.11268336406368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0.44671028565950693</v>
      </c>
      <c r="AA190" s="23">
        <f>EXP(-LN(2)/25)*AA189+(1-EXP(-LN(2)/25))/(LN(2)/25)*Calculateur!V190*Calculateur!X190*VLOOKUP('Données projet'!$B$9,Paramètres!$A$1:$I$89,3,0)*0.475*44/12</f>
        <v>0.21150894997702305</v>
      </c>
      <c r="AB190" s="23">
        <f>EXP(-LN(2)/2)*AB189+(1-EXP(-LN(2)/2))/(LN(2)/2)*V190*Y190*VLOOKUP('Données projet'!$B$9,Paramètres!$A$1:$I$89,3,0)*0.475*44/12</f>
        <v>1.4833099945701182E-23</v>
      </c>
      <c r="AC190" s="24">
        <f t="shared" si="163"/>
        <v>0.65821923563652995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-9.6633812063373625E-13</v>
      </c>
      <c r="AJ190" s="14">
        <f>AI190*VLOOKUP('Données projet'!$B$10,Paramètres!$A$1:$I$89,3,0)*VLOOKUP('Données projet'!$B$10,Paramètres!$A$1:$I$89,5,0)</f>
        <v>-9.7986685432260874E-13</v>
      </c>
      <c r="AK190" s="14" t="e">
        <f t="shared" si="164"/>
        <v>#NUM!</v>
      </c>
      <c r="AL190" s="22" t="e">
        <f t="shared" si="165"/>
        <v>#NUM!</v>
      </c>
      <c r="AM190" s="60" t="e">
        <f t="shared" si="113"/>
        <v>#NUM!</v>
      </c>
      <c r="AN190" s="60">
        <f ca="1">AVERAGE(OFFSET($AM$3,0,0,'Données projet'!$E$10+1,1))-AVERAGE(OFFSET($H$3,0,0,'Données projet'!$E$10+1,1))</f>
        <v>475.47920969424894</v>
      </c>
      <c r="AO190" s="60">
        <f t="shared" si="144"/>
        <v>271.73544012419364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-1.4210854715202004E-13</v>
      </c>
      <c r="BE190" s="14">
        <f>BD190*VLOOKUP('Données projet'!$B$11,Paramètres!$A$1:$I$89,3,0)*VLOOKUP('Données projet'!$B$11,Paramètres!$A$1:$I$89,5,0)</f>
        <v>-1.2857981346314773E-13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325.2649384779973</v>
      </c>
      <c r="BJ190" s="60">
        <f t="shared" si="146"/>
        <v>146.70159365068315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1.0231815394945443E-12</v>
      </c>
      <c r="BZ190" s="14">
        <f>BY190*VLOOKUP('Données projet'!$B$12,Paramètres!$A$1:$I$89,3,0)*VLOOKUP('Données projet'!$B$12,Paramètres!$A$1:$I$89,5,0)</f>
        <v>4.5224624045658859E-13</v>
      </c>
      <c r="CA190" s="14">
        <f t="shared" si="170"/>
        <v>5.6995607121061449E-12</v>
      </c>
      <c r="CB190" s="22">
        <f t="shared" si="171"/>
        <v>1.0714397109046761E-11</v>
      </c>
      <c r="CC190" s="60">
        <f t="shared" si="119"/>
        <v>293.333333333344</v>
      </c>
      <c r="CD190" s="60">
        <f ca="1">AVERAGE(OFFSET($CC$3,0,0,'Données projet'!$E$12+1,1))-AVERAGE(OFFSET($H$3,0,0,'Données projet'!$E$12+1,1))</f>
        <v>401.84375324751227</v>
      </c>
      <c r="CE190" s="60">
        <f t="shared" si="148"/>
        <v>350.39368043404164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0.10723924293250721</v>
      </c>
      <c r="CM190" s="23">
        <f>EXP(-LN(2)/2)*CM189+(1-EXP(-LN(2)/2))/(LN(2)/2)*CG190*CJ190*VLOOKUP('Données projet'!$B$12,Paramètres!$A$1:$I$89,3,0)*0.475*44/12</f>
        <v>3.2599333273166262E-24</v>
      </c>
      <c r="CN190" s="24">
        <f t="shared" si="172"/>
        <v>0.10723924293250721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-1.1368683772161603E-13</v>
      </c>
      <c r="CU190" s="18">
        <f>CT190*VLOOKUP('Données projet'!$B$13,Paramètres!$A$1:$I$89,3,0)*VLOOKUP('Données projet'!$B$13,Paramètres!$A$1:$I$89,5,0)</f>
        <v>-6.7984728957526396E-14</v>
      </c>
      <c r="CV190" s="14" t="e">
        <f t="shared" si="173"/>
        <v>#NUM!</v>
      </c>
      <c r="CW190" s="22" t="e">
        <f t="shared" si="174"/>
        <v>#NUM!</v>
      </c>
      <c r="CX190" s="60" t="e">
        <f t="shared" si="122"/>
        <v>#NUM!</v>
      </c>
      <c r="CY190" s="60">
        <f ca="1">AVERAGE(OFFSET($CX$3,0,0,'Données projet'!$E$13+1,1))-AVERAGE(OFFSET($H$3,0,0,'Données projet'!$E$13+1,1))</f>
        <v>232.73140429491525</v>
      </c>
      <c r="CZ190" s="60">
        <f t="shared" si="150"/>
        <v>201.02719152328638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0.10246540019846744</v>
      </c>
      <c r="DH190" s="23">
        <f>EXP(-LN(2)/2)*DH189+(1-EXP(-LN(2)/2))/(LN(2)/2)*DB190*DE190*VLOOKUP('Données projet'!$B$13,Paramètres!$A$1:$I$89,3,0)*0.475*44/12</f>
        <v>7.2032749284083356E-24</v>
      </c>
      <c r="DI190" s="24">
        <f t="shared" si="175"/>
        <v>0.10246540019846744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>
        <f>DO190*VLOOKUP('Données projet'!$B$14,Paramètres!$A$1:$I$89,3,0)*VLOOKUP('Données projet'!$B$14,Paramètres!$A$1:$I$89,5,0)</f>
        <v>0</v>
      </c>
      <c r="DQ190" s="14" t="e">
        <f t="shared" si="176"/>
        <v>#NUM!</v>
      </c>
      <c r="DR190" s="22" t="e">
        <f t="shared" si="177"/>
        <v>#NUM!</v>
      </c>
      <c r="DS190" s="60" t="e">
        <f t="shared" si="125"/>
        <v>#NUM!</v>
      </c>
      <c r="DT190" s="60">
        <f ca="1">AVERAGE(OFFSET($DS$3,0,0,'Données projet'!$E$14+1,1))-AVERAGE(OFFSET($H$3,0,0,'Données projet'!$E$14+1,1))</f>
        <v>302.15577364214136</v>
      </c>
      <c r="DU190" s="60">
        <f t="shared" si="152"/>
        <v>197.15142751137051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-5.1159076974727213E-13</v>
      </c>
      <c r="EK190" s="18">
        <f>EJ190*VLOOKUP('Données projet'!$B$15,Paramètres!$A$1:$I$89,3,0)*VLOOKUP('Données projet'!$B$15,Paramètres!$A$1:$I$89,5,0)</f>
        <v>-5.3471467253984886E-13</v>
      </c>
      <c r="EL190" s="14" t="e">
        <f t="shared" si="179"/>
        <v>#NUM!</v>
      </c>
      <c r="EM190" s="22" t="e">
        <f t="shared" si="180"/>
        <v>#NUM!</v>
      </c>
      <c r="EN190" s="60" t="e">
        <f t="shared" si="128"/>
        <v>#NUM!</v>
      </c>
      <c r="EO190" s="60">
        <f ca="1">AVERAGE(OFFSET($EN$3,0,0,'Données projet'!$E$15+1,1))-AVERAGE(OFFSET($H$3,0,0,'Données projet'!$E$15+1,1))</f>
        <v>493.70175665335978</v>
      </c>
      <c r="EP190" s="60">
        <f t="shared" si="154"/>
        <v>325.12357781685949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0" t="e">
        <f t="shared" si="131"/>
        <v>#N/A</v>
      </c>
      <c r="FJ190" s="60" t="e">
        <f ca="1">AVERAGE(OFFSET($FI$3,0,0,'Données projet'!$E$16+1,1))-AVERAGE(OFFSET($H$3,0,0,'Données projet'!$E$16+1,1))</f>
        <v>#N/A</v>
      </c>
      <c r="FK190" s="60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0" t="e">
        <f t="shared" si="134"/>
        <v>#N/A</v>
      </c>
      <c r="GE190" s="60" t="e">
        <f ca="1">AVERAGE(OFFSET($GD$3,0,0,'Données projet'!$E$17+1,1))-AVERAGE(OFFSET($H$3,0,0,'Données projet'!$E$17+1,1))</f>
        <v>#N/A</v>
      </c>
      <c r="GF190" s="60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5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8">
        <f t="shared" si="110"/>
        <v>256.66666666666669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0">
        <f t="shared" si="109"/>
        <v>293.3333333333353</v>
      </c>
      <c r="S191" s="60">
        <f ca="1">AVERAGE(OFFSET($R$3,0,0,'Données projet'!$E$9+1,1))-AVERAGE(OFFSET($H$3,0,0,'Données projet'!$E$9+1,1))</f>
        <v>260.02504691866199</v>
      </c>
      <c r="T191" s="60">
        <f t="shared" si="142"/>
        <v>270.11268336406368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0.43795056942409444</v>
      </c>
      <c r="AA191" s="23">
        <f>EXP(-LN(2)/25)*AA190+(1-EXP(-LN(2)/25))/(LN(2)/25)*Calculateur!V191*Calculateur!X191*VLOOKUP('Données projet'!$B$9,Paramètres!$A$1:$I$89,3,0)*0.475*44/12</f>
        <v>0.20572522661712908</v>
      </c>
      <c r="AB191" s="23">
        <f>EXP(-LN(2)/2)*AB190+(1-EXP(-LN(2)/2))/(LN(2)/2)*V191*Y191*VLOOKUP('Données projet'!$B$9,Paramètres!$A$1:$I$89,3,0)*0.475*44/12</f>
        <v>1.0488585557623116E-23</v>
      </c>
      <c r="AC191" s="24">
        <f t="shared" si="163"/>
        <v>0.64367579604122349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-9.6633812063373625E-13</v>
      </c>
      <c r="AJ191" s="14">
        <f>AI191*VLOOKUP('Données projet'!$B$10,Paramètres!$A$1:$I$89,3,0)*VLOOKUP('Données projet'!$B$10,Paramètres!$A$1:$I$89,5,0)</f>
        <v>-9.7986685432260874E-13</v>
      </c>
      <c r="AK191" s="14" t="e">
        <f t="shared" si="164"/>
        <v>#NUM!</v>
      </c>
      <c r="AL191" s="22" t="e">
        <f t="shared" si="165"/>
        <v>#NUM!</v>
      </c>
      <c r="AM191" s="60" t="e">
        <f t="shared" si="113"/>
        <v>#NUM!</v>
      </c>
      <c r="AN191" s="60">
        <f ca="1">AVERAGE(OFFSET($AM$3,0,0,'Données projet'!$E$10+1,1))-AVERAGE(OFFSET($H$3,0,0,'Données projet'!$E$10+1,1))</f>
        <v>475.47920969424894</v>
      </c>
      <c r="AO191" s="60">
        <f t="shared" si="144"/>
        <v>271.73544012419364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-1.4210854715202004E-13</v>
      </c>
      <c r="BE191" s="14">
        <f>BD191*VLOOKUP('Données projet'!$B$11,Paramètres!$A$1:$I$89,3,0)*VLOOKUP('Données projet'!$B$11,Paramètres!$A$1:$I$89,5,0)</f>
        <v>-1.2857981346314773E-13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325.2649384779973</v>
      </c>
      <c r="BJ191" s="60">
        <f t="shared" si="146"/>
        <v>146.70159365068315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1.0231815394945443E-12</v>
      </c>
      <c r="BZ191" s="14">
        <f>BY191*VLOOKUP('Données projet'!$B$12,Paramètres!$A$1:$I$89,3,0)*VLOOKUP('Données projet'!$B$12,Paramètres!$A$1:$I$89,5,0)</f>
        <v>4.5224624045658859E-13</v>
      </c>
      <c r="CA191" s="14">
        <f t="shared" si="170"/>
        <v>5.6995607121061449E-12</v>
      </c>
      <c r="CB191" s="22">
        <f t="shared" si="171"/>
        <v>1.0714397109046761E-11</v>
      </c>
      <c r="CC191" s="60">
        <f t="shared" si="119"/>
        <v>293.333333333344</v>
      </c>
      <c r="CD191" s="60">
        <f ca="1">AVERAGE(OFFSET($CC$3,0,0,'Données projet'!$E$12+1,1))-AVERAGE(OFFSET($H$3,0,0,'Données projet'!$E$12+1,1))</f>
        <v>401.84375324751227</v>
      </c>
      <c r="CE191" s="60">
        <f t="shared" si="148"/>
        <v>350.39368043404164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0.10430678019505112</v>
      </c>
      <c r="CM191" s="23">
        <f>EXP(-LN(2)/2)*CM190+(1-EXP(-LN(2)/2))/(LN(2)/2)*CG191*CJ191*VLOOKUP('Données projet'!$B$12,Paramètres!$A$1:$I$89,3,0)*0.475*44/12</f>
        <v>2.3051209619616116E-24</v>
      </c>
      <c r="CN191" s="24">
        <f t="shared" si="172"/>
        <v>0.10430678019505112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-1.1368683772161603E-13</v>
      </c>
      <c r="CU191" s="18">
        <f>CT191*VLOOKUP('Données projet'!$B$13,Paramètres!$A$1:$I$89,3,0)*VLOOKUP('Données projet'!$B$13,Paramètres!$A$1:$I$89,5,0)</f>
        <v>-6.7984728957526396E-14</v>
      </c>
      <c r="CV191" s="14" t="e">
        <f t="shared" si="173"/>
        <v>#NUM!</v>
      </c>
      <c r="CW191" s="22" t="e">
        <f t="shared" si="174"/>
        <v>#NUM!</v>
      </c>
      <c r="CX191" s="60" t="e">
        <f t="shared" si="122"/>
        <v>#NUM!</v>
      </c>
      <c r="CY191" s="60">
        <f ca="1">AVERAGE(OFFSET($CX$3,0,0,'Données projet'!$E$13+1,1))-AVERAGE(OFFSET($H$3,0,0,'Données projet'!$E$13+1,1))</f>
        <v>232.73140429491525</v>
      </c>
      <c r="CZ191" s="60">
        <f t="shared" si="150"/>
        <v>201.02719152328638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9.966347844161913E-2</v>
      </c>
      <c r="DH191" s="23">
        <f>EXP(-LN(2)/2)*DH190+(1-EXP(-LN(2)/2))/(LN(2)/2)*DB191*DE191*VLOOKUP('Données projet'!$B$13,Paramètres!$A$1:$I$89,3,0)*0.475*44/12</f>
        <v>5.0934845486285768E-24</v>
      </c>
      <c r="DI191" s="24">
        <f t="shared" si="175"/>
        <v>9.966347844161913E-2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>
        <f>DO191*VLOOKUP('Données projet'!$B$14,Paramètres!$A$1:$I$89,3,0)*VLOOKUP('Données projet'!$B$14,Paramètres!$A$1:$I$89,5,0)</f>
        <v>0</v>
      </c>
      <c r="DQ191" s="14" t="e">
        <f t="shared" si="176"/>
        <v>#NUM!</v>
      </c>
      <c r="DR191" s="22" t="e">
        <f t="shared" si="177"/>
        <v>#NUM!</v>
      </c>
      <c r="DS191" s="60" t="e">
        <f t="shared" si="125"/>
        <v>#NUM!</v>
      </c>
      <c r="DT191" s="60">
        <f ca="1">AVERAGE(OFFSET($DS$3,0,0,'Données projet'!$E$14+1,1))-AVERAGE(OFFSET($H$3,0,0,'Données projet'!$E$14+1,1))</f>
        <v>302.15577364214136</v>
      </c>
      <c r="DU191" s="60">
        <f t="shared" si="152"/>
        <v>197.15142751137051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-5.1159076974727213E-13</v>
      </c>
      <c r="EK191" s="18">
        <f>EJ191*VLOOKUP('Données projet'!$B$15,Paramètres!$A$1:$I$89,3,0)*VLOOKUP('Données projet'!$B$15,Paramètres!$A$1:$I$89,5,0)</f>
        <v>-5.3471467253984886E-13</v>
      </c>
      <c r="EL191" s="14" t="e">
        <f t="shared" si="179"/>
        <v>#NUM!</v>
      </c>
      <c r="EM191" s="22" t="e">
        <f t="shared" si="180"/>
        <v>#NUM!</v>
      </c>
      <c r="EN191" s="60" t="e">
        <f t="shared" si="128"/>
        <v>#NUM!</v>
      </c>
      <c r="EO191" s="60">
        <f ca="1">AVERAGE(OFFSET($EN$3,0,0,'Données projet'!$E$15+1,1))-AVERAGE(OFFSET($H$3,0,0,'Données projet'!$E$15+1,1))</f>
        <v>493.70175665335978</v>
      </c>
      <c r="EP191" s="60">
        <f t="shared" si="154"/>
        <v>325.12357781685949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0" t="e">
        <f t="shared" si="131"/>
        <v>#N/A</v>
      </c>
      <c r="FJ191" s="60" t="e">
        <f ca="1">AVERAGE(OFFSET($FI$3,0,0,'Données projet'!$E$16+1,1))-AVERAGE(OFFSET($H$3,0,0,'Données projet'!$E$16+1,1))</f>
        <v>#N/A</v>
      </c>
      <c r="FK191" s="60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0" t="e">
        <f t="shared" si="134"/>
        <v>#N/A</v>
      </c>
      <c r="GE191" s="60" t="e">
        <f ca="1">AVERAGE(OFFSET($GD$3,0,0,'Données projet'!$E$17+1,1))-AVERAGE(OFFSET($H$3,0,0,'Données projet'!$E$17+1,1))</f>
        <v>#N/A</v>
      </c>
      <c r="GF191" s="60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5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8">
        <f t="shared" si="110"/>
        <v>256.66666666666669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0">
        <f t="shared" si="109"/>
        <v>293.3333333333353</v>
      </c>
      <c r="S192" s="60">
        <f ca="1">AVERAGE(OFFSET($R$3,0,0,'Données projet'!$E$9+1,1))-AVERAGE(OFFSET($H$3,0,0,'Données projet'!$E$9+1,1))</f>
        <v>260.02504691866199</v>
      </c>
      <c r="T192" s="60">
        <f t="shared" si="142"/>
        <v>270.11268336406368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0.42936262588115903</v>
      </c>
      <c r="AA192" s="23">
        <f>EXP(-LN(2)/25)*AA191+(1-EXP(-LN(2)/25))/(LN(2)/25)*Calculateur!V192*Calculateur!X192*VLOOKUP('Données projet'!$B$9,Paramètres!$A$1:$I$89,3,0)*0.475*44/12</f>
        <v>0.20009965947666422</v>
      </c>
      <c r="AB192" s="23">
        <f>EXP(-LN(2)/2)*AB191+(1-EXP(-LN(2)/2))/(LN(2)/2)*V192*Y192*VLOOKUP('Données projet'!$B$9,Paramètres!$A$1:$I$89,3,0)*0.475*44/12</f>
        <v>7.416549972850591E-24</v>
      </c>
      <c r="AC192" s="24">
        <f t="shared" si="163"/>
        <v>0.62946228535782323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-9.6633812063373625E-13</v>
      </c>
      <c r="AJ192" s="14">
        <f>AI192*VLOOKUP('Données projet'!$B$10,Paramètres!$A$1:$I$89,3,0)*VLOOKUP('Données projet'!$B$10,Paramètres!$A$1:$I$89,5,0)</f>
        <v>-9.7986685432260874E-13</v>
      </c>
      <c r="AK192" s="14" t="e">
        <f t="shared" si="164"/>
        <v>#NUM!</v>
      </c>
      <c r="AL192" s="22" t="e">
        <f t="shared" si="165"/>
        <v>#NUM!</v>
      </c>
      <c r="AM192" s="60" t="e">
        <f t="shared" si="113"/>
        <v>#NUM!</v>
      </c>
      <c r="AN192" s="60">
        <f ca="1">AVERAGE(OFFSET($AM$3,0,0,'Données projet'!$E$10+1,1))-AVERAGE(OFFSET($H$3,0,0,'Données projet'!$E$10+1,1))</f>
        <v>475.47920969424894</v>
      </c>
      <c r="AO192" s="60">
        <f t="shared" si="144"/>
        <v>271.73544012419364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-1.4210854715202004E-13</v>
      </c>
      <c r="BE192" s="14">
        <f>BD192*VLOOKUP('Données projet'!$B$11,Paramètres!$A$1:$I$89,3,0)*VLOOKUP('Données projet'!$B$11,Paramètres!$A$1:$I$89,5,0)</f>
        <v>-1.2857981346314773E-13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325.2649384779973</v>
      </c>
      <c r="BJ192" s="60">
        <f t="shared" si="146"/>
        <v>146.70159365068315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1.0231815394945443E-12</v>
      </c>
      <c r="BZ192" s="14">
        <f>BY192*VLOOKUP('Données projet'!$B$12,Paramètres!$A$1:$I$89,3,0)*VLOOKUP('Données projet'!$B$12,Paramètres!$A$1:$I$89,5,0)</f>
        <v>4.5224624045658859E-13</v>
      </c>
      <c r="CA192" s="14">
        <f t="shared" si="170"/>
        <v>5.6995607121061449E-12</v>
      </c>
      <c r="CB192" s="22">
        <f t="shared" si="171"/>
        <v>1.0714397109046761E-11</v>
      </c>
      <c r="CC192" s="60">
        <f t="shared" si="119"/>
        <v>293.333333333344</v>
      </c>
      <c r="CD192" s="60">
        <f ca="1">AVERAGE(OFFSET($CC$3,0,0,'Données projet'!$E$12+1,1))-AVERAGE(OFFSET($H$3,0,0,'Données projet'!$E$12+1,1))</f>
        <v>401.84375324751227</v>
      </c>
      <c r="CE192" s="60">
        <f t="shared" si="148"/>
        <v>350.39368043404164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0.10145450580536226</v>
      </c>
      <c r="CM192" s="23">
        <f>EXP(-LN(2)/2)*CM191+(1-EXP(-LN(2)/2))/(LN(2)/2)*CG192*CJ192*VLOOKUP('Données projet'!$B$12,Paramètres!$A$1:$I$89,3,0)*0.475*44/12</f>
        <v>1.6299666636583133E-24</v>
      </c>
      <c r="CN192" s="24">
        <f t="shared" si="172"/>
        <v>0.10145450580536226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-1.1368683772161603E-13</v>
      </c>
      <c r="CU192" s="18">
        <f>CT192*VLOOKUP('Données projet'!$B$13,Paramètres!$A$1:$I$89,3,0)*VLOOKUP('Données projet'!$B$13,Paramètres!$A$1:$I$89,5,0)</f>
        <v>-6.7984728957526396E-14</v>
      </c>
      <c r="CV192" s="14" t="e">
        <f t="shared" si="173"/>
        <v>#NUM!</v>
      </c>
      <c r="CW192" s="22" t="e">
        <f t="shared" si="174"/>
        <v>#NUM!</v>
      </c>
      <c r="CX192" s="60" t="e">
        <f t="shared" si="122"/>
        <v>#NUM!</v>
      </c>
      <c r="CY192" s="60">
        <f ca="1">AVERAGE(OFFSET($CX$3,0,0,'Données projet'!$E$13+1,1))-AVERAGE(OFFSET($H$3,0,0,'Données projet'!$E$13+1,1))</f>
        <v>232.73140429491525</v>
      </c>
      <c r="CZ192" s="60">
        <f t="shared" si="150"/>
        <v>201.02719152328638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9.6938175382558514E-2</v>
      </c>
      <c r="DH192" s="23">
        <f>EXP(-LN(2)/2)*DH191+(1-EXP(-LN(2)/2))/(LN(2)/2)*DB192*DE192*VLOOKUP('Données projet'!$B$13,Paramètres!$A$1:$I$89,3,0)*0.475*44/12</f>
        <v>3.6016374642041678E-24</v>
      </c>
      <c r="DI192" s="24">
        <f t="shared" si="175"/>
        <v>9.6938175382558514E-2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>
        <f>DO192*VLOOKUP('Données projet'!$B$14,Paramètres!$A$1:$I$89,3,0)*VLOOKUP('Données projet'!$B$14,Paramètres!$A$1:$I$89,5,0)</f>
        <v>0</v>
      </c>
      <c r="DQ192" s="14" t="e">
        <f t="shared" si="176"/>
        <v>#NUM!</v>
      </c>
      <c r="DR192" s="22" t="e">
        <f t="shared" si="177"/>
        <v>#NUM!</v>
      </c>
      <c r="DS192" s="60" t="e">
        <f t="shared" si="125"/>
        <v>#NUM!</v>
      </c>
      <c r="DT192" s="60">
        <f ca="1">AVERAGE(OFFSET($DS$3,0,0,'Données projet'!$E$14+1,1))-AVERAGE(OFFSET($H$3,0,0,'Données projet'!$E$14+1,1))</f>
        <v>302.15577364214136</v>
      </c>
      <c r="DU192" s="60">
        <f t="shared" si="152"/>
        <v>197.15142751137051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-5.1159076974727213E-13</v>
      </c>
      <c r="EK192" s="18">
        <f>EJ192*VLOOKUP('Données projet'!$B$15,Paramètres!$A$1:$I$89,3,0)*VLOOKUP('Données projet'!$B$15,Paramètres!$A$1:$I$89,5,0)</f>
        <v>-5.3471467253984886E-13</v>
      </c>
      <c r="EL192" s="14" t="e">
        <f t="shared" si="179"/>
        <v>#NUM!</v>
      </c>
      <c r="EM192" s="22" t="e">
        <f t="shared" si="180"/>
        <v>#NUM!</v>
      </c>
      <c r="EN192" s="60" t="e">
        <f t="shared" si="128"/>
        <v>#NUM!</v>
      </c>
      <c r="EO192" s="60">
        <f ca="1">AVERAGE(OFFSET($EN$3,0,0,'Données projet'!$E$15+1,1))-AVERAGE(OFFSET($H$3,0,0,'Données projet'!$E$15+1,1))</f>
        <v>493.70175665335978</v>
      </c>
      <c r="EP192" s="60">
        <f t="shared" si="154"/>
        <v>325.12357781685949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0" t="e">
        <f t="shared" si="131"/>
        <v>#N/A</v>
      </c>
      <c r="FJ192" s="60" t="e">
        <f ca="1">AVERAGE(OFFSET($FI$3,0,0,'Données projet'!$E$16+1,1))-AVERAGE(OFFSET($H$3,0,0,'Données projet'!$E$16+1,1))</f>
        <v>#N/A</v>
      </c>
      <c r="FK192" s="60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0" t="e">
        <f t="shared" si="134"/>
        <v>#N/A</v>
      </c>
      <c r="GE192" s="60" t="e">
        <f ca="1">AVERAGE(OFFSET($GD$3,0,0,'Données projet'!$E$17+1,1))-AVERAGE(OFFSET($H$3,0,0,'Données projet'!$E$17+1,1))</f>
        <v>#N/A</v>
      </c>
      <c r="GF192" s="60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5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8">
        <f t="shared" si="110"/>
        <v>256.66666666666669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0">
        <f t="shared" si="109"/>
        <v>293.3333333333353</v>
      </c>
      <c r="S193" s="60">
        <f ca="1">AVERAGE(OFFSET($R$3,0,0,'Données projet'!$E$9+1,1))-AVERAGE(OFFSET($H$3,0,0,'Données projet'!$E$9+1,1))</f>
        <v>260.02504691866199</v>
      </c>
      <c r="T193" s="60">
        <f t="shared" si="142"/>
        <v>270.11268336406368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0.42094308667297226</v>
      </c>
      <c r="AA193" s="23">
        <f>EXP(-LN(2)/25)*AA192+(1-EXP(-LN(2)/25))/(LN(2)/25)*Calculateur!V193*Calculateur!X193*VLOOKUP('Données projet'!$B$9,Paramètres!$A$1:$I$89,3,0)*0.475*44/12</f>
        <v>0.19462792376549107</v>
      </c>
      <c r="AB193" s="23">
        <f>EXP(-LN(2)/2)*AB192+(1-EXP(-LN(2)/2))/(LN(2)/2)*V193*Y193*VLOOKUP('Données projet'!$B$9,Paramètres!$A$1:$I$89,3,0)*0.475*44/12</f>
        <v>5.2442927788115578E-24</v>
      </c>
      <c r="AC193" s="24">
        <f t="shared" si="163"/>
        <v>0.6155710104384633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-9.6633812063373625E-13</v>
      </c>
      <c r="AJ193" s="14">
        <f>AI193*VLOOKUP('Données projet'!$B$10,Paramètres!$A$1:$I$89,3,0)*VLOOKUP('Données projet'!$B$10,Paramètres!$A$1:$I$89,5,0)</f>
        <v>-9.7986685432260874E-13</v>
      </c>
      <c r="AK193" s="14" t="e">
        <f t="shared" si="164"/>
        <v>#NUM!</v>
      </c>
      <c r="AL193" s="22" t="e">
        <f t="shared" si="165"/>
        <v>#NUM!</v>
      </c>
      <c r="AM193" s="60" t="e">
        <f t="shared" si="113"/>
        <v>#NUM!</v>
      </c>
      <c r="AN193" s="60">
        <f ca="1">AVERAGE(OFFSET($AM$3,0,0,'Données projet'!$E$10+1,1))-AVERAGE(OFFSET($H$3,0,0,'Données projet'!$E$10+1,1))</f>
        <v>475.47920969424894</v>
      </c>
      <c r="AO193" s="60">
        <f t="shared" si="144"/>
        <v>271.73544012419364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-1.4210854715202004E-13</v>
      </c>
      <c r="BE193" s="14">
        <f>BD193*VLOOKUP('Données projet'!$B$11,Paramètres!$A$1:$I$89,3,0)*VLOOKUP('Données projet'!$B$11,Paramètres!$A$1:$I$89,5,0)</f>
        <v>-1.2857981346314773E-13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325.2649384779973</v>
      </c>
      <c r="BJ193" s="60">
        <f t="shared" si="146"/>
        <v>146.70159365068315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1.0231815394945443E-12</v>
      </c>
      <c r="BZ193" s="14">
        <f>BY193*VLOOKUP('Données projet'!$B$12,Paramètres!$A$1:$I$89,3,0)*VLOOKUP('Données projet'!$B$12,Paramètres!$A$1:$I$89,5,0)</f>
        <v>4.5224624045658859E-13</v>
      </c>
      <c r="CA193" s="14">
        <f t="shared" si="170"/>
        <v>5.6995607121061449E-12</v>
      </c>
      <c r="CB193" s="22">
        <f t="shared" si="171"/>
        <v>1.0714397109046761E-11</v>
      </c>
      <c r="CC193" s="60">
        <f t="shared" si="119"/>
        <v>293.333333333344</v>
      </c>
      <c r="CD193" s="60">
        <f ca="1">AVERAGE(OFFSET($CC$3,0,0,'Données projet'!$E$12+1,1))-AVERAGE(OFFSET($H$3,0,0,'Données projet'!$E$12+1,1))</f>
        <v>401.84375324751227</v>
      </c>
      <c r="CE193" s="60">
        <f t="shared" si="148"/>
        <v>350.39368043404164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9.8680227008854052E-2</v>
      </c>
      <c r="CM193" s="23">
        <f>EXP(-LN(2)/2)*CM192+(1-EXP(-LN(2)/2))/(LN(2)/2)*CG193*CJ193*VLOOKUP('Données projet'!$B$12,Paramètres!$A$1:$I$89,3,0)*0.475*44/12</f>
        <v>1.152560480980806E-24</v>
      </c>
      <c r="CN193" s="24">
        <f t="shared" si="172"/>
        <v>9.8680227008854052E-2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-1.1368683772161603E-13</v>
      </c>
      <c r="CU193" s="18">
        <f>CT193*VLOOKUP('Données projet'!$B$13,Paramètres!$A$1:$I$89,3,0)*VLOOKUP('Données projet'!$B$13,Paramètres!$A$1:$I$89,5,0)</f>
        <v>-6.7984728957526396E-14</v>
      </c>
      <c r="CV193" s="14" t="e">
        <f t="shared" si="173"/>
        <v>#NUM!</v>
      </c>
      <c r="CW193" s="22" t="e">
        <f t="shared" si="174"/>
        <v>#NUM!</v>
      </c>
      <c r="CX193" s="60" t="e">
        <f t="shared" si="122"/>
        <v>#NUM!</v>
      </c>
      <c r="CY193" s="60">
        <f ca="1">AVERAGE(OFFSET($CX$3,0,0,'Données projet'!$E$13+1,1))-AVERAGE(OFFSET($H$3,0,0,'Données projet'!$E$13+1,1))</f>
        <v>232.73140429491525</v>
      </c>
      <c r="CZ193" s="60">
        <f t="shared" si="150"/>
        <v>201.02719152328638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9.4287395878965369E-2</v>
      </c>
      <c r="DH193" s="23">
        <f>EXP(-LN(2)/2)*DH192+(1-EXP(-LN(2)/2))/(LN(2)/2)*DB193*DE193*VLOOKUP('Données projet'!$B$13,Paramètres!$A$1:$I$89,3,0)*0.475*44/12</f>
        <v>2.5467422743142884E-24</v>
      </c>
      <c r="DI193" s="24">
        <f t="shared" si="175"/>
        <v>9.4287395878965369E-2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>
        <f>DO193*VLOOKUP('Données projet'!$B$14,Paramètres!$A$1:$I$89,3,0)*VLOOKUP('Données projet'!$B$14,Paramètres!$A$1:$I$89,5,0)</f>
        <v>0</v>
      </c>
      <c r="DQ193" s="14" t="e">
        <f t="shared" si="176"/>
        <v>#NUM!</v>
      </c>
      <c r="DR193" s="22" t="e">
        <f t="shared" si="177"/>
        <v>#NUM!</v>
      </c>
      <c r="DS193" s="60" t="e">
        <f t="shared" si="125"/>
        <v>#NUM!</v>
      </c>
      <c r="DT193" s="60">
        <f ca="1">AVERAGE(OFFSET($DS$3,0,0,'Données projet'!$E$14+1,1))-AVERAGE(OFFSET($H$3,0,0,'Données projet'!$E$14+1,1))</f>
        <v>302.15577364214136</v>
      </c>
      <c r="DU193" s="60">
        <f t="shared" si="152"/>
        <v>197.15142751137051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-5.1159076974727213E-13</v>
      </c>
      <c r="EK193" s="18">
        <f>EJ193*VLOOKUP('Données projet'!$B$15,Paramètres!$A$1:$I$89,3,0)*VLOOKUP('Données projet'!$B$15,Paramètres!$A$1:$I$89,5,0)</f>
        <v>-5.3471467253984886E-13</v>
      </c>
      <c r="EL193" s="14" t="e">
        <f t="shared" si="179"/>
        <v>#NUM!</v>
      </c>
      <c r="EM193" s="22" t="e">
        <f t="shared" si="180"/>
        <v>#NUM!</v>
      </c>
      <c r="EN193" s="60" t="e">
        <f t="shared" si="128"/>
        <v>#NUM!</v>
      </c>
      <c r="EO193" s="60">
        <f ca="1">AVERAGE(OFFSET($EN$3,0,0,'Données projet'!$E$15+1,1))-AVERAGE(OFFSET($H$3,0,0,'Données projet'!$E$15+1,1))</f>
        <v>493.70175665335978</v>
      </c>
      <c r="EP193" s="60">
        <f t="shared" si="154"/>
        <v>325.12357781685949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0" t="e">
        <f t="shared" si="131"/>
        <v>#N/A</v>
      </c>
      <c r="FJ193" s="60" t="e">
        <f ca="1">AVERAGE(OFFSET($FI$3,0,0,'Données projet'!$E$16+1,1))-AVERAGE(OFFSET($H$3,0,0,'Données projet'!$E$16+1,1))</f>
        <v>#N/A</v>
      </c>
      <c r="FK193" s="60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0" t="e">
        <f t="shared" si="134"/>
        <v>#N/A</v>
      </c>
      <c r="GE193" s="60" t="e">
        <f ca="1">AVERAGE(OFFSET($GD$3,0,0,'Données projet'!$E$17+1,1))-AVERAGE(OFFSET($H$3,0,0,'Données projet'!$E$17+1,1))</f>
        <v>#N/A</v>
      </c>
      <c r="GF193" s="60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5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8">
        <f t="shared" si="110"/>
        <v>256.66666666666669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0">
        <f t="shared" si="109"/>
        <v>293.3333333333353</v>
      </c>
      <c r="S194" s="60">
        <f ca="1">AVERAGE(OFFSET($R$3,0,0,'Données projet'!$E$9+1,1))-AVERAGE(OFFSET($H$3,0,0,'Données projet'!$E$9+1,1))</f>
        <v>260.02504691866199</v>
      </c>
      <c r="T194" s="60">
        <f t="shared" si="142"/>
        <v>270.11268336406368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0.41268864949324618</v>
      </c>
      <c r="AA194" s="23">
        <f>EXP(-LN(2)/25)*AA193+(1-EXP(-LN(2)/25))/(LN(2)/25)*Calculateur!V194*Calculateur!X194*VLOOKUP('Données projet'!$B$9,Paramètres!$A$1:$I$89,3,0)*0.475*44/12</f>
        <v>0.18930581295508603</v>
      </c>
      <c r="AB194" s="23">
        <f>EXP(-LN(2)/2)*AB193+(1-EXP(-LN(2)/2))/(LN(2)/2)*V194*Y194*VLOOKUP('Données projet'!$B$9,Paramètres!$A$1:$I$89,3,0)*0.475*44/12</f>
        <v>3.7082749864252955E-24</v>
      </c>
      <c r="AC194" s="24">
        <f t="shared" si="163"/>
        <v>0.60199446244833221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-9.6633812063373625E-13</v>
      </c>
      <c r="AJ194" s="14">
        <f>AI194*VLOOKUP('Données projet'!$B$10,Paramètres!$A$1:$I$89,3,0)*VLOOKUP('Données projet'!$B$10,Paramètres!$A$1:$I$89,5,0)</f>
        <v>-9.7986685432260874E-13</v>
      </c>
      <c r="AK194" s="14" t="e">
        <f t="shared" si="164"/>
        <v>#NUM!</v>
      </c>
      <c r="AL194" s="22" t="e">
        <f t="shared" si="165"/>
        <v>#NUM!</v>
      </c>
      <c r="AM194" s="60" t="e">
        <f t="shared" si="113"/>
        <v>#NUM!</v>
      </c>
      <c r="AN194" s="60">
        <f ca="1">AVERAGE(OFFSET($AM$3,0,0,'Données projet'!$E$10+1,1))-AVERAGE(OFFSET($H$3,0,0,'Données projet'!$E$10+1,1))</f>
        <v>475.47920969424894</v>
      </c>
      <c r="AO194" s="60">
        <f t="shared" si="144"/>
        <v>271.73544012419364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-1.4210854715202004E-13</v>
      </c>
      <c r="BE194" s="14">
        <f>BD194*VLOOKUP('Données projet'!$B$11,Paramètres!$A$1:$I$89,3,0)*VLOOKUP('Données projet'!$B$11,Paramètres!$A$1:$I$89,5,0)</f>
        <v>-1.2857981346314773E-13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325.2649384779973</v>
      </c>
      <c r="BJ194" s="60">
        <f t="shared" si="146"/>
        <v>146.70159365068315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1.0231815394945443E-12</v>
      </c>
      <c r="BZ194" s="14">
        <f>BY194*VLOOKUP('Données projet'!$B$12,Paramètres!$A$1:$I$89,3,0)*VLOOKUP('Données projet'!$B$12,Paramètres!$A$1:$I$89,5,0)</f>
        <v>4.5224624045658859E-13</v>
      </c>
      <c r="CA194" s="14">
        <f t="shared" si="170"/>
        <v>5.6995607121061449E-12</v>
      </c>
      <c r="CB194" s="22">
        <f t="shared" si="171"/>
        <v>1.0714397109046761E-11</v>
      </c>
      <c r="CC194" s="60">
        <f t="shared" si="119"/>
        <v>293.333333333344</v>
      </c>
      <c r="CD194" s="60">
        <f ca="1">AVERAGE(OFFSET($CC$3,0,0,'Données projet'!$E$12+1,1))-AVERAGE(OFFSET($H$3,0,0,'Données projet'!$E$12+1,1))</f>
        <v>401.84375324751227</v>
      </c>
      <c r="CE194" s="60">
        <f t="shared" si="148"/>
        <v>350.39368043404164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9.5981811011929333E-2</v>
      </c>
      <c r="CM194" s="23">
        <f>EXP(-LN(2)/2)*CM193+(1-EXP(-LN(2)/2))/(LN(2)/2)*CG194*CJ194*VLOOKUP('Données projet'!$B$12,Paramètres!$A$1:$I$89,3,0)*0.475*44/12</f>
        <v>8.1498333182915684E-25</v>
      </c>
      <c r="CN194" s="24">
        <f t="shared" si="172"/>
        <v>9.5981811011929333E-2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-1.1368683772161603E-13</v>
      </c>
      <c r="CU194" s="18">
        <f>CT194*VLOOKUP('Données projet'!$B$13,Paramètres!$A$1:$I$89,3,0)*VLOOKUP('Données projet'!$B$13,Paramètres!$A$1:$I$89,5,0)</f>
        <v>-6.7984728957526396E-14</v>
      </c>
      <c r="CV194" s="14" t="e">
        <f t="shared" si="173"/>
        <v>#NUM!</v>
      </c>
      <c r="CW194" s="22" t="e">
        <f t="shared" si="174"/>
        <v>#NUM!</v>
      </c>
      <c r="CX194" s="60" t="e">
        <f t="shared" si="122"/>
        <v>#NUM!</v>
      </c>
      <c r="CY194" s="60">
        <f ca="1">AVERAGE(OFFSET($CX$3,0,0,'Données projet'!$E$13+1,1))-AVERAGE(OFFSET($H$3,0,0,'Données projet'!$E$13+1,1))</f>
        <v>232.73140429491525</v>
      </c>
      <c r="CZ194" s="60">
        <f t="shared" si="150"/>
        <v>201.02719152328638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9.1709102080296409E-2</v>
      </c>
      <c r="DH194" s="23">
        <f>EXP(-LN(2)/2)*DH193+(1-EXP(-LN(2)/2))/(LN(2)/2)*DB194*DE194*VLOOKUP('Données projet'!$B$13,Paramètres!$A$1:$I$89,3,0)*0.475*44/12</f>
        <v>1.8008187321020839E-24</v>
      </c>
      <c r="DI194" s="24">
        <f t="shared" si="175"/>
        <v>9.1709102080296409E-2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>
        <f>DO194*VLOOKUP('Données projet'!$B$14,Paramètres!$A$1:$I$89,3,0)*VLOOKUP('Données projet'!$B$14,Paramètres!$A$1:$I$89,5,0)</f>
        <v>0</v>
      </c>
      <c r="DQ194" s="14" t="e">
        <f t="shared" si="176"/>
        <v>#NUM!</v>
      </c>
      <c r="DR194" s="22" t="e">
        <f t="shared" si="177"/>
        <v>#NUM!</v>
      </c>
      <c r="DS194" s="60" t="e">
        <f t="shared" si="125"/>
        <v>#NUM!</v>
      </c>
      <c r="DT194" s="60">
        <f ca="1">AVERAGE(OFFSET($DS$3,0,0,'Données projet'!$E$14+1,1))-AVERAGE(OFFSET($H$3,0,0,'Données projet'!$E$14+1,1))</f>
        <v>302.15577364214136</v>
      </c>
      <c r="DU194" s="60">
        <f t="shared" si="152"/>
        <v>197.15142751137051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-5.1159076974727213E-13</v>
      </c>
      <c r="EK194" s="18">
        <f>EJ194*VLOOKUP('Données projet'!$B$15,Paramètres!$A$1:$I$89,3,0)*VLOOKUP('Données projet'!$B$15,Paramètres!$A$1:$I$89,5,0)</f>
        <v>-5.3471467253984886E-13</v>
      </c>
      <c r="EL194" s="14" t="e">
        <f t="shared" si="179"/>
        <v>#NUM!</v>
      </c>
      <c r="EM194" s="22" t="e">
        <f t="shared" si="180"/>
        <v>#NUM!</v>
      </c>
      <c r="EN194" s="60" t="e">
        <f t="shared" si="128"/>
        <v>#NUM!</v>
      </c>
      <c r="EO194" s="60">
        <f ca="1">AVERAGE(OFFSET($EN$3,0,0,'Données projet'!$E$15+1,1))-AVERAGE(OFFSET($H$3,0,0,'Données projet'!$E$15+1,1))</f>
        <v>493.70175665335978</v>
      </c>
      <c r="EP194" s="60">
        <f t="shared" si="154"/>
        <v>325.12357781685949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0" t="e">
        <f t="shared" si="131"/>
        <v>#N/A</v>
      </c>
      <c r="FJ194" s="60" t="e">
        <f ca="1">AVERAGE(OFFSET($FI$3,0,0,'Données projet'!$E$16+1,1))-AVERAGE(OFFSET($H$3,0,0,'Données projet'!$E$16+1,1))</f>
        <v>#N/A</v>
      </c>
      <c r="FK194" s="60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0" t="e">
        <f t="shared" si="134"/>
        <v>#N/A</v>
      </c>
      <c r="GE194" s="60" t="e">
        <f ca="1">AVERAGE(OFFSET($GD$3,0,0,'Données projet'!$E$17+1,1))-AVERAGE(OFFSET($H$3,0,0,'Données projet'!$E$17+1,1))</f>
        <v>#N/A</v>
      </c>
      <c r="GF194" s="60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5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8">
        <f t="shared" si="110"/>
        <v>256.66666666666669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0">
        <f t="shared" ref="R195:R203" si="191">Q195+(I195+J195)*44/12</f>
        <v>293.3333333333353</v>
      </c>
      <c r="S195" s="60">
        <f ca="1">AVERAGE(OFFSET($R$3,0,0,'Données projet'!$E$9+1,1))-AVERAGE(OFFSET($H$3,0,0,'Données projet'!$E$9+1,1))</f>
        <v>260.02504691866199</v>
      </c>
      <c r="T195" s="60">
        <f t="shared" si="142"/>
        <v>270.11268336406368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0.40459607679190501</v>
      </c>
      <c r="AA195" s="23">
        <f>EXP(-LN(2)/25)*AA194+(1-EXP(-LN(2)/25))/(LN(2)/25)*Calculateur!V195*Calculateur!X195*VLOOKUP('Données projet'!$B$9,Paramètres!$A$1:$I$89,3,0)*0.475*44/12</f>
        <v>0.18412923554466917</v>
      </c>
      <c r="AB195" s="23">
        <f>EXP(-LN(2)/2)*AB194+(1-EXP(-LN(2)/2))/(LN(2)/2)*V195*Y195*VLOOKUP('Données projet'!$B$9,Paramètres!$A$1:$I$89,3,0)*0.475*44/12</f>
        <v>2.6221463894057789E-24</v>
      </c>
      <c r="AC195" s="24">
        <f t="shared" si="163"/>
        <v>0.58872531233657421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-9.6633812063373625E-13</v>
      </c>
      <c r="AJ195" s="14">
        <f>AI195*VLOOKUP('Données projet'!$B$10,Paramètres!$A$1:$I$89,3,0)*VLOOKUP('Données projet'!$B$10,Paramètres!$A$1:$I$89,5,0)</f>
        <v>-9.7986685432260874E-13</v>
      </c>
      <c r="AK195" s="14" t="e">
        <f t="shared" si="164"/>
        <v>#NUM!</v>
      </c>
      <c r="AL195" s="22" t="e">
        <f t="shared" si="165"/>
        <v>#NUM!</v>
      </c>
      <c r="AM195" s="60" t="e">
        <f t="shared" si="113"/>
        <v>#NUM!</v>
      </c>
      <c r="AN195" s="60">
        <f ca="1">AVERAGE(OFFSET($AM$3,0,0,'Données projet'!$E$10+1,1))-AVERAGE(OFFSET($H$3,0,0,'Données projet'!$E$10+1,1))</f>
        <v>475.47920969424894</v>
      </c>
      <c r="AO195" s="60">
        <f t="shared" si="144"/>
        <v>271.73544012419364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-1.4210854715202004E-13</v>
      </c>
      <c r="BE195" s="14">
        <f>BD195*VLOOKUP('Données projet'!$B$11,Paramètres!$A$1:$I$89,3,0)*VLOOKUP('Données projet'!$B$11,Paramètres!$A$1:$I$89,5,0)</f>
        <v>-1.2857981346314773E-13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325.2649384779973</v>
      </c>
      <c r="BJ195" s="60">
        <f t="shared" si="146"/>
        <v>146.70159365068315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1.0231815394945443E-12</v>
      </c>
      <c r="BZ195" s="14">
        <f>BY195*VLOOKUP('Données projet'!$B$12,Paramètres!$A$1:$I$89,3,0)*VLOOKUP('Données projet'!$B$12,Paramètres!$A$1:$I$89,5,0)</f>
        <v>4.5224624045658859E-13</v>
      </c>
      <c r="CA195" s="14">
        <f t="shared" si="170"/>
        <v>5.6995607121061449E-12</v>
      </c>
      <c r="CB195" s="22">
        <f t="shared" si="171"/>
        <v>1.0714397109046761E-11</v>
      </c>
      <c r="CC195" s="60">
        <f t="shared" si="119"/>
        <v>293.333333333344</v>
      </c>
      <c r="CD195" s="60">
        <f ca="1">AVERAGE(OFFSET($CC$3,0,0,'Données projet'!$E$12+1,1))-AVERAGE(OFFSET($H$3,0,0,'Données projet'!$E$12+1,1))</f>
        <v>401.84375324751227</v>
      </c>
      <c r="CE195" s="60">
        <f t="shared" si="148"/>
        <v>350.39368043404164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9.3357183342344052E-2</v>
      </c>
      <c r="CM195" s="23">
        <f>EXP(-LN(2)/2)*CM194+(1-EXP(-LN(2)/2))/(LN(2)/2)*CG195*CJ195*VLOOKUP('Données projet'!$B$12,Paramètres!$A$1:$I$89,3,0)*0.475*44/12</f>
        <v>5.7628024049040308E-25</v>
      </c>
      <c r="CN195" s="24">
        <f t="shared" si="172"/>
        <v>9.3357183342344052E-2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-1.1368683772161603E-13</v>
      </c>
      <c r="CU195" s="18">
        <f>CT195*VLOOKUP('Données projet'!$B$13,Paramètres!$A$1:$I$89,3,0)*VLOOKUP('Données projet'!$B$13,Paramètres!$A$1:$I$89,5,0)</f>
        <v>-6.7984728957526396E-14</v>
      </c>
      <c r="CV195" s="14" t="e">
        <f t="shared" si="173"/>
        <v>#NUM!</v>
      </c>
      <c r="CW195" s="22" t="e">
        <f t="shared" si="174"/>
        <v>#NUM!</v>
      </c>
      <c r="CX195" s="60" t="e">
        <f t="shared" si="122"/>
        <v>#NUM!</v>
      </c>
      <c r="CY195" s="60">
        <f ca="1">AVERAGE(OFFSET($CX$3,0,0,'Données projet'!$E$13+1,1))-AVERAGE(OFFSET($H$3,0,0,'Données projet'!$E$13+1,1))</f>
        <v>232.73140429491525</v>
      </c>
      <c r="CZ195" s="60">
        <f t="shared" si="150"/>
        <v>201.02719152328638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8.9201311861138624E-2</v>
      </c>
      <c r="DH195" s="23">
        <f>EXP(-LN(2)/2)*DH194+(1-EXP(-LN(2)/2))/(LN(2)/2)*DB195*DE195*VLOOKUP('Données projet'!$B$13,Paramètres!$A$1:$I$89,3,0)*0.475*44/12</f>
        <v>1.2733711371571442E-24</v>
      </c>
      <c r="DI195" s="24">
        <f t="shared" si="175"/>
        <v>8.9201311861138624E-2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>
        <f>DO195*VLOOKUP('Données projet'!$B$14,Paramètres!$A$1:$I$89,3,0)*VLOOKUP('Données projet'!$B$14,Paramètres!$A$1:$I$89,5,0)</f>
        <v>0</v>
      </c>
      <c r="DQ195" s="14" t="e">
        <f t="shared" si="176"/>
        <v>#NUM!</v>
      </c>
      <c r="DR195" s="22" t="e">
        <f t="shared" si="177"/>
        <v>#NUM!</v>
      </c>
      <c r="DS195" s="60" t="e">
        <f t="shared" si="125"/>
        <v>#NUM!</v>
      </c>
      <c r="DT195" s="60">
        <f ca="1">AVERAGE(OFFSET($DS$3,0,0,'Données projet'!$E$14+1,1))-AVERAGE(OFFSET($H$3,0,0,'Données projet'!$E$14+1,1))</f>
        <v>302.15577364214136</v>
      </c>
      <c r="DU195" s="60">
        <f t="shared" si="152"/>
        <v>197.15142751137051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-5.1159076974727213E-13</v>
      </c>
      <c r="EK195" s="18">
        <f>EJ195*VLOOKUP('Données projet'!$B$15,Paramètres!$A$1:$I$89,3,0)*VLOOKUP('Données projet'!$B$15,Paramètres!$A$1:$I$89,5,0)</f>
        <v>-5.3471467253984886E-13</v>
      </c>
      <c r="EL195" s="14" t="e">
        <f t="shared" si="179"/>
        <v>#NUM!</v>
      </c>
      <c r="EM195" s="22" t="e">
        <f t="shared" si="180"/>
        <v>#NUM!</v>
      </c>
      <c r="EN195" s="60" t="e">
        <f t="shared" si="128"/>
        <v>#NUM!</v>
      </c>
      <c r="EO195" s="60">
        <f ca="1">AVERAGE(OFFSET($EN$3,0,0,'Données projet'!$E$15+1,1))-AVERAGE(OFFSET($H$3,0,0,'Données projet'!$E$15+1,1))</f>
        <v>493.70175665335978</v>
      </c>
      <c r="EP195" s="60">
        <f t="shared" si="154"/>
        <v>325.12357781685949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0" t="e">
        <f t="shared" si="131"/>
        <v>#N/A</v>
      </c>
      <c r="FJ195" s="60" t="e">
        <f ca="1">AVERAGE(OFFSET($FI$3,0,0,'Données projet'!$E$16+1,1))-AVERAGE(OFFSET($H$3,0,0,'Données projet'!$E$16+1,1))</f>
        <v>#N/A</v>
      </c>
      <c r="FK195" s="60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0" t="e">
        <f t="shared" si="134"/>
        <v>#N/A</v>
      </c>
      <c r="GE195" s="60" t="e">
        <f ca="1">AVERAGE(OFFSET($GD$3,0,0,'Données projet'!$E$17+1,1))-AVERAGE(OFFSET($H$3,0,0,'Données projet'!$E$17+1,1))</f>
        <v>#N/A</v>
      </c>
      <c r="GF195" s="60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5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8">
        <f t="shared" ref="H196:H203" si="192">(B196+E196+F196)*44/12+(C196+D196)*0.475*44/12</f>
        <v>256.66666666666669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0">
        <f t="shared" si="191"/>
        <v>293.3333333333353</v>
      </c>
      <c r="S196" s="60">
        <f ca="1">AVERAGE(OFFSET($R$3,0,0,'Données projet'!$E$9+1,1))-AVERAGE(OFFSET($H$3,0,0,'Données projet'!$E$9+1,1))</f>
        <v>260.02504691866199</v>
      </c>
      <c r="T196" s="60">
        <f t="shared" si="142"/>
        <v>270.11268336406368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0.39666219450525519</v>
      </c>
      <c r="AA196" s="23">
        <f>EXP(-LN(2)/25)*AA195+(1-EXP(-LN(2)/25))/(LN(2)/25)*Calculateur!V196*Calculateur!X196*VLOOKUP('Données projet'!$B$9,Paramètres!$A$1:$I$89,3,0)*0.475*44/12</f>
        <v>0.17909421191576452</v>
      </c>
      <c r="AB196" s="23">
        <f>EXP(-LN(2)/2)*AB195+(1-EXP(-LN(2)/2))/(LN(2)/2)*V196*Y196*VLOOKUP('Données projet'!$B$9,Paramètres!$A$1:$I$89,3,0)*0.475*44/12</f>
        <v>1.8541374932126477E-24</v>
      </c>
      <c r="AC196" s="24">
        <f t="shared" si="163"/>
        <v>0.57575640642101966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-9.6633812063373625E-13</v>
      </c>
      <c r="AJ196" s="14">
        <f>AI196*VLOOKUP('Données projet'!$B$10,Paramètres!$A$1:$I$89,3,0)*VLOOKUP('Données projet'!$B$10,Paramètres!$A$1:$I$89,5,0)</f>
        <v>-9.7986685432260874E-13</v>
      </c>
      <c r="AK196" s="14" t="e">
        <f t="shared" si="164"/>
        <v>#NUM!</v>
      </c>
      <c r="AL196" s="22" t="e">
        <f t="shared" si="165"/>
        <v>#NUM!</v>
      </c>
      <c r="AM196" s="60" t="e">
        <f t="shared" ref="AM196:AM203" si="193">AL196+(AD196+AE196)*44/12</f>
        <v>#NUM!</v>
      </c>
      <c r="AN196" s="60">
        <f ca="1">AVERAGE(OFFSET($AM$3,0,0,'Données projet'!$E$10+1,1))-AVERAGE(OFFSET($H$3,0,0,'Données projet'!$E$10+1,1))</f>
        <v>475.47920969424894</v>
      </c>
      <c r="AO196" s="60">
        <f t="shared" si="144"/>
        <v>271.73544012419364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-1.4210854715202004E-13</v>
      </c>
      <c r="BE196" s="14">
        <f>BD196*VLOOKUP('Données projet'!$B$11,Paramètres!$A$1:$I$89,3,0)*VLOOKUP('Données projet'!$B$11,Paramètres!$A$1:$I$89,5,0)</f>
        <v>-1.2857981346314773E-13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325.2649384779973</v>
      </c>
      <c r="BJ196" s="60">
        <f t="shared" si="146"/>
        <v>146.70159365068315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1.0231815394945443E-12</v>
      </c>
      <c r="BZ196" s="14">
        <f>BY196*VLOOKUP('Données projet'!$B$12,Paramètres!$A$1:$I$89,3,0)*VLOOKUP('Données projet'!$B$12,Paramètres!$A$1:$I$89,5,0)</f>
        <v>4.5224624045658859E-13</v>
      </c>
      <c r="CA196" s="14">
        <f t="shared" si="170"/>
        <v>5.6995607121061449E-12</v>
      </c>
      <c r="CB196" s="22">
        <f t="shared" si="171"/>
        <v>1.0714397109046761E-11</v>
      </c>
      <c r="CC196" s="60">
        <f t="shared" ref="CC196:CC203" si="195">CB196+(BT196+BU196)*44/12</f>
        <v>293.333333333344</v>
      </c>
      <c r="CD196" s="60">
        <f ca="1">AVERAGE(OFFSET($CC$3,0,0,'Données projet'!$E$12+1,1))-AVERAGE(OFFSET($H$3,0,0,'Données projet'!$E$12+1,1))</f>
        <v>401.84375324751227</v>
      </c>
      <c r="CE196" s="60">
        <f t="shared" si="148"/>
        <v>350.39368043404164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9.080432625440675E-2</v>
      </c>
      <c r="CM196" s="23">
        <f>EXP(-LN(2)/2)*CM195+(1-EXP(-LN(2)/2))/(LN(2)/2)*CG196*CJ196*VLOOKUP('Données projet'!$B$12,Paramètres!$A$1:$I$89,3,0)*0.475*44/12</f>
        <v>4.0749166591457846E-25</v>
      </c>
      <c r="CN196" s="24">
        <f t="shared" si="172"/>
        <v>9.080432625440675E-2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-1.1368683772161603E-13</v>
      </c>
      <c r="CU196" s="18">
        <f>CT196*VLOOKUP('Données projet'!$B$13,Paramètres!$A$1:$I$89,3,0)*VLOOKUP('Données projet'!$B$13,Paramètres!$A$1:$I$89,5,0)</f>
        <v>-6.7984728957526396E-14</v>
      </c>
      <c r="CV196" s="14" t="e">
        <f t="shared" si="173"/>
        <v>#NUM!</v>
      </c>
      <c r="CW196" s="22" t="e">
        <f t="shared" si="174"/>
        <v>#NUM!</v>
      </c>
      <c r="CX196" s="60" t="e">
        <f t="shared" ref="CX196:CX203" si="196">CW196+(CO196+CP196)*44/12</f>
        <v>#NUM!</v>
      </c>
      <c r="CY196" s="60">
        <f ca="1">AVERAGE(OFFSET($CX$3,0,0,'Données projet'!$E$13+1,1))-AVERAGE(OFFSET($H$3,0,0,'Données projet'!$E$13+1,1))</f>
        <v>232.73140429491525</v>
      </c>
      <c r="CZ196" s="60">
        <f t="shared" si="150"/>
        <v>201.02719152328638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8.6762097297402668E-2</v>
      </c>
      <c r="DH196" s="23">
        <f>EXP(-LN(2)/2)*DH195+(1-EXP(-LN(2)/2))/(LN(2)/2)*DB196*DE196*VLOOKUP('Données projet'!$B$13,Paramètres!$A$1:$I$89,3,0)*0.475*44/12</f>
        <v>9.0040936605104195E-25</v>
      </c>
      <c r="DI196" s="24">
        <f t="shared" si="175"/>
        <v>8.6762097297402668E-2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>
        <f>DO196*VLOOKUP('Données projet'!$B$14,Paramètres!$A$1:$I$89,3,0)*VLOOKUP('Données projet'!$B$14,Paramètres!$A$1:$I$89,5,0)</f>
        <v>0</v>
      </c>
      <c r="DQ196" s="14" t="e">
        <f t="shared" si="176"/>
        <v>#NUM!</v>
      </c>
      <c r="DR196" s="22" t="e">
        <f t="shared" si="177"/>
        <v>#NUM!</v>
      </c>
      <c r="DS196" s="60" t="e">
        <f t="shared" ref="DS196:DS203" si="197">DR196+(DJ196+DK196)*44/12</f>
        <v>#NUM!</v>
      </c>
      <c r="DT196" s="60">
        <f ca="1">AVERAGE(OFFSET($DS$3,0,0,'Données projet'!$E$14+1,1))-AVERAGE(OFFSET($H$3,0,0,'Données projet'!$E$14+1,1))</f>
        <v>302.15577364214136</v>
      </c>
      <c r="DU196" s="60">
        <f t="shared" si="152"/>
        <v>197.15142751137051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-5.1159076974727213E-13</v>
      </c>
      <c r="EK196" s="18">
        <f>EJ196*VLOOKUP('Données projet'!$B$15,Paramètres!$A$1:$I$89,3,0)*VLOOKUP('Données projet'!$B$15,Paramètres!$A$1:$I$89,5,0)</f>
        <v>-5.3471467253984886E-13</v>
      </c>
      <c r="EL196" s="14" t="e">
        <f t="shared" si="179"/>
        <v>#NUM!</v>
      </c>
      <c r="EM196" s="22" t="e">
        <f t="shared" si="180"/>
        <v>#NUM!</v>
      </c>
      <c r="EN196" s="60" t="e">
        <f t="shared" ref="EN196:EN203" si="198">EM196+(EE196+EF196)*44/12</f>
        <v>#NUM!</v>
      </c>
      <c r="EO196" s="60">
        <f ca="1">AVERAGE(OFFSET($EN$3,0,0,'Données projet'!$E$15+1,1))-AVERAGE(OFFSET($H$3,0,0,'Données projet'!$E$15+1,1))</f>
        <v>493.70175665335978</v>
      </c>
      <c r="EP196" s="60">
        <f t="shared" si="154"/>
        <v>325.12357781685949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0" t="e">
        <f t="shared" ref="FI196:FI203" si="199">FH196+(EZ196+FA196)*44/12</f>
        <v>#N/A</v>
      </c>
      <c r="FJ196" s="60" t="e">
        <f ca="1">AVERAGE(OFFSET($FI$3,0,0,'Données projet'!$E$16+1,1))-AVERAGE(OFFSET($H$3,0,0,'Données projet'!$E$16+1,1))</f>
        <v>#N/A</v>
      </c>
      <c r="FK196" s="60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0" t="e">
        <f t="shared" ref="GD196:GD203" si="200">GC196+(FU196+FV196)*44/12</f>
        <v>#N/A</v>
      </c>
      <c r="GE196" s="60" t="e">
        <f ca="1">AVERAGE(OFFSET($GD$3,0,0,'Données projet'!$E$17+1,1))-AVERAGE(OFFSET($H$3,0,0,'Données projet'!$E$17+1,1))</f>
        <v>#N/A</v>
      </c>
      <c r="GF196" s="60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5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8">
        <f t="shared" si="192"/>
        <v>256.66666666666669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0">
        <f t="shared" si="191"/>
        <v>293.3333333333353</v>
      </c>
      <c r="S197" s="60">
        <f ca="1">AVERAGE(OFFSET($R$3,0,0,'Données projet'!$E$9+1,1))-AVERAGE(OFFSET($H$3,0,0,'Données projet'!$E$9+1,1))</f>
        <v>260.02504691866199</v>
      </c>
      <c r="T197" s="60">
        <f t="shared" ref="T197:T203" si="204">$T$3</f>
        <v>270.11268336406368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0.38888389081105618</v>
      </c>
      <c r="AA197" s="23">
        <f>EXP(-LN(2)/25)*AA196+(1-EXP(-LN(2)/25))/(LN(2)/25)*Calculateur!V197*Calculateur!X197*VLOOKUP('Données projet'!$B$9,Paramètres!$A$1:$I$89,3,0)*0.475*44/12</f>
        <v>0.17419687127277267</v>
      </c>
      <c r="AB197" s="23">
        <f>EXP(-LN(2)/2)*AB196+(1-EXP(-LN(2)/2))/(LN(2)/2)*V197*Y197*VLOOKUP('Données projet'!$B$9,Paramètres!$A$1:$I$89,3,0)*0.475*44/12</f>
        <v>1.3110731947028895E-24</v>
      </c>
      <c r="AC197" s="24">
        <f t="shared" si="163"/>
        <v>0.56308076208382885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-9.6633812063373625E-13</v>
      </c>
      <c r="AJ197" s="14">
        <f>AI197*VLOOKUP('Données projet'!$B$10,Paramètres!$A$1:$I$89,3,0)*VLOOKUP('Données projet'!$B$10,Paramètres!$A$1:$I$89,5,0)</f>
        <v>-9.7986685432260874E-13</v>
      </c>
      <c r="AK197" s="14" t="e">
        <f t="shared" si="164"/>
        <v>#NUM!</v>
      </c>
      <c r="AL197" s="22" t="e">
        <f t="shared" si="165"/>
        <v>#NUM!</v>
      </c>
      <c r="AM197" s="60" t="e">
        <f t="shared" si="193"/>
        <v>#NUM!</v>
      </c>
      <c r="AN197" s="60">
        <f ca="1">AVERAGE(OFFSET($AM$3,0,0,'Données projet'!$E$10+1,1))-AVERAGE(OFFSET($H$3,0,0,'Données projet'!$E$10+1,1))</f>
        <v>475.47920969424894</v>
      </c>
      <c r="AO197" s="60">
        <f t="shared" ref="AO197:AO203" si="205">$AO$3</f>
        <v>271.73544012419364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-1.4210854715202004E-13</v>
      </c>
      <c r="BE197" s="14">
        <f>BD197*VLOOKUP('Données projet'!$B$11,Paramètres!$A$1:$I$89,3,0)*VLOOKUP('Données projet'!$B$11,Paramètres!$A$1:$I$89,5,0)</f>
        <v>-1.2857981346314773E-13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325.2649384779973</v>
      </c>
      <c r="BJ197" s="60">
        <f t="shared" ref="BJ197:BJ203" si="206">$BJ$3</f>
        <v>146.70159365068315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1.0231815394945443E-12</v>
      </c>
      <c r="BZ197" s="14">
        <f>BY197*VLOOKUP('Données projet'!$B$12,Paramètres!$A$1:$I$89,3,0)*VLOOKUP('Données projet'!$B$12,Paramètres!$A$1:$I$89,5,0)</f>
        <v>4.5224624045658859E-13</v>
      </c>
      <c r="CA197" s="14">
        <f t="shared" si="170"/>
        <v>5.6995607121061449E-12</v>
      </c>
      <c r="CB197" s="22">
        <f t="shared" si="171"/>
        <v>1.0714397109046761E-11</v>
      </c>
      <c r="CC197" s="60">
        <f t="shared" si="195"/>
        <v>293.333333333344</v>
      </c>
      <c r="CD197" s="60">
        <f ca="1">AVERAGE(OFFSET($CC$3,0,0,'Données projet'!$E$12+1,1))-AVERAGE(OFFSET($H$3,0,0,'Données projet'!$E$12+1,1))</f>
        <v>401.84375324751227</v>
      </c>
      <c r="CE197" s="60">
        <f t="shared" ref="CE197:CE203" si="207">$CE$3</f>
        <v>350.39368043404164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8.832127717778801E-2</v>
      </c>
      <c r="CM197" s="23">
        <f>EXP(-LN(2)/2)*CM196+(1-EXP(-LN(2)/2))/(LN(2)/2)*CG197*CJ197*VLOOKUP('Données projet'!$B$12,Paramètres!$A$1:$I$89,3,0)*0.475*44/12</f>
        <v>2.8814012024520159E-25</v>
      </c>
      <c r="CN197" s="24">
        <f t="shared" si="172"/>
        <v>8.832127717778801E-2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-1.1368683772161603E-13</v>
      </c>
      <c r="CU197" s="18">
        <f>CT197*VLOOKUP('Données projet'!$B$13,Paramètres!$A$1:$I$89,3,0)*VLOOKUP('Données projet'!$B$13,Paramètres!$A$1:$I$89,5,0)</f>
        <v>-6.7984728957526396E-14</v>
      </c>
      <c r="CV197" s="14" t="e">
        <f t="shared" si="173"/>
        <v>#NUM!</v>
      </c>
      <c r="CW197" s="22" t="e">
        <f t="shared" si="174"/>
        <v>#NUM!</v>
      </c>
      <c r="CX197" s="60" t="e">
        <f t="shared" si="196"/>
        <v>#NUM!</v>
      </c>
      <c r="CY197" s="60">
        <f ca="1">AVERAGE(OFFSET($CX$3,0,0,'Données projet'!$E$13+1,1))-AVERAGE(OFFSET($H$3,0,0,'Données projet'!$E$13+1,1))</f>
        <v>232.73140429491525</v>
      </c>
      <c r="CZ197" s="60">
        <f t="shared" ref="CZ197:CZ203" si="208">$CZ$3</f>
        <v>201.02719152328638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8.4389583184184797E-2</v>
      </c>
      <c r="DH197" s="23">
        <f>EXP(-LN(2)/2)*DH196+(1-EXP(-LN(2)/2))/(LN(2)/2)*DB197*DE197*VLOOKUP('Données projet'!$B$13,Paramètres!$A$1:$I$89,3,0)*0.475*44/12</f>
        <v>6.366855685785721E-25</v>
      </c>
      <c r="DI197" s="24">
        <f t="shared" si="175"/>
        <v>8.4389583184184797E-2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>
        <f>DO197*VLOOKUP('Données projet'!$B$14,Paramètres!$A$1:$I$89,3,0)*VLOOKUP('Données projet'!$B$14,Paramètres!$A$1:$I$89,5,0)</f>
        <v>0</v>
      </c>
      <c r="DQ197" s="14" t="e">
        <f t="shared" si="176"/>
        <v>#NUM!</v>
      </c>
      <c r="DR197" s="22" t="e">
        <f t="shared" si="177"/>
        <v>#NUM!</v>
      </c>
      <c r="DS197" s="60" t="e">
        <f t="shared" si="197"/>
        <v>#NUM!</v>
      </c>
      <c r="DT197" s="60">
        <f ca="1">AVERAGE(OFFSET($DS$3,0,0,'Données projet'!$E$14+1,1))-AVERAGE(OFFSET($H$3,0,0,'Données projet'!$E$14+1,1))</f>
        <v>302.15577364214136</v>
      </c>
      <c r="DU197" s="60">
        <f t="shared" ref="DU197:DU203" si="209">$DU$3</f>
        <v>197.15142751137051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-5.1159076974727213E-13</v>
      </c>
      <c r="EK197" s="18">
        <f>EJ197*VLOOKUP('Données projet'!$B$15,Paramètres!$A$1:$I$89,3,0)*VLOOKUP('Données projet'!$B$15,Paramètres!$A$1:$I$89,5,0)</f>
        <v>-5.3471467253984886E-13</v>
      </c>
      <c r="EL197" s="14" t="e">
        <f t="shared" si="179"/>
        <v>#NUM!</v>
      </c>
      <c r="EM197" s="22" t="e">
        <f t="shared" si="180"/>
        <v>#NUM!</v>
      </c>
      <c r="EN197" s="60" t="e">
        <f t="shared" si="198"/>
        <v>#NUM!</v>
      </c>
      <c r="EO197" s="60">
        <f ca="1">AVERAGE(OFFSET($EN$3,0,0,'Données projet'!$E$15+1,1))-AVERAGE(OFFSET($H$3,0,0,'Données projet'!$E$15+1,1))</f>
        <v>493.70175665335978</v>
      </c>
      <c r="EP197" s="60">
        <f t="shared" ref="EP197:EP203" si="210">$EP$3</f>
        <v>325.12357781685949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0" t="e">
        <f t="shared" si="199"/>
        <v>#N/A</v>
      </c>
      <c r="FJ197" s="60" t="e">
        <f ca="1">AVERAGE(OFFSET($FI$3,0,0,'Données projet'!$E$16+1,1))-AVERAGE(OFFSET($H$3,0,0,'Données projet'!$E$16+1,1))</f>
        <v>#N/A</v>
      </c>
      <c r="FK197" s="60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0" t="e">
        <f t="shared" si="200"/>
        <v>#N/A</v>
      </c>
      <c r="GE197" s="60" t="e">
        <f ca="1">AVERAGE(OFFSET($GD$3,0,0,'Données projet'!$E$17+1,1))-AVERAGE(OFFSET($H$3,0,0,'Données projet'!$E$17+1,1))</f>
        <v>#N/A</v>
      </c>
      <c r="GF197" s="60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5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8">
        <f t="shared" si="192"/>
        <v>256.66666666666669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0">
        <f t="shared" si="191"/>
        <v>293.3333333333353</v>
      </c>
      <c r="S198" s="60">
        <f ca="1">AVERAGE(OFFSET($R$3,0,0,'Données projet'!$E$9+1,1))-AVERAGE(OFFSET($H$3,0,0,'Données projet'!$E$9+1,1))</f>
        <v>260.02504691866199</v>
      </c>
      <c r="T198" s="60">
        <f t="shared" si="204"/>
        <v>270.11268336406368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0.3812581149080036</v>
      </c>
      <c r="AA198" s="23">
        <f>EXP(-LN(2)/25)*AA197+(1-EXP(-LN(2)/25))/(LN(2)/25)*Calculateur!V198*Calculateur!X198*VLOOKUP('Données projet'!$B$9,Paramètres!$A$1:$I$89,3,0)*0.475*44/12</f>
        <v>0.16943344866720336</v>
      </c>
      <c r="AB198" s="23">
        <f>EXP(-LN(2)/2)*AB197+(1-EXP(-LN(2)/2))/(LN(2)/2)*V198*Y198*VLOOKUP('Données projet'!$B$9,Paramètres!$A$1:$I$89,3,0)*0.475*44/12</f>
        <v>9.2706874660632387E-25</v>
      </c>
      <c r="AC198" s="24">
        <f t="shared" si="163"/>
        <v>0.55069156357520699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-9.6633812063373625E-13</v>
      </c>
      <c r="AJ198" s="14">
        <f>AI198*VLOOKUP('Données projet'!$B$10,Paramètres!$A$1:$I$89,3,0)*VLOOKUP('Données projet'!$B$10,Paramètres!$A$1:$I$89,5,0)</f>
        <v>-9.7986685432260874E-13</v>
      </c>
      <c r="AK198" s="14" t="e">
        <f t="shared" si="164"/>
        <v>#NUM!</v>
      </c>
      <c r="AL198" s="22" t="e">
        <f t="shared" si="165"/>
        <v>#NUM!</v>
      </c>
      <c r="AM198" s="60" t="e">
        <f t="shared" si="193"/>
        <v>#NUM!</v>
      </c>
      <c r="AN198" s="60">
        <f ca="1">AVERAGE(OFFSET($AM$3,0,0,'Données projet'!$E$10+1,1))-AVERAGE(OFFSET($H$3,0,0,'Données projet'!$E$10+1,1))</f>
        <v>475.47920969424894</v>
      </c>
      <c r="AO198" s="60">
        <f t="shared" si="205"/>
        <v>271.73544012419364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-1.4210854715202004E-13</v>
      </c>
      <c r="BE198" s="14">
        <f>BD198*VLOOKUP('Données projet'!$B$11,Paramètres!$A$1:$I$89,3,0)*VLOOKUP('Données projet'!$B$11,Paramètres!$A$1:$I$89,5,0)</f>
        <v>-1.2857981346314773E-13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325.2649384779973</v>
      </c>
      <c r="BJ198" s="60">
        <f t="shared" si="206"/>
        <v>146.70159365068315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1.0231815394945443E-12</v>
      </c>
      <c r="BZ198" s="14">
        <f>BY198*VLOOKUP('Données projet'!$B$12,Paramètres!$A$1:$I$89,3,0)*VLOOKUP('Données projet'!$B$12,Paramètres!$A$1:$I$89,5,0)</f>
        <v>4.5224624045658859E-13</v>
      </c>
      <c r="CA198" s="14">
        <f t="shared" si="170"/>
        <v>5.6995607121061449E-12</v>
      </c>
      <c r="CB198" s="22">
        <f t="shared" si="171"/>
        <v>1.0714397109046761E-11</v>
      </c>
      <c r="CC198" s="60">
        <f t="shared" si="195"/>
        <v>293.333333333344</v>
      </c>
      <c r="CD198" s="60">
        <f ca="1">AVERAGE(OFFSET($CC$3,0,0,'Données projet'!$E$12+1,1))-AVERAGE(OFFSET($H$3,0,0,'Données projet'!$E$12+1,1))</f>
        <v>401.84375324751227</v>
      </c>
      <c r="CE198" s="60">
        <f t="shared" si="207"/>
        <v>350.39368043404164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8.5906127208747296E-2</v>
      </c>
      <c r="CM198" s="23">
        <f>EXP(-LN(2)/2)*CM197+(1-EXP(-LN(2)/2))/(LN(2)/2)*CG198*CJ198*VLOOKUP('Données projet'!$B$12,Paramètres!$A$1:$I$89,3,0)*0.475*44/12</f>
        <v>2.0374583295728926E-25</v>
      </c>
      <c r="CN198" s="24">
        <f t="shared" si="172"/>
        <v>8.5906127208747296E-2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-1.1368683772161603E-13</v>
      </c>
      <c r="CU198" s="18">
        <f>CT198*VLOOKUP('Données projet'!$B$13,Paramètres!$A$1:$I$89,3,0)*VLOOKUP('Données projet'!$B$13,Paramètres!$A$1:$I$89,5,0)</f>
        <v>-6.7984728957526396E-14</v>
      </c>
      <c r="CV198" s="14" t="e">
        <f t="shared" si="173"/>
        <v>#NUM!</v>
      </c>
      <c r="CW198" s="22" t="e">
        <f t="shared" si="174"/>
        <v>#NUM!</v>
      </c>
      <c r="CX198" s="60" t="e">
        <f t="shared" si="196"/>
        <v>#NUM!</v>
      </c>
      <c r="CY198" s="60">
        <f ca="1">AVERAGE(OFFSET($CX$3,0,0,'Données projet'!$E$13+1,1))-AVERAGE(OFFSET($H$3,0,0,'Données projet'!$E$13+1,1))</f>
        <v>232.73140429491525</v>
      </c>
      <c r="CZ198" s="60">
        <f t="shared" si="208"/>
        <v>201.02719152328638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8.2081945594157962E-2</v>
      </c>
      <c r="DH198" s="23">
        <f>EXP(-LN(2)/2)*DH197+(1-EXP(-LN(2)/2))/(LN(2)/2)*DB198*DE198*VLOOKUP('Données projet'!$B$13,Paramètres!$A$1:$I$89,3,0)*0.475*44/12</f>
        <v>4.5020468302552098E-25</v>
      </c>
      <c r="DI198" s="24">
        <f t="shared" si="175"/>
        <v>8.2081945594157962E-2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>
        <f>DO198*VLOOKUP('Données projet'!$B$14,Paramètres!$A$1:$I$89,3,0)*VLOOKUP('Données projet'!$B$14,Paramètres!$A$1:$I$89,5,0)</f>
        <v>0</v>
      </c>
      <c r="DQ198" s="14" t="e">
        <f t="shared" si="176"/>
        <v>#NUM!</v>
      </c>
      <c r="DR198" s="22" t="e">
        <f t="shared" si="177"/>
        <v>#NUM!</v>
      </c>
      <c r="DS198" s="60" t="e">
        <f t="shared" si="197"/>
        <v>#NUM!</v>
      </c>
      <c r="DT198" s="60">
        <f ca="1">AVERAGE(OFFSET($DS$3,0,0,'Données projet'!$E$14+1,1))-AVERAGE(OFFSET($H$3,0,0,'Données projet'!$E$14+1,1))</f>
        <v>302.15577364214136</v>
      </c>
      <c r="DU198" s="60">
        <f t="shared" si="209"/>
        <v>197.15142751137051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-5.1159076974727213E-13</v>
      </c>
      <c r="EK198" s="18">
        <f>EJ198*VLOOKUP('Données projet'!$B$15,Paramètres!$A$1:$I$89,3,0)*VLOOKUP('Données projet'!$B$15,Paramètres!$A$1:$I$89,5,0)</f>
        <v>-5.3471467253984886E-13</v>
      </c>
      <c r="EL198" s="14" t="e">
        <f t="shared" si="179"/>
        <v>#NUM!</v>
      </c>
      <c r="EM198" s="22" t="e">
        <f t="shared" si="180"/>
        <v>#NUM!</v>
      </c>
      <c r="EN198" s="60" t="e">
        <f t="shared" si="198"/>
        <v>#NUM!</v>
      </c>
      <c r="EO198" s="60">
        <f ca="1">AVERAGE(OFFSET($EN$3,0,0,'Données projet'!$E$15+1,1))-AVERAGE(OFFSET($H$3,0,0,'Données projet'!$E$15+1,1))</f>
        <v>493.70175665335978</v>
      </c>
      <c r="EP198" s="60">
        <f t="shared" si="210"/>
        <v>325.12357781685949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0" t="e">
        <f t="shared" si="199"/>
        <v>#N/A</v>
      </c>
      <c r="FJ198" s="60" t="e">
        <f ca="1">AVERAGE(OFFSET($FI$3,0,0,'Données projet'!$E$16+1,1))-AVERAGE(OFFSET($H$3,0,0,'Données projet'!$E$16+1,1))</f>
        <v>#N/A</v>
      </c>
      <c r="FK198" s="60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0" t="e">
        <f t="shared" si="200"/>
        <v>#N/A</v>
      </c>
      <c r="GE198" s="60" t="e">
        <f ca="1">AVERAGE(OFFSET($GD$3,0,0,'Données projet'!$E$17+1,1))-AVERAGE(OFFSET($H$3,0,0,'Données projet'!$E$17+1,1))</f>
        <v>#N/A</v>
      </c>
      <c r="GF198" s="60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5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8">
        <f t="shared" si="192"/>
        <v>256.66666666666669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0">
        <f t="shared" si="191"/>
        <v>293.3333333333353</v>
      </c>
      <c r="S199" s="60">
        <f ca="1">AVERAGE(OFFSET($R$3,0,0,'Données projet'!$E$9+1,1))-AVERAGE(OFFSET($H$3,0,0,'Données projet'!$E$9+1,1))</f>
        <v>260.02504691866199</v>
      </c>
      <c r="T199" s="60">
        <f t="shared" si="204"/>
        <v>270.11268336406368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0.3737818758191459</v>
      </c>
      <c r="AA199" s="23">
        <f>EXP(-LN(2)/25)*AA198+(1-EXP(-LN(2)/25))/(LN(2)/25)*Calculateur!V199*Calculateur!X199*VLOOKUP('Données projet'!$B$9,Paramètres!$A$1:$I$89,3,0)*0.475*44/12</f>
        <v>0.16480028210328088</v>
      </c>
      <c r="AB199" s="23">
        <f>EXP(-LN(2)/2)*AB198+(1-EXP(-LN(2)/2))/(LN(2)/2)*V199*Y199*VLOOKUP('Données projet'!$B$9,Paramètres!$A$1:$I$89,3,0)*0.475*44/12</f>
        <v>6.5553659735144473E-25</v>
      </c>
      <c r="AC199" s="24">
        <f t="shared" si="163"/>
        <v>0.53858215792242681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-9.6633812063373625E-13</v>
      </c>
      <c r="AJ199" s="14">
        <f>AI199*VLOOKUP('Données projet'!$B$10,Paramètres!$A$1:$I$89,3,0)*VLOOKUP('Données projet'!$B$10,Paramètres!$A$1:$I$89,5,0)</f>
        <v>-9.7986685432260874E-13</v>
      </c>
      <c r="AK199" s="14" t="e">
        <f t="shared" si="164"/>
        <v>#NUM!</v>
      </c>
      <c r="AL199" s="22" t="e">
        <f t="shared" si="165"/>
        <v>#NUM!</v>
      </c>
      <c r="AM199" s="60" t="e">
        <f t="shared" si="193"/>
        <v>#NUM!</v>
      </c>
      <c r="AN199" s="60">
        <f ca="1">AVERAGE(OFFSET($AM$3,0,0,'Données projet'!$E$10+1,1))-AVERAGE(OFFSET($H$3,0,0,'Données projet'!$E$10+1,1))</f>
        <v>475.47920969424894</v>
      </c>
      <c r="AO199" s="60">
        <f t="shared" si="205"/>
        <v>271.73544012419364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-1.4210854715202004E-13</v>
      </c>
      <c r="BE199" s="14">
        <f>BD199*VLOOKUP('Données projet'!$B$11,Paramètres!$A$1:$I$89,3,0)*VLOOKUP('Données projet'!$B$11,Paramètres!$A$1:$I$89,5,0)</f>
        <v>-1.2857981346314773E-13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325.2649384779973</v>
      </c>
      <c r="BJ199" s="60">
        <f t="shared" si="206"/>
        <v>146.70159365068315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1.0231815394945443E-12</v>
      </c>
      <c r="BZ199" s="14">
        <f>BY199*VLOOKUP('Données projet'!$B$12,Paramètres!$A$1:$I$89,3,0)*VLOOKUP('Données projet'!$B$12,Paramètres!$A$1:$I$89,5,0)</f>
        <v>4.5224624045658859E-13</v>
      </c>
      <c r="CA199" s="14">
        <f t="shared" si="170"/>
        <v>5.6995607121061449E-12</v>
      </c>
      <c r="CB199" s="22">
        <f t="shared" si="171"/>
        <v>1.0714397109046761E-11</v>
      </c>
      <c r="CC199" s="60">
        <f t="shared" si="195"/>
        <v>293.333333333344</v>
      </c>
      <c r="CD199" s="60">
        <f ca="1">AVERAGE(OFFSET($CC$3,0,0,'Données projet'!$E$12+1,1))-AVERAGE(OFFSET($H$3,0,0,'Données projet'!$E$12+1,1))</f>
        <v>401.84375324751227</v>
      </c>
      <c r="CE199" s="60">
        <f t="shared" si="207"/>
        <v>350.39368043404164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8.3557019642617206E-2</v>
      </c>
      <c r="CM199" s="23">
        <f>EXP(-LN(2)/2)*CM198+(1-EXP(-LN(2)/2))/(LN(2)/2)*CG199*CJ199*VLOOKUP('Données projet'!$B$12,Paramètres!$A$1:$I$89,3,0)*0.475*44/12</f>
        <v>1.4407006012260082E-25</v>
      </c>
      <c r="CN199" s="24">
        <f t="shared" si="172"/>
        <v>8.3557019642617206E-2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-1.1368683772161603E-13</v>
      </c>
      <c r="CU199" s="18">
        <f>CT199*VLOOKUP('Données projet'!$B$13,Paramètres!$A$1:$I$89,3,0)*VLOOKUP('Données projet'!$B$13,Paramètres!$A$1:$I$89,5,0)</f>
        <v>-6.7984728957526396E-14</v>
      </c>
      <c r="CV199" s="14" t="e">
        <f t="shared" si="173"/>
        <v>#NUM!</v>
      </c>
      <c r="CW199" s="22" t="e">
        <f t="shared" si="174"/>
        <v>#NUM!</v>
      </c>
      <c r="CX199" s="60" t="e">
        <f t="shared" si="196"/>
        <v>#NUM!</v>
      </c>
      <c r="CY199" s="60">
        <f ca="1">AVERAGE(OFFSET($CX$3,0,0,'Données projet'!$E$13+1,1))-AVERAGE(OFFSET($H$3,0,0,'Données projet'!$E$13+1,1))</f>
        <v>232.73140429491525</v>
      </c>
      <c r="CZ199" s="60">
        <f t="shared" si="208"/>
        <v>201.02719152328638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7.9837410475383799E-2</v>
      </c>
      <c r="DH199" s="23">
        <f>EXP(-LN(2)/2)*DH198+(1-EXP(-LN(2)/2))/(LN(2)/2)*DB199*DE199*VLOOKUP('Données projet'!$B$13,Paramètres!$A$1:$I$89,3,0)*0.475*44/12</f>
        <v>3.1834278428928605E-25</v>
      </c>
      <c r="DI199" s="24">
        <f t="shared" si="175"/>
        <v>7.9837410475383799E-2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>
        <f>DO199*VLOOKUP('Données projet'!$B$14,Paramètres!$A$1:$I$89,3,0)*VLOOKUP('Données projet'!$B$14,Paramètres!$A$1:$I$89,5,0)</f>
        <v>0</v>
      </c>
      <c r="DQ199" s="14" t="e">
        <f t="shared" si="176"/>
        <v>#NUM!</v>
      </c>
      <c r="DR199" s="22" t="e">
        <f t="shared" si="177"/>
        <v>#NUM!</v>
      </c>
      <c r="DS199" s="60" t="e">
        <f t="shared" si="197"/>
        <v>#NUM!</v>
      </c>
      <c r="DT199" s="60">
        <f ca="1">AVERAGE(OFFSET($DS$3,0,0,'Données projet'!$E$14+1,1))-AVERAGE(OFFSET($H$3,0,0,'Données projet'!$E$14+1,1))</f>
        <v>302.15577364214136</v>
      </c>
      <c r="DU199" s="60">
        <f t="shared" si="209"/>
        <v>197.15142751137051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-5.1159076974727213E-13</v>
      </c>
      <c r="EK199" s="18">
        <f>EJ199*VLOOKUP('Données projet'!$B$15,Paramètres!$A$1:$I$89,3,0)*VLOOKUP('Données projet'!$B$15,Paramètres!$A$1:$I$89,5,0)</f>
        <v>-5.3471467253984886E-13</v>
      </c>
      <c r="EL199" s="14" t="e">
        <f t="shared" si="179"/>
        <v>#NUM!</v>
      </c>
      <c r="EM199" s="22" t="e">
        <f t="shared" si="180"/>
        <v>#NUM!</v>
      </c>
      <c r="EN199" s="60" t="e">
        <f t="shared" si="198"/>
        <v>#NUM!</v>
      </c>
      <c r="EO199" s="60">
        <f ca="1">AVERAGE(OFFSET($EN$3,0,0,'Données projet'!$E$15+1,1))-AVERAGE(OFFSET($H$3,0,0,'Données projet'!$E$15+1,1))</f>
        <v>493.70175665335978</v>
      </c>
      <c r="EP199" s="60">
        <f t="shared" si="210"/>
        <v>325.12357781685949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0" t="e">
        <f t="shared" si="199"/>
        <v>#N/A</v>
      </c>
      <c r="FJ199" s="60" t="e">
        <f ca="1">AVERAGE(OFFSET($FI$3,0,0,'Données projet'!$E$16+1,1))-AVERAGE(OFFSET($H$3,0,0,'Données projet'!$E$16+1,1))</f>
        <v>#N/A</v>
      </c>
      <c r="FK199" s="60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0" t="e">
        <f t="shared" si="200"/>
        <v>#N/A</v>
      </c>
      <c r="GE199" s="60" t="e">
        <f ca="1">AVERAGE(OFFSET($GD$3,0,0,'Données projet'!$E$17+1,1))-AVERAGE(OFFSET($H$3,0,0,'Données projet'!$E$17+1,1))</f>
        <v>#N/A</v>
      </c>
      <c r="GF199" s="60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5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8">
        <f t="shared" si="192"/>
        <v>256.66666666666669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0">
        <f t="shared" si="191"/>
        <v>293.3333333333353</v>
      </c>
      <c r="S200" s="60">
        <f ca="1">AVERAGE(OFFSET($R$3,0,0,'Données projet'!$E$9+1,1))-AVERAGE(OFFSET($H$3,0,0,'Données projet'!$E$9+1,1))</f>
        <v>260.02504691866199</v>
      </c>
      <c r="T200" s="60">
        <f t="shared" si="204"/>
        <v>270.11268336406368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0.36645224121876513</v>
      </c>
      <c r="AA200" s="23">
        <f>EXP(-LN(2)/25)*AA199+(1-EXP(-LN(2)/25))/(LN(2)/25)*Calculateur!V200*Calculateur!X200*VLOOKUP('Données projet'!$B$9,Paramètres!$A$1:$I$89,3,0)*0.475*44/12</f>
        <v>0.16029380972269647</v>
      </c>
      <c r="AB200" s="23">
        <f>EXP(-LN(2)/2)*AB199+(1-EXP(-LN(2)/2))/(LN(2)/2)*V200*Y200*VLOOKUP('Données projet'!$B$9,Paramètres!$A$1:$I$89,3,0)*0.475*44/12</f>
        <v>4.6353437330316194E-25</v>
      </c>
      <c r="AC200" s="24">
        <f t="shared" si="163"/>
        <v>0.52674605094146165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-9.6633812063373625E-13</v>
      </c>
      <c r="AJ200" s="14">
        <f>AI200*VLOOKUP('Données projet'!$B$10,Paramètres!$A$1:$I$89,3,0)*VLOOKUP('Données projet'!$B$10,Paramètres!$A$1:$I$89,5,0)</f>
        <v>-9.7986685432260874E-13</v>
      </c>
      <c r="AK200" s="14" t="e">
        <f t="shared" si="164"/>
        <v>#NUM!</v>
      </c>
      <c r="AL200" s="22" t="e">
        <f t="shared" si="165"/>
        <v>#NUM!</v>
      </c>
      <c r="AM200" s="60" t="e">
        <f t="shared" si="193"/>
        <v>#NUM!</v>
      </c>
      <c r="AN200" s="60">
        <f ca="1">AVERAGE(OFFSET($AM$3,0,0,'Données projet'!$E$10+1,1))-AVERAGE(OFFSET($H$3,0,0,'Données projet'!$E$10+1,1))</f>
        <v>475.47920969424894</v>
      </c>
      <c r="AO200" s="60">
        <f t="shared" si="205"/>
        <v>271.73544012419364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-1.4210854715202004E-13</v>
      </c>
      <c r="BE200" s="14">
        <f>BD200*VLOOKUP('Données projet'!$B$11,Paramètres!$A$1:$I$89,3,0)*VLOOKUP('Données projet'!$B$11,Paramètres!$A$1:$I$89,5,0)</f>
        <v>-1.2857981346314773E-13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325.2649384779973</v>
      </c>
      <c r="BJ200" s="60">
        <f t="shared" si="206"/>
        <v>146.70159365068315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1.0231815394945443E-12</v>
      </c>
      <c r="BZ200" s="14">
        <f>BY200*VLOOKUP('Données projet'!$B$12,Paramètres!$A$1:$I$89,3,0)*VLOOKUP('Données projet'!$B$12,Paramètres!$A$1:$I$89,5,0)</f>
        <v>4.5224624045658859E-13</v>
      </c>
      <c r="CA200" s="14">
        <f t="shared" si="170"/>
        <v>5.6995607121061449E-12</v>
      </c>
      <c r="CB200" s="22">
        <f t="shared" si="171"/>
        <v>1.0714397109046761E-11</v>
      </c>
      <c r="CC200" s="60">
        <f t="shared" si="195"/>
        <v>293.333333333344</v>
      </c>
      <c r="CD200" s="60">
        <f ca="1">AVERAGE(OFFSET($CC$3,0,0,'Données projet'!$E$12+1,1))-AVERAGE(OFFSET($H$3,0,0,'Données projet'!$E$12+1,1))</f>
        <v>401.84375324751227</v>
      </c>
      <c r="CE200" s="60">
        <f t="shared" si="207"/>
        <v>350.39368043404164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8.127214854641715E-2</v>
      </c>
      <c r="CM200" s="23">
        <f>EXP(-LN(2)/2)*CM199+(1-EXP(-LN(2)/2))/(LN(2)/2)*CG200*CJ200*VLOOKUP('Données projet'!$B$12,Paramètres!$A$1:$I$89,3,0)*0.475*44/12</f>
        <v>1.0187291647864465E-25</v>
      </c>
      <c r="CN200" s="24">
        <f t="shared" si="172"/>
        <v>8.127214854641715E-2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-1.1368683772161603E-13</v>
      </c>
      <c r="CU200" s="18">
        <f>CT200*VLOOKUP('Données projet'!$B$13,Paramètres!$A$1:$I$89,3,0)*VLOOKUP('Données projet'!$B$13,Paramètres!$A$1:$I$89,5,0)</f>
        <v>-6.7984728957526396E-14</v>
      </c>
      <c r="CV200" s="14" t="e">
        <f t="shared" si="173"/>
        <v>#NUM!</v>
      </c>
      <c r="CW200" s="22" t="e">
        <f t="shared" si="174"/>
        <v>#NUM!</v>
      </c>
      <c r="CX200" s="60" t="e">
        <f t="shared" si="196"/>
        <v>#NUM!</v>
      </c>
      <c r="CY200" s="60">
        <f ca="1">AVERAGE(OFFSET($CX$3,0,0,'Données projet'!$E$13+1,1))-AVERAGE(OFFSET($H$3,0,0,'Données projet'!$E$13+1,1))</f>
        <v>232.73140429491525</v>
      </c>
      <c r="CZ200" s="60">
        <f t="shared" si="208"/>
        <v>201.02719152328638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7.7654252287467487E-2</v>
      </c>
      <c r="DH200" s="23">
        <f>EXP(-LN(2)/2)*DH199+(1-EXP(-LN(2)/2))/(LN(2)/2)*DB200*DE200*VLOOKUP('Données projet'!$B$13,Paramètres!$A$1:$I$89,3,0)*0.475*44/12</f>
        <v>2.2510234151276049E-25</v>
      </c>
      <c r="DI200" s="24">
        <f t="shared" si="175"/>
        <v>7.7654252287467487E-2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>
        <f>DO200*VLOOKUP('Données projet'!$B$14,Paramètres!$A$1:$I$89,3,0)*VLOOKUP('Données projet'!$B$14,Paramètres!$A$1:$I$89,5,0)</f>
        <v>0</v>
      </c>
      <c r="DQ200" s="14" t="e">
        <f t="shared" si="176"/>
        <v>#NUM!</v>
      </c>
      <c r="DR200" s="22" t="e">
        <f t="shared" si="177"/>
        <v>#NUM!</v>
      </c>
      <c r="DS200" s="60" t="e">
        <f t="shared" si="197"/>
        <v>#NUM!</v>
      </c>
      <c r="DT200" s="60">
        <f ca="1">AVERAGE(OFFSET($DS$3,0,0,'Données projet'!$E$14+1,1))-AVERAGE(OFFSET($H$3,0,0,'Données projet'!$E$14+1,1))</f>
        <v>302.15577364214136</v>
      </c>
      <c r="DU200" s="60">
        <f t="shared" si="209"/>
        <v>197.15142751137051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-5.1159076974727213E-13</v>
      </c>
      <c r="EK200" s="18">
        <f>EJ200*VLOOKUP('Données projet'!$B$15,Paramètres!$A$1:$I$89,3,0)*VLOOKUP('Données projet'!$B$15,Paramètres!$A$1:$I$89,5,0)</f>
        <v>-5.3471467253984886E-13</v>
      </c>
      <c r="EL200" s="14" t="e">
        <f t="shared" si="179"/>
        <v>#NUM!</v>
      </c>
      <c r="EM200" s="22" t="e">
        <f t="shared" si="180"/>
        <v>#NUM!</v>
      </c>
      <c r="EN200" s="60" t="e">
        <f t="shared" si="198"/>
        <v>#NUM!</v>
      </c>
      <c r="EO200" s="60">
        <f ca="1">AVERAGE(OFFSET($EN$3,0,0,'Données projet'!$E$15+1,1))-AVERAGE(OFFSET($H$3,0,0,'Données projet'!$E$15+1,1))</f>
        <v>493.70175665335978</v>
      </c>
      <c r="EP200" s="60">
        <f t="shared" si="210"/>
        <v>325.12357781685949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0" t="e">
        <f t="shared" si="199"/>
        <v>#N/A</v>
      </c>
      <c r="FJ200" s="60" t="e">
        <f ca="1">AVERAGE(OFFSET($FI$3,0,0,'Données projet'!$E$16+1,1))-AVERAGE(OFFSET($H$3,0,0,'Données projet'!$E$16+1,1))</f>
        <v>#N/A</v>
      </c>
      <c r="FK200" s="60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0" t="e">
        <f t="shared" si="200"/>
        <v>#N/A</v>
      </c>
      <c r="GE200" s="60" t="e">
        <f ca="1">AVERAGE(OFFSET($GD$3,0,0,'Données projet'!$E$17+1,1))-AVERAGE(OFFSET($H$3,0,0,'Données projet'!$E$17+1,1))</f>
        <v>#N/A</v>
      </c>
      <c r="GF200" s="60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5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8">
        <f t="shared" si="192"/>
        <v>256.66666666666669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0">
        <f t="shared" si="191"/>
        <v>293.3333333333353</v>
      </c>
      <c r="S201" s="60">
        <f ca="1">AVERAGE(OFFSET($R$3,0,0,'Données projet'!$E$9+1,1))-AVERAGE(OFFSET($H$3,0,0,'Données projet'!$E$9+1,1))</f>
        <v>260.02504691866199</v>
      </c>
      <c r="T201" s="60">
        <f t="shared" si="204"/>
        <v>270.11268336406368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0.35926633628226212</v>
      </c>
      <c r="AA201" s="23">
        <f>EXP(-LN(2)/25)*AA200+(1-EXP(-LN(2)/25))/(LN(2)/25)*Calculateur!V201*Calculateur!X201*VLOOKUP('Données projet'!$B$9,Paramètres!$A$1:$I$89,3,0)*0.475*44/12</f>
        <v>0.15591056706634424</v>
      </c>
      <c r="AB201" s="23">
        <f>EXP(-LN(2)/2)*AB200+(1-EXP(-LN(2)/2))/(LN(2)/2)*V201*Y201*VLOOKUP('Données projet'!$B$9,Paramètres!$A$1:$I$89,3,0)*0.475*44/12</f>
        <v>3.2776829867572236E-25</v>
      </c>
      <c r="AC201" s="24">
        <f t="shared" si="163"/>
        <v>0.51517690334860633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-9.6633812063373625E-13</v>
      </c>
      <c r="AJ201" s="14">
        <f>AI201*VLOOKUP('Données projet'!$B$10,Paramètres!$A$1:$I$89,3,0)*VLOOKUP('Données projet'!$B$10,Paramètres!$A$1:$I$89,5,0)</f>
        <v>-9.7986685432260874E-13</v>
      </c>
      <c r="AK201" s="14" t="e">
        <f t="shared" si="164"/>
        <v>#NUM!</v>
      </c>
      <c r="AL201" s="22" t="e">
        <f t="shared" si="165"/>
        <v>#NUM!</v>
      </c>
      <c r="AM201" s="60" t="e">
        <f t="shared" si="193"/>
        <v>#NUM!</v>
      </c>
      <c r="AN201" s="60">
        <f ca="1">AVERAGE(OFFSET($AM$3,0,0,'Données projet'!$E$10+1,1))-AVERAGE(OFFSET($H$3,0,0,'Données projet'!$E$10+1,1))</f>
        <v>475.47920969424894</v>
      </c>
      <c r="AO201" s="60">
        <f t="shared" si="205"/>
        <v>271.73544012419364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-1.4210854715202004E-13</v>
      </c>
      <c r="BE201" s="14">
        <f>BD201*VLOOKUP('Données projet'!$B$11,Paramètres!$A$1:$I$89,3,0)*VLOOKUP('Données projet'!$B$11,Paramètres!$A$1:$I$89,5,0)</f>
        <v>-1.2857981346314773E-13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325.2649384779973</v>
      </c>
      <c r="BJ201" s="60">
        <f t="shared" si="206"/>
        <v>146.70159365068315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1.0231815394945443E-12</v>
      </c>
      <c r="BZ201" s="14">
        <f>BY201*VLOOKUP('Données projet'!$B$12,Paramètres!$A$1:$I$89,3,0)*VLOOKUP('Données projet'!$B$12,Paramètres!$A$1:$I$89,5,0)</f>
        <v>4.5224624045658859E-13</v>
      </c>
      <c r="CA201" s="14">
        <f t="shared" si="170"/>
        <v>5.6995607121061449E-12</v>
      </c>
      <c r="CB201" s="22">
        <f t="shared" si="171"/>
        <v>1.0714397109046761E-11</v>
      </c>
      <c r="CC201" s="60">
        <f t="shared" si="195"/>
        <v>293.333333333344</v>
      </c>
      <c r="CD201" s="60">
        <f ca="1">AVERAGE(OFFSET($CC$3,0,0,'Données projet'!$E$12+1,1))-AVERAGE(OFFSET($H$3,0,0,'Données projet'!$E$12+1,1))</f>
        <v>401.84375324751227</v>
      </c>
      <c r="CE201" s="60">
        <f t="shared" si="207"/>
        <v>350.39368043404164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7.9049757370498824E-2</v>
      </c>
      <c r="CM201" s="23">
        <f>EXP(-LN(2)/2)*CM200+(1-EXP(-LN(2)/2))/(LN(2)/2)*CG201*CJ201*VLOOKUP('Données projet'!$B$12,Paramètres!$A$1:$I$89,3,0)*0.475*44/12</f>
        <v>7.203503006130042E-26</v>
      </c>
      <c r="CN201" s="24">
        <f t="shared" si="172"/>
        <v>7.9049757370498824E-2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-1.1368683772161603E-13</v>
      </c>
      <c r="CU201" s="18">
        <f>CT201*VLOOKUP('Données projet'!$B$13,Paramètres!$A$1:$I$89,3,0)*VLOOKUP('Données projet'!$B$13,Paramètres!$A$1:$I$89,5,0)</f>
        <v>-6.7984728957526396E-14</v>
      </c>
      <c r="CV201" s="14" t="e">
        <f t="shared" si="173"/>
        <v>#NUM!</v>
      </c>
      <c r="CW201" s="22" t="e">
        <f t="shared" si="174"/>
        <v>#NUM!</v>
      </c>
      <c r="CX201" s="60" t="e">
        <f t="shared" si="196"/>
        <v>#NUM!</v>
      </c>
      <c r="CY201" s="60">
        <f ca="1">AVERAGE(OFFSET($CX$3,0,0,'Données projet'!$E$13+1,1))-AVERAGE(OFFSET($H$3,0,0,'Données projet'!$E$13+1,1))</f>
        <v>232.73140429491525</v>
      </c>
      <c r="CZ201" s="60">
        <f t="shared" si="208"/>
        <v>201.02719152328638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7.5530792675007036E-2</v>
      </c>
      <c r="DH201" s="23">
        <f>EXP(-LN(2)/2)*DH200+(1-EXP(-LN(2)/2))/(LN(2)/2)*DB201*DE201*VLOOKUP('Données projet'!$B$13,Paramètres!$A$1:$I$89,3,0)*0.475*44/12</f>
        <v>1.5917139214464302E-25</v>
      </c>
      <c r="DI201" s="24">
        <f t="shared" si="175"/>
        <v>7.5530792675007036E-2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>
        <f>DO201*VLOOKUP('Données projet'!$B$14,Paramètres!$A$1:$I$89,3,0)*VLOOKUP('Données projet'!$B$14,Paramètres!$A$1:$I$89,5,0)</f>
        <v>0</v>
      </c>
      <c r="DQ201" s="14" t="e">
        <f t="shared" si="176"/>
        <v>#NUM!</v>
      </c>
      <c r="DR201" s="22" t="e">
        <f t="shared" si="177"/>
        <v>#NUM!</v>
      </c>
      <c r="DS201" s="60" t="e">
        <f t="shared" si="197"/>
        <v>#NUM!</v>
      </c>
      <c r="DT201" s="60">
        <f ca="1">AVERAGE(OFFSET($DS$3,0,0,'Données projet'!$E$14+1,1))-AVERAGE(OFFSET($H$3,0,0,'Données projet'!$E$14+1,1))</f>
        <v>302.15577364214136</v>
      </c>
      <c r="DU201" s="60">
        <f t="shared" si="209"/>
        <v>197.15142751137051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-5.1159076974727213E-13</v>
      </c>
      <c r="EK201" s="18">
        <f>EJ201*VLOOKUP('Données projet'!$B$15,Paramètres!$A$1:$I$89,3,0)*VLOOKUP('Données projet'!$B$15,Paramètres!$A$1:$I$89,5,0)</f>
        <v>-5.3471467253984886E-13</v>
      </c>
      <c r="EL201" s="14" t="e">
        <f t="shared" si="179"/>
        <v>#NUM!</v>
      </c>
      <c r="EM201" s="22" t="e">
        <f t="shared" si="180"/>
        <v>#NUM!</v>
      </c>
      <c r="EN201" s="60" t="e">
        <f t="shared" si="198"/>
        <v>#NUM!</v>
      </c>
      <c r="EO201" s="60">
        <f ca="1">AVERAGE(OFFSET($EN$3,0,0,'Données projet'!$E$15+1,1))-AVERAGE(OFFSET($H$3,0,0,'Données projet'!$E$15+1,1))</f>
        <v>493.70175665335978</v>
      </c>
      <c r="EP201" s="60">
        <f t="shared" si="210"/>
        <v>325.12357781685949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0" t="e">
        <f t="shared" si="199"/>
        <v>#N/A</v>
      </c>
      <c r="FJ201" s="60" t="e">
        <f ca="1">AVERAGE(OFFSET($FI$3,0,0,'Données projet'!$E$16+1,1))-AVERAGE(OFFSET($H$3,0,0,'Données projet'!$E$16+1,1))</f>
        <v>#N/A</v>
      </c>
      <c r="FK201" s="60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0" t="e">
        <f t="shared" si="200"/>
        <v>#N/A</v>
      </c>
      <c r="GE201" s="60" t="e">
        <f ca="1">AVERAGE(OFFSET($GD$3,0,0,'Données projet'!$E$17+1,1))-AVERAGE(OFFSET($H$3,0,0,'Données projet'!$E$17+1,1))</f>
        <v>#N/A</v>
      </c>
      <c r="GF201" s="60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5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8">
        <f t="shared" si="192"/>
        <v>256.66666666666669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0">
        <f t="shared" si="191"/>
        <v>293.3333333333353</v>
      </c>
      <c r="S202" s="60">
        <f ca="1">AVERAGE(OFFSET($R$3,0,0,'Données projet'!$E$9+1,1))-AVERAGE(OFFSET($H$3,0,0,'Données projet'!$E$9+1,1))</f>
        <v>260.02504691866199</v>
      </c>
      <c r="T202" s="60">
        <f t="shared" si="204"/>
        <v>270.11268336406368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0.35222134255859472</v>
      </c>
      <c r="AA202" s="23">
        <f>EXP(-LN(2)/25)*AA201+(1-EXP(-LN(2)/25))/(LN(2)/25)*Calculateur!V202*Calculateur!X202*VLOOKUP('Données projet'!$B$9,Paramètres!$A$1:$I$89,3,0)*0.475*44/12</f>
        <v>0.15164718441093467</v>
      </c>
      <c r="AB202" s="23">
        <f>EXP(-LN(2)/2)*AB201+(1-EXP(-LN(2)/2))/(LN(2)/2)*V202*Y202*VLOOKUP('Données projet'!$B$9,Paramètres!$A$1:$I$89,3,0)*0.475*44/12</f>
        <v>2.3176718665158097E-25</v>
      </c>
      <c r="AC202" s="24">
        <f t="shared" si="163"/>
        <v>0.50386852696952933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-9.6633812063373625E-13</v>
      </c>
      <c r="AJ202" s="14">
        <f>AI202*VLOOKUP('Données projet'!$B$10,Paramètres!$A$1:$I$89,3,0)*VLOOKUP('Données projet'!$B$10,Paramètres!$A$1:$I$89,5,0)</f>
        <v>-9.7986685432260874E-13</v>
      </c>
      <c r="AK202" s="14" t="e">
        <f t="shared" si="164"/>
        <v>#NUM!</v>
      </c>
      <c r="AL202" s="22" t="e">
        <f t="shared" si="165"/>
        <v>#NUM!</v>
      </c>
      <c r="AM202" s="60" t="e">
        <f t="shared" si="193"/>
        <v>#NUM!</v>
      </c>
      <c r="AN202" s="60">
        <f ca="1">AVERAGE(OFFSET($AM$3,0,0,'Données projet'!$E$10+1,1))-AVERAGE(OFFSET($H$3,0,0,'Données projet'!$E$10+1,1))</f>
        <v>475.47920969424894</v>
      </c>
      <c r="AO202" s="60">
        <f t="shared" si="205"/>
        <v>271.73544012419364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-1.4210854715202004E-13</v>
      </c>
      <c r="BE202" s="14">
        <f>BD202*VLOOKUP('Données projet'!$B$11,Paramètres!$A$1:$I$89,3,0)*VLOOKUP('Données projet'!$B$11,Paramètres!$A$1:$I$89,5,0)</f>
        <v>-1.2857981346314773E-13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325.2649384779973</v>
      </c>
      <c r="BJ202" s="60">
        <f t="shared" si="206"/>
        <v>146.70159365068315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1.0231815394945443E-12</v>
      </c>
      <c r="BZ202" s="14">
        <f>BY202*VLOOKUP('Données projet'!$B$12,Paramètres!$A$1:$I$89,3,0)*VLOOKUP('Données projet'!$B$12,Paramètres!$A$1:$I$89,5,0)</f>
        <v>4.5224624045658859E-13</v>
      </c>
      <c r="CA202" s="14">
        <f t="shared" si="170"/>
        <v>5.6995607121061449E-12</v>
      </c>
      <c r="CB202" s="22">
        <f t="shared" si="171"/>
        <v>1.0714397109046761E-11</v>
      </c>
      <c r="CC202" s="60">
        <f t="shared" si="195"/>
        <v>293.333333333344</v>
      </c>
      <c r="CD202" s="60">
        <f ca="1">AVERAGE(OFFSET($CC$3,0,0,'Données projet'!$E$12+1,1))-AVERAGE(OFFSET($H$3,0,0,'Données projet'!$E$12+1,1))</f>
        <v>401.84375324751227</v>
      </c>
      <c r="CE202" s="60">
        <f t="shared" si="207"/>
        <v>350.39368043404164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7.6888137598156464E-2</v>
      </c>
      <c r="CM202" s="23">
        <f>EXP(-LN(2)/2)*CM201+(1-EXP(-LN(2)/2))/(LN(2)/2)*CG202*CJ202*VLOOKUP('Données projet'!$B$12,Paramètres!$A$1:$I$89,3,0)*0.475*44/12</f>
        <v>5.0936458239322331E-26</v>
      </c>
      <c r="CN202" s="24">
        <f t="shared" si="172"/>
        <v>7.6888137598156464E-2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-1.1368683772161603E-13</v>
      </c>
      <c r="CU202" s="18">
        <f>CT202*VLOOKUP('Données projet'!$B$13,Paramètres!$A$1:$I$89,3,0)*VLOOKUP('Données projet'!$B$13,Paramètres!$A$1:$I$89,5,0)</f>
        <v>-6.7984728957526396E-14</v>
      </c>
      <c r="CV202" s="14" t="e">
        <f t="shared" si="173"/>
        <v>#NUM!</v>
      </c>
      <c r="CW202" s="22" t="e">
        <f t="shared" si="174"/>
        <v>#NUM!</v>
      </c>
      <c r="CX202" s="60" t="e">
        <f t="shared" si="196"/>
        <v>#NUM!</v>
      </c>
      <c r="CY202" s="60">
        <f ca="1">AVERAGE(OFFSET($CX$3,0,0,'Données projet'!$E$13+1,1))-AVERAGE(OFFSET($H$3,0,0,'Données projet'!$E$13+1,1))</f>
        <v>232.73140429491525</v>
      </c>
      <c r="CZ202" s="60">
        <f t="shared" si="208"/>
        <v>201.02719152328638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7.3465399177317203E-2</v>
      </c>
      <c r="DH202" s="23">
        <f>EXP(-LN(2)/2)*DH201+(1-EXP(-LN(2)/2))/(LN(2)/2)*DB202*DE202*VLOOKUP('Données projet'!$B$13,Paramètres!$A$1:$I$89,3,0)*0.475*44/12</f>
        <v>1.1255117075638024E-25</v>
      </c>
      <c r="DI202" s="24">
        <f t="shared" si="175"/>
        <v>7.3465399177317203E-2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>
        <f>DO202*VLOOKUP('Données projet'!$B$14,Paramètres!$A$1:$I$89,3,0)*VLOOKUP('Données projet'!$B$14,Paramètres!$A$1:$I$89,5,0)</f>
        <v>0</v>
      </c>
      <c r="DQ202" s="14" t="e">
        <f t="shared" si="176"/>
        <v>#NUM!</v>
      </c>
      <c r="DR202" s="22" t="e">
        <f t="shared" si="177"/>
        <v>#NUM!</v>
      </c>
      <c r="DS202" s="60" t="e">
        <f t="shared" si="197"/>
        <v>#NUM!</v>
      </c>
      <c r="DT202" s="60">
        <f ca="1">AVERAGE(OFFSET($DS$3,0,0,'Données projet'!$E$14+1,1))-AVERAGE(OFFSET($H$3,0,0,'Données projet'!$E$14+1,1))</f>
        <v>302.15577364214136</v>
      </c>
      <c r="DU202" s="60">
        <f t="shared" si="209"/>
        <v>197.15142751137051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-5.1159076974727213E-13</v>
      </c>
      <c r="EK202" s="18">
        <f>EJ202*VLOOKUP('Données projet'!$B$15,Paramètres!$A$1:$I$89,3,0)*VLOOKUP('Données projet'!$B$15,Paramètres!$A$1:$I$89,5,0)</f>
        <v>-5.3471467253984886E-13</v>
      </c>
      <c r="EL202" s="14" t="e">
        <f t="shared" si="179"/>
        <v>#NUM!</v>
      </c>
      <c r="EM202" s="22" t="e">
        <f t="shared" si="180"/>
        <v>#NUM!</v>
      </c>
      <c r="EN202" s="60" t="e">
        <f t="shared" si="198"/>
        <v>#NUM!</v>
      </c>
      <c r="EO202" s="60">
        <f ca="1">AVERAGE(OFFSET($EN$3,0,0,'Données projet'!$E$15+1,1))-AVERAGE(OFFSET($H$3,0,0,'Données projet'!$E$15+1,1))</f>
        <v>493.70175665335978</v>
      </c>
      <c r="EP202" s="60">
        <f t="shared" si="210"/>
        <v>325.12357781685949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0" t="e">
        <f t="shared" si="199"/>
        <v>#N/A</v>
      </c>
      <c r="FJ202" s="60" t="e">
        <f ca="1">AVERAGE(OFFSET($FI$3,0,0,'Données projet'!$E$16+1,1))-AVERAGE(OFFSET($H$3,0,0,'Données projet'!$E$16+1,1))</f>
        <v>#N/A</v>
      </c>
      <c r="FK202" s="60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0" t="e">
        <f t="shared" si="200"/>
        <v>#N/A</v>
      </c>
      <c r="GE202" s="60" t="e">
        <f ca="1">AVERAGE(OFFSET($GD$3,0,0,'Données projet'!$E$17+1,1))-AVERAGE(OFFSET($H$3,0,0,'Données projet'!$E$17+1,1))</f>
        <v>#N/A</v>
      </c>
      <c r="GF202" s="60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5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8">
        <f t="shared" si="192"/>
        <v>256.66666666666669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0">
        <f t="shared" si="191"/>
        <v>293.3333333333353</v>
      </c>
      <c r="S203" s="60">
        <f ca="1">AVERAGE(OFFSET($R$3,0,0,'Données projet'!$E$9+1,1))-AVERAGE(OFFSET($H$3,0,0,'Données projet'!$E$9+1,1))</f>
        <v>260.02504691866199</v>
      </c>
      <c r="T203" s="60">
        <f t="shared" si="204"/>
        <v>270.11268336406368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0.34531449686482657</v>
      </c>
      <c r="AA203" s="23">
        <f>EXP(-LN(2)/25)*AA202+(1-EXP(-LN(2)/25))/(LN(2)/25)*Calculateur!V203*Calculateur!X203*VLOOKUP('Données projet'!$B$9,Paramètres!$A$1:$I$89,3,0)*0.475*44/12</f>
        <v>0.14750038417843883</v>
      </c>
      <c r="AB203" s="23">
        <f>EXP(-LN(2)/2)*AB202+(1-EXP(-LN(2)/2))/(LN(2)/2)*V203*Y203*VLOOKUP('Données projet'!$B$9,Paramètres!$A$1:$I$89,3,0)*0.475*44/12</f>
        <v>1.6388414933786118E-25</v>
      </c>
      <c r="AC203" s="24">
        <f t="shared" si="163"/>
        <v>0.49281488104326543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-9.6633812063373625E-13</v>
      </c>
      <c r="AJ203" s="14">
        <f>AI203*VLOOKUP('Données projet'!$B$10,Paramètres!$A$1:$I$89,3,0)*VLOOKUP('Données projet'!$B$10,Paramètres!$A$1:$I$89,5,0)</f>
        <v>-9.7986685432260874E-13</v>
      </c>
      <c r="AK203" s="14" t="e">
        <f t="shared" si="164"/>
        <v>#NUM!</v>
      </c>
      <c r="AL203" s="22" t="e">
        <f t="shared" si="165"/>
        <v>#NUM!</v>
      </c>
      <c r="AM203" s="60" t="e">
        <f t="shared" si="193"/>
        <v>#NUM!</v>
      </c>
      <c r="AN203" s="60">
        <f ca="1">AVERAGE(OFFSET($AM$3,0,0,'Données projet'!$E$10+1,1))-AVERAGE(OFFSET($H$3,0,0,'Données projet'!$E$10+1,1))</f>
        <v>475.47920969424894</v>
      </c>
      <c r="AO203" s="60">
        <f t="shared" si="205"/>
        <v>271.73544012419364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-1.4210854715202004E-13</v>
      </c>
      <c r="BE203" s="14">
        <f>BD203*VLOOKUP('Données projet'!$B$11,Paramètres!$A$1:$I$89,3,0)*VLOOKUP('Données projet'!$B$11,Paramètres!$A$1:$I$89,5,0)</f>
        <v>-1.2857981346314773E-13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325.2649384779973</v>
      </c>
      <c r="BJ203" s="60">
        <f t="shared" si="206"/>
        <v>146.70159365068315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1.0231815394945443E-12</v>
      </c>
      <c r="BZ203" s="14">
        <f>BY203*VLOOKUP('Données projet'!$B$12,Paramètres!$A$1:$I$89,3,0)*VLOOKUP('Données projet'!$B$12,Paramètres!$A$1:$I$89,5,0)</f>
        <v>4.5224624045658859E-13</v>
      </c>
      <c r="CA203" s="14">
        <f t="shared" si="170"/>
        <v>5.6995607121061449E-12</v>
      </c>
      <c r="CB203" s="22">
        <f t="shared" si="171"/>
        <v>1.0714397109046761E-11</v>
      </c>
      <c r="CC203" s="60">
        <f t="shared" si="195"/>
        <v>293.333333333344</v>
      </c>
      <c r="CD203" s="60">
        <f ca="1">AVERAGE(OFFSET($CC$3,0,0,'Données projet'!$E$12+1,1))-AVERAGE(OFFSET($H$3,0,0,'Données projet'!$E$12+1,1))</f>
        <v>401.84375324751227</v>
      </c>
      <c r="CE203" s="60">
        <f t="shared" si="207"/>
        <v>350.39368043404164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7.4785627432163451E-2</v>
      </c>
      <c r="CM203" s="23">
        <f>EXP(-LN(2)/2)*CM202+(1-EXP(-LN(2)/2))/(LN(2)/2)*CG203*CJ203*VLOOKUP('Données projet'!$B$12,Paramètres!$A$1:$I$89,3,0)*0.475*44/12</f>
        <v>3.6017515030650216E-26</v>
      </c>
      <c r="CN203" s="24">
        <f t="shared" si="172"/>
        <v>7.4785627432163451E-2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-1.1368683772161603E-13</v>
      </c>
      <c r="CU203" s="18">
        <f>CT203*VLOOKUP('Données projet'!$B$13,Paramètres!$A$1:$I$89,3,0)*VLOOKUP('Données projet'!$B$13,Paramètres!$A$1:$I$89,5,0)</f>
        <v>-6.7984728957526396E-14</v>
      </c>
      <c r="CV203" s="14" t="e">
        <f t="shared" si="173"/>
        <v>#NUM!</v>
      </c>
      <c r="CW203" s="22" t="e">
        <f t="shared" si="174"/>
        <v>#NUM!</v>
      </c>
      <c r="CX203" s="60" t="e">
        <f t="shared" si="196"/>
        <v>#NUM!</v>
      </c>
      <c r="CY203" s="60">
        <f ca="1">AVERAGE(OFFSET($CX$3,0,0,'Données projet'!$E$13+1,1))-AVERAGE(OFFSET($H$3,0,0,'Données projet'!$E$13+1,1))</f>
        <v>232.73140429491525</v>
      </c>
      <c r="CZ203" s="60">
        <f t="shared" si="208"/>
        <v>201.02719152328638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7.1456483973436027E-2</v>
      </c>
      <c r="DH203" s="23">
        <f>EXP(-LN(2)/2)*DH202+(1-EXP(-LN(2)/2))/(LN(2)/2)*DB203*DE203*VLOOKUP('Données projet'!$B$13,Paramètres!$A$1:$I$89,3,0)*0.475*44/12</f>
        <v>7.9585696072321512E-26</v>
      </c>
      <c r="DI203" s="24">
        <f t="shared" si="175"/>
        <v>7.1456483973436027E-2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>
        <f>DO203*VLOOKUP('Données projet'!$B$14,Paramètres!$A$1:$I$89,3,0)*VLOOKUP('Données projet'!$B$14,Paramètres!$A$1:$I$89,5,0)</f>
        <v>0</v>
      </c>
      <c r="DQ203" s="14" t="e">
        <f t="shared" si="176"/>
        <v>#NUM!</v>
      </c>
      <c r="DR203" s="22" t="e">
        <f t="shared" si="177"/>
        <v>#NUM!</v>
      </c>
      <c r="DS203" s="60" t="e">
        <f t="shared" si="197"/>
        <v>#NUM!</v>
      </c>
      <c r="DT203" s="60">
        <f ca="1">AVERAGE(OFFSET($DS$3,0,0,'Données projet'!$E$14+1,1))-AVERAGE(OFFSET($H$3,0,0,'Données projet'!$E$14+1,1))</f>
        <v>302.15577364214136</v>
      </c>
      <c r="DU203" s="60">
        <f t="shared" si="209"/>
        <v>197.15142751137051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-5.1159076974727213E-13</v>
      </c>
      <c r="EK203" s="18">
        <f>EJ203*VLOOKUP('Données projet'!$B$15,Paramètres!$A$1:$I$89,3,0)*VLOOKUP('Données projet'!$B$15,Paramètres!$A$1:$I$89,5,0)</f>
        <v>-5.3471467253984886E-13</v>
      </c>
      <c r="EL203" s="14" t="e">
        <f t="shared" si="179"/>
        <v>#NUM!</v>
      </c>
      <c r="EM203" s="22" t="e">
        <f t="shared" si="180"/>
        <v>#NUM!</v>
      </c>
      <c r="EN203" s="60" t="e">
        <f t="shared" si="198"/>
        <v>#NUM!</v>
      </c>
      <c r="EO203" s="60">
        <f ca="1">AVERAGE(OFFSET($EN$3,0,0,'Données projet'!$E$15+1,1))-AVERAGE(OFFSET($H$3,0,0,'Données projet'!$E$15+1,1))</f>
        <v>493.70175665335978</v>
      </c>
      <c r="EP203" s="60">
        <f t="shared" si="210"/>
        <v>325.12357781685949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0" t="e">
        <f t="shared" si="199"/>
        <v>#N/A</v>
      </c>
      <c r="FJ203" s="60" t="e">
        <f ca="1">AVERAGE(OFFSET($FI$3,0,0,'Données projet'!$E$16+1,1))-AVERAGE(OFFSET($H$3,0,0,'Données projet'!$E$16+1,1))</f>
        <v>#N/A</v>
      </c>
      <c r="FK203" s="60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0" t="e">
        <f t="shared" si="200"/>
        <v>#N/A</v>
      </c>
      <c r="GE203" s="60" t="e">
        <f ca="1">AVERAGE(OFFSET($GD$3,0,0,'Données projet'!$E$17+1,1))-AVERAGE(OFFSET($H$3,0,0,'Données projet'!$E$17+1,1))</f>
        <v>#N/A</v>
      </c>
      <c r="GF203" s="60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" thickBot="1" x14ac:dyDescent="0.35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1.3292852468636394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1.2054868146447177</v>
      </c>
      <c r="BA205" s="86">
        <f>EXP(LN('Données projet'!B88)/'Données projet'!A88)</f>
        <v>1.1422113165588705</v>
      </c>
      <c r="BV205" s="86">
        <f>EXP(LN('Données projet'!B114)/'Données projet'!A114)</f>
        <v>1.274746203751338</v>
      </c>
      <c r="CQ205" s="86">
        <f>EXP(LN('Données projet'!B140)/'Données projet'!A140)</f>
        <v>1.2116448776253546</v>
      </c>
      <c r="DL205" s="86">
        <f>EXP(LN('Données projet'!B166)/'Données projet'!A166)</f>
        <v>1.2304469565436837</v>
      </c>
      <c r="EG205" s="86">
        <f>EXP(LN('Données projet'!B192)/'Données projet'!A192)</f>
        <v>1.2548684989282006</v>
      </c>
      <c r="FB205" s="86" t="e">
        <f>EXP(LN('Données projet'!B218)/'Données projet'!A218)</f>
        <v>#NUM!</v>
      </c>
      <c r="FW205" s="86" t="e">
        <f>EXP(LN('Données projet'!B244)/'Données projet'!A244)</f>
        <v>#NUM!</v>
      </c>
      <c r="GR205" s="86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3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5" t="s">
        <v>238</v>
      </c>
      <c r="P2" s="128">
        <v>0</v>
      </c>
    </row>
    <row r="3" spans="1:16" ht="15" thickBot="1" x14ac:dyDescent="0.35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6"/>
      <c r="P3" s="135">
        <v>0.2</v>
      </c>
    </row>
    <row r="4" spans="1:16" ht="15" thickBot="1" x14ac:dyDescent="0.35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3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5" t="s">
        <v>237</v>
      </c>
      <c r="P5" s="128">
        <v>0</v>
      </c>
    </row>
    <row r="6" spans="1:16" x14ac:dyDescent="0.3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7"/>
      <c r="P6" s="136">
        <v>0.05</v>
      </c>
    </row>
    <row r="7" spans="1:16" x14ac:dyDescent="0.3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7"/>
      <c r="P7" s="136">
        <v>0.1</v>
      </c>
    </row>
    <row r="8" spans="1:16" ht="15" thickBot="1" x14ac:dyDescent="0.35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6"/>
      <c r="P8" s="135">
        <v>0.15</v>
      </c>
    </row>
    <row r="9" spans="1:16" ht="15" thickBot="1" x14ac:dyDescent="0.35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3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5" t="s">
        <v>236</v>
      </c>
      <c r="P10" s="128">
        <v>0</v>
      </c>
    </row>
    <row r="11" spans="1:16" ht="15" thickBot="1" x14ac:dyDescent="0.35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6"/>
      <c r="P11" s="135">
        <v>0.1</v>
      </c>
    </row>
    <row r="12" spans="1:16" x14ac:dyDescent="0.3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3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3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3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3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3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3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3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3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3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3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3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3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3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3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3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3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3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3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3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3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3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3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3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3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3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3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3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3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3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3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3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3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3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3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3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3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3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3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3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3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3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3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3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3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3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3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3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3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3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3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3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3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3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3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3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3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3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3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3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3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3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3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3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3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3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3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3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3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3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3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3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3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3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3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3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98"/>
      <c r="K87" s="98"/>
      <c r="L87" s="98"/>
      <c r="M87" s="98"/>
      <c r="N87" s="98"/>
    </row>
    <row r="88" spans="1:14" x14ac:dyDescent="0.3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" thickBot="1" x14ac:dyDescent="0.35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3">
      <c r="A93" s="129" t="s">
        <v>208</v>
      </c>
    </row>
    <row r="94" spans="1:14" x14ac:dyDescent="0.3">
      <c r="A94" s="129" t="s">
        <v>209</v>
      </c>
    </row>
    <row r="95" spans="1:14" x14ac:dyDescent="0.3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zoomScale="90" zoomScaleNormal="90" workbookViewId="0">
      <selection activeCell="C16" sqref="C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3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6" t="s">
        <v>271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9"/>
      <c r="J3" s="229"/>
      <c r="K3" s="229"/>
      <c r="L3" s="229"/>
      <c r="M3" s="229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9"/>
      <c r="J4" s="229"/>
      <c r="K4" s="229"/>
      <c r="L4" s="229"/>
      <c r="M4" s="229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2" t="str">
        <f>IF('Données projet'!$B$9="","",'Données projet'!$B$9)</f>
        <v>Pin maritime</v>
      </c>
      <c r="B6" s="153">
        <f>'Données projet'!D9</f>
        <v>4.4800000000000004</v>
      </c>
      <c r="C6" s="154">
        <f ca="1">IF(OR('Données projet'!B9="",'Données projet'!C9="",'Données projet'!C9=0%),0,Calculateur!S3)</f>
        <v>260.02504691866199</v>
      </c>
      <c r="D6" s="154">
        <f>IF(OR('Données projet'!B9="",'Données projet'!C9="",'Données projet'!C9=0%),0,Calculateur!T3)</f>
        <v>270.11268336406368</v>
      </c>
      <c r="E6" s="154">
        <f ca="1">MIN(C6,D6)</f>
        <v>260.02504691866199</v>
      </c>
      <c r="F6" s="154">
        <f ca="1">E6*B6</f>
        <v>1164.9122101956059</v>
      </c>
      <c r="G6" s="154">
        <f ca="1">F6*(100%-'Données projet'!$C$24)*(100%-'Données projet'!$C$25)*(100%-'Données projet'!$C$26)*(100%-'Données projet'!$C$27)</f>
        <v>1048.4209891760454</v>
      </c>
      <c r="H6" s="155">
        <f>IF(OR('Données projet'!B9="",'Données projet'!C9="",'Données projet'!C9=0%),0,AVERAGE(Calculateur!$AC$3:$AC$33)*B6)</f>
        <v>43.759413568326025</v>
      </c>
      <c r="I6" s="156">
        <f>H6*(100%-'Données projet'!$C$24)*(100%-'Données projet'!$C$25)*(100%-'Données projet'!$C$26)*(100%-'Données projet'!$C$27)</f>
        <v>39.383472211493427</v>
      </c>
      <c r="J6" s="157">
        <f>IF(OR('Données projet'!B9="",'Données projet'!C9="",'Données projet'!C9=0%),0,SUM(Calculateur!$V$3:$V$33)*VLOOKUP('Données projet'!$B$9,Paramètres!$A$1:$I$89,9,0)*B6)</f>
        <v>380.21415384615386</v>
      </c>
      <c r="K6" s="158">
        <f>J6*(100%-'Données projet'!$C$24)*(100%-'Données projet'!$C$25)*(100%-'Données projet'!$C$26)*(100%-'Données projet'!$C$27)</f>
        <v>342.19273846153851</v>
      </c>
      <c r="L6" s="159">
        <f ca="1">G6+I6+K6</f>
        <v>1429.9971998490773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0" t="str">
        <f>IF('Données projet'!$B$10="","",'Données projet'!$B$10)</f>
        <v>Chêne pubescent</v>
      </c>
      <c r="B7" s="161">
        <f>'Données projet'!D10</f>
        <v>2.94</v>
      </c>
      <c r="C7" s="154">
        <f ca="1">IF(OR('Données projet'!B10="",'Données projet'!C10="",'Données projet'!C10=0%),0,Calculateur!AN3)</f>
        <v>475.47920969424894</v>
      </c>
      <c r="D7" s="154">
        <f>IF(OR('Données projet'!B10="",'Données projet'!C10="",'Données projet'!C10=0%),0,Calculateur!AO3)</f>
        <v>271.73544012419364</v>
      </c>
      <c r="E7" s="154">
        <f t="shared" ref="E7:E15" ca="1" si="0">MIN(C7,D7)</f>
        <v>271.73544012419364</v>
      </c>
      <c r="F7" s="154">
        <f t="shared" ref="F7:F15" ca="1" si="1">E7*B7</f>
        <v>798.9021939651293</v>
      </c>
      <c r="G7" s="154">
        <f ca="1">F7*(100%-'Données projet'!$C$24)*(100%-'Données projet'!$C$25)*(100%-'Données projet'!$C$26)*(100%-'Données projet'!$C$27)</f>
        <v>719.01197456861644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21.315000000000001</v>
      </c>
      <c r="K7" s="158">
        <f>J7*(100%-'Données projet'!$C$24)*(100%-'Données projet'!$C$25)*(100%-'Données projet'!$C$26)*(100%-'Données projet'!$C$27)</f>
        <v>19.183500000000002</v>
      </c>
      <c r="L7" s="159">
        <f t="shared" ref="L7:L15" ca="1" si="2">G7+I7+K7</f>
        <v>738.19547456861642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0" t="str">
        <f>IF('Données projet'!$B$11="","",'Données projet'!$B$11)</f>
        <v>Chêne sessile</v>
      </c>
      <c r="B8" s="161">
        <f>'Données projet'!D11</f>
        <v>2.1</v>
      </c>
      <c r="C8" s="154">
        <f ca="1">IF(OR('Données projet'!B11="",'Données projet'!C11="",'Données projet'!C11=0%),0,Calculateur!BI3)</f>
        <v>325.2649384779973</v>
      </c>
      <c r="D8" s="154">
        <f>IF(OR('Données projet'!B11="",'Données projet'!C11="",'Données projet'!C11=0%),0,Calculateur!BJ3)</f>
        <v>146.70159365068315</v>
      </c>
      <c r="E8" s="154">
        <f t="shared" ca="1" si="0"/>
        <v>146.70159365068315</v>
      </c>
      <c r="F8" s="154">
        <f t="shared" ca="1" si="1"/>
        <v>308.07334666643465</v>
      </c>
      <c r="G8" s="154">
        <f ca="1">F8*(100%-'Données projet'!$C$24)*(100%-'Données projet'!$C$25)*(100%-'Données projet'!$C$26)*(100%-'Données projet'!$C$27)</f>
        <v>277.2660119997912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0</v>
      </c>
      <c r="K8" s="158">
        <f>J8*(100%-'Données projet'!$C$24)*(100%-'Données projet'!$C$25)*(100%-'Données projet'!$C$26)*(100%-'Données projet'!$C$27)</f>
        <v>0</v>
      </c>
      <c r="L8" s="159">
        <f t="shared" ca="1" si="2"/>
        <v>277.2660119997912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0" t="str">
        <f>IF('Données projet'!$B$12="","",'Données projet'!$B$12)</f>
        <v>Séquoia toujours vert</v>
      </c>
      <c r="B9" s="161">
        <f>'Données projet'!D12</f>
        <v>1.26</v>
      </c>
      <c r="C9" s="154">
        <f ca="1">IF(OR('Données projet'!B12="",'Données projet'!C12="",'Données projet'!C12=0%),0,Calculateur!CD3)</f>
        <v>401.84375324751227</v>
      </c>
      <c r="D9" s="154">
        <f>IF(OR('Données projet'!B12="",'Données projet'!C12="",'Données projet'!C12=0%),0,Calculateur!CE3)</f>
        <v>350.39368043404164</v>
      </c>
      <c r="E9" s="154">
        <f t="shared" ca="1" si="0"/>
        <v>350.39368043404164</v>
      </c>
      <c r="F9" s="154">
        <f t="shared" ca="1" si="1"/>
        <v>441.49603734689248</v>
      </c>
      <c r="G9" s="154">
        <f ca="1">F9*(100%-'Données projet'!$C$24)*(100%-'Données projet'!$C$25)*(100%-'Données projet'!$C$26)*(100%-'Données projet'!$C$27)</f>
        <v>397.34643361220321</v>
      </c>
      <c r="H9" s="162">
        <f>IF(OR('Données projet'!B12="",'Données projet'!C12="",'Données projet'!C12=0%),0,AVERAGE(Calculateur!$CN$3:$CN$33)*B9)</f>
        <v>5.042734100618584</v>
      </c>
      <c r="I9" s="156">
        <f>H9*(100%-'Données projet'!$C$24)*(100%-'Données projet'!$C$25)*(100%-'Données projet'!$C$26)*(100%-'Données projet'!$C$27)</f>
        <v>4.5384606905567253</v>
      </c>
      <c r="J9" s="157">
        <f>IF(OR('Données projet'!B12="",'Données projet'!C12="",'Données projet'!C12=0%),0,SUM(Calculateur!$CG$3:$CG$33)*VLOOKUP('Données projet'!$B$12,Paramètres!$A$1:$I$89,9,0)*B9)</f>
        <v>34.133400000000002</v>
      </c>
      <c r="K9" s="158">
        <f>J9*(100%-'Données projet'!$C$24)*(100%-'Données projet'!$C$25)*(100%-'Données projet'!$C$26)*(100%-'Données projet'!$C$27)</f>
        <v>30.720060000000004</v>
      </c>
      <c r="L9" s="159">
        <f t="shared" ca="1" si="2"/>
        <v>432.60495430275995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0" t="str">
        <f>IF('Données projet'!$B$13="","",'Données projet'!$B$13)</f>
        <v>Pin laricio</v>
      </c>
      <c r="B10" s="161">
        <f>'Données projet'!D13</f>
        <v>1.26</v>
      </c>
      <c r="C10" s="154">
        <f ca="1">IF(OR('Données projet'!B13="",'Données projet'!C13="",'Données projet'!C13=0%),0,Calculateur!CY3)</f>
        <v>232.73140429491525</v>
      </c>
      <c r="D10" s="154">
        <f>IF(OR('Données projet'!B13="",'Données projet'!C13="",'Données projet'!C13=0%),0,Calculateur!CZ3)</f>
        <v>201.02719152328638</v>
      </c>
      <c r="E10" s="154">
        <f t="shared" ca="1" si="0"/>
        <v>201.02719152328638</v>
      </c>
      <c r="F10" s="154">
        <f t="shared" ca="1" si="1"/>
        <v>253.29426131934085</v>
      </c>
      <c r="G10" s="154">
        <f ca="1">F10*(100%-'Données projet'!$C$24)*(100%-'Données projet'!$C$25)*(100%-'Données projet'!$C$26)*(100%-'Données projet'!$C$27)</f>
        <v>227.96483518740678</v>
      </c>
      <c r="H10" s="162">
        <f>IF(OR('Données projet'!B13="",'Données projet'!C13="",'Données projet'!C13=0%),0,AVERAGE(Calculateur!$DI$3:$DI$33)*B10)</f>
        <v>4.1982993168400071</v>
      </c>
      <c r="I10" s="156">
        <f>H10*(100%-'Données projet'!$C$24)*(100%-'Données projet'!$C$25)*(100%-'Données projet'!$C$26)*(100%-'Données projet'!$C$27)</f>
        <v>3.7784693851560065</v>
      </c>
      <c r="J10" s="157">
        <f>IF(OR('Données projet'!B13="",'Données projet'!C13="",'Données projet'!C13=0%),0,SUM(Calculateur!$DB$3:$DB$33)*VLOOKUP('Données projet'!$B$13,Paramètres!$A$1:$I$89,9,0)*B10)</f>
        <v>27.87352615384615</v>
      </c>
      <c r="K10" s="158">
        <f>J10*(100%-'Données projet'!$C$24)*(100%-'Données projet'!$C$25)*(100%-'Données projet'!$C$26)*(100%-'Données projet'!$C$27)</f>
        <v>25.086173538461537</v>
      </c>
      <c r="L10" s="159">
        <f t="shared" ca="1" si="2"/>
        <v>256.82947811102429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0" t="str">
        <f>IF('Données projet'!$B$14="","",'Données projet'!$B$14)</f>
        <v>Charme</v>
      </c>
      <c r="B11" s="161">
        <f>'Données projet'!D14</f>
        <v>1.1200000000000001</v>
      </c>
      <c r="C11" s="154">
        <f ca="1">IF(OR('Données projet'!B14="",'Données projet'!C14="",'Données projet'!C14=0%),0,Calculateur!DT3)</f>
        <v>302.15577364214136</v>
      </c>
      <c r="D11" s="154">
        <f>IF(OR('Données projet'!B14="",'Données projet'!C14="",'Données projet'!C14=0%),0,Calculateur!DU3)</f>
        <v>197.15142751137051</v>
      </c>
      <c r="E11" s="154">
        <f t="shared" ca="1" si="0"/>
        <v>197.15142751137051</v>
      </c>
      <c r="F11" s="154">
        <f t="shared" ca="1" si="1"/>
        <v>220.809598812735</v>
      </c>
      <c r="G11" s="154">
        <f ca="1">F11*(100%-'Données projet'!$C$24)*(100%-'Données projet'!$C$25)*(100%-'Données projet'!$C$26)*(100%-'Données projet'!$C$27)</f>
        <v>198.72863893146152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5.384615384615385</v>
      </c>
      <c r="K11" s="158">
        <f>J11*(100%-'Données projet'!$C$24)*(100%-'Données projet'!$C$25)*(100%-'Données projet'!$C$26)*(100%-'Données projet'!$C$27)</f>
        <v>4.8461538461538467</v>
      </c>
      <c r="L11" s="159">
        <f t="shared" ca="1" si="2"/>
        <v>203.57479277761536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0" t="str">
        <f>IF('Données projet'!$B$15="","",'Données projet'!$B$15)</f>
        <v>Chêne chevelu</v>
      </c>
      <c r="B12" s="161">
        <f>'Données projet'!D15</f>
        <v>0.70000000000000007</v>
      </c>
      <c r="C12" s="154">
        <f ca="1">IF(OR('Données projet'!B15="",'Données projet'!C15="",'Données projet'!C15=0%),0,Calculateur!EO3)</f>
        <v>493.70175665335978</v>
      </c>
      <c r="D12" s="154">
        <f>IF(OR('Données projet'!B15="",'Données projet'!C15="",'Données projet'!C15=0%),0,Calculateur!EP3)</f>
        <v>325.12357781685949</v>
      </c>
      <c r="E12" s="154">
        <f t="shared" ca="1" si="0"/>
        <v>325.12357781685949</v>
      </c>
      <c r="F12" s="154">
        <f t="shared" ca="1" si="1"/>
        <v>227.58650447180167</v>
      </c>
      <c r="G12" s="154">
        <f ca="1">F12*(100%-'Données projet'!$C$24)*(100%-'Données projet'!$C$25)*(100%-'Données projet'!$C$26)*(100%-'Données projet'!$C$27)</f>
        <v>204.8278540246215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4.9358974358974361</v>
      </c>
      <c r="K12" s="158">
        <f>J12*(100%-'Données projet'!$C$24)*(100%-'Données projet'!$C$25)*(100%-'Données projet'!$C$26)*(100%-'Données projet'!$C$27)</f>
        <v>4.4423076923076925</v>
      </c>
      <c r="L12" s="159">
        <f t="shared" ca="1" si="2"/>
        <v>209.27016171692918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0" t="str">
        <f>IF('Données projet'!$B$16="","",'Données projet'!$B$16)</f>
        <v/>
      </c>
      <c r="B13" s="161">
        <f>'Données projet'!D16</f>
        <v>0</v>
      </c>
      <c r="C13" s="154">
        <f>IF(OR('Données projet'!B16="",'Données projet'!C16="",'Données projet'!C16=0%),0,Calculateur!FJ3)</f>
        <v>0</v>
      </c>
      <c r="D13" s="154">
        <f>IF(OR('Données projet'!B16="",'Données projet'!C16="",'Données projet'!C16=0%),0,Calculateur!FK3)</f>
        <v>0</v>
      </c>
      <c r="E13" s="154">
        <f t="shared" si="0"/>
        <v>0</v>
      </c>
      <c r="F13" s="154">
        <f t="shared" si="1"/>
        <v>0</v>
      </c>
      <c r="G13" s="154">
        <f>F13*(100%-'Données projet'!$C$24)*(100%-'Données projet'!$C$25)*(100%-'Données projet'!$C$26)*(100%-'Données projet'!$C$27)</f>
        <v>0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0</v>
      </c>
      <c r="K13" s="158">
        <f>J13*(100%-'Données projet'!$C$24)*(100%-'Données projet'!$C$25)*(100%-'Données projet'!$C$26)*(100%-'Données projet'!$C$27)</f>
        <v>0</v>
      </c>
      <c r="L13" s="159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0" t="str">
        <f>IF('Données projet'!$B$17="","",'Données projet'!$B$17)</f>
        <v/>
      </c>
      <c r="B14" s="161">
        <f>'Données projet'!D17</f>
        <v>0</v>
      </c>
      <c r="C14" s="154">
        <f>IF(OR('Données projet'!B17="",'Données projet'!C17="",'Données projet'!C17=0%),0,Calculateur!GE3)</f>
        <v>0</v>
      </c>
      <c r="D14" s="154">
        <f>IF(OR('Données projet'!B17="",'Données projet'!C17="",'Données projet'!C17=0%),0,Calculateur!GF3)</f>
        <v>0</v>
      </c>
      <c r="E14" s="154">
        <f t="shared" si="0"/>
        <v>0</v>
      </c>
      <c r="F14" s="154">
        <f t="shared" si="1"/>
        <v>0</v>
      </c>
      <c r="G14" s="154">
        <f>F14*(100%-'Données projet'!$C$24)*(100%-'Données projet'!$C$25)*(100%-'Données projet'!$C$26)*(100%-'Données projet'!$C$27)</f>
        <v>0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0</v>
      </c>
      <c r="K14" s="158">
        <f>J14*(100%-'Données projet'!$C$24)*(100%-'Données projet'!$C$25)*(100%-'Données projet'!$C$26)*(100%-'Données projet'!$C$27)</f>
        <v>0</v>
      </c>
      <c r="L14" s="159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4"/>
      <c r="B16" s="231"/>
      <c r="C16" s="232">
        <v>3074</v>
      </c>
      <c r="D16" s="25"/>
      <c r="E16" s="25" t="s">
        <v>324</v>
      </c>
      <c r="F16" s="172">
        <f t="shared" ref="F16:L16" ca="1" si="3">SUM(F6:F15)</f>
        <v>3415.0741527779401</v>
      </c>
      <c r="G16" s="173">
        <f t="shared" ca="1" si="3"/>
        <v>3073.5667375001458</v>
      </c>
      <c r="H16" s="174">
        <f t="shared" si="3"/>
        <v>53.000446985784613</v>
      </c>
      <c r="I16" s="174">
        <f t="shared" si="3"/>
        <v>47.70040228720616</v>
      </c>
      <c r="J16" s="175">
        <f t="shared" si="3"/>
        <v>473.85659282051284</v>
      </c>
      <c r="K16" s="175">
        <f t="shared" si="3"/>
        <v>426.47093353846157</v>
      </c>
      <c r="L16" s="176">
        <f t="shared" ca="1" si="3"/>
        <v>3547.7380733258137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4"/>
      <c r="B17" s="231"/>
      <c r="C17" s="232"/>
      <c r="D17" s="229"/>
      <c r="E17" s="229"/>
      <c r="F17" s="318" t="s">
        <v>246</v>
      </c>
      <c r="G17" s="319"/>
      <c r="H17" s="319"/>
      <c r="I17" s="319"/>
      <c r="J17" s="319"/>
      <c r="K17" s="319"/>
      <c r="L17" s="319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4"/>
      <c r="B18" s="231"/>
      <c r="C18" s="232"/>
      <c r="D18" s="229"/>
      <c r="E18" s="229"/>
      <c r="F18" s="320"/>
      <c r="G18" s="320"/>
      <c r="H18" s="320"/>
      <c r="I18" s="320"/>
      <c r="J18" s="320"/>
      <c r="K18" s="320"/>
      <c r="L18" s="320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9"/>
      <c r="J19" s="229"/>
      <c r="K19" s="229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9"/>
      <c r="J20" s="229"/>
      <c r="K20" s="229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7" t="str">
        <f>A6</f>
        <v>Pin maritime</v>
      </c>
      <c r="B21" s="5"/>
      <c r="C21" s="5"/>
      <c r="D21" s="5"/>
      <c r="E21" s="5"/>
      <c r="F21" s="5"/>
      <c r="G21" s="5"/>
      <c r="H21" s="5"/>
      <c r="I21" s="229"/>
      <c r="J21" s="229"/>
      <c r="K21" s="229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9"/>
      <c r="J22" s="229"/>
      <c r="K22" s="229"/>
      <c r="L22" s="229"/>
      <c r="M22" s="229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9"/>
      <c r="J23" s="229"/>
      <c r="K23" s="229"/>
      <c r="L23" s="229"/>
      <c r="M23" s="229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9"/>
      <c r="J24" s="229"/>
      <c r="K24" s="229"/>
      <c r="L24" s="229"/>
      <c r="M24" s="229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9"/>
      <c r="J25" s="229"/>
      <c r="K25" s="229"/>
      <c r="L25" s="229"/>
      <c r="M25" s="229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9"/>
      <c r="J26" s="229"/>
      <c r="K26" s="229"/>
      <c r="L26" s="229"/>
      <c r="M26" s="229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9"/>
      <c r="J27" s="229"/>
      <c r="K27" s="229"/>
      <c r="L27" s="229"/>
      <c r="M27" s="229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9"/>
      <c r="J28" s="229"/>
      <c r="K28" s="229"/>
      <c r="L28" s="229"/>
      <c r="M28" s="229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9"/>
      <c r="J29" s="229"/>
      <c r="K29" s="229"/>
      <c r="L29" s="229"/>
      <c r="M29" s="229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9"/>
      <c r="J30" s="229"/>
      <c r="K30" s="229"/>
      <c r="L30" s="229"/>
      <c r="M30" s="229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9"/>
      <c r="J31" s="229"/>
      <c r="K31" s="229"/>
      <c r="L31" s="229"/>
      <c r="M31" s="229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9"/>
      <c r="J32" s="229"/>
      <c r="K32" s="229"/>
      <c r="L32" s="229"/>
      <c r="M32" s="229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9"/>
      <c r="J33" s="229"/>
      <c r="K33" s="229"/>
      <c r="L33" s="229"/>
      <c r="M33" s="229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9"/>
      <c r="J34" s="229"/>
      <c r="K34" s="229"/>
      <c r="L34" s="229"/>
      <c r="M34" s="229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9"/>
      <c r="J35" s="229"/>
      <c r="K35" s="229"/>
      <c r="L35" s="229"/>
      <c r="M35" s="229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9"/>
      <c r="J36" s="229"/>
      <c r="K36" s="229"/>
      <c r="L36" s="229"/>
      <c r="M36" s="229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9"/>
      <c r="J37" s="229"/>
      <c r="K37" s="229"/>
      <c r="L37" s="229"/>
      <c r="M37" s="229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9"/>
      <c r="J38" s="229"/>
      <c r="K38" s="229"/>
      <c r="L38" s="229"/>
      <c r="M38" s="229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7" t="str">
        <f>A7</f>
        <v>Chêne pubescent</v>
      </c>
      <c r="B39" s="5"/>
      <c r="C39" s="5"/>
      <c r="D39" s="5"/>
      <c r="E39" s="5"/>
      <c r="F39" s="5"/>
      <c r="G39" s="5"/>
      <c r="H39" s="5"/>
      <c r="I39" s="229"/>
      <c r="J39" s="229"/>
      <c r="K39" s="229"/>
      <c r="L39" s="229"/>
      <c r="M39" s="229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9"/>
      <c r="J40" s="229"/>
      <c r="K40" s="229"/>
      <c r="L40" s="229"/>
      <c r="M40" s="229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9"/>
      <c r="J41" s="229"/>
      <c r="K41" s="229"/>
      <c r="L41" s="229"/>
      <c r="M41" s="229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9"/>
      <c r="J42" s="229"/>
      <c r="K42" s="229"/>
      <c r="L42" s="229"/>
      <c r="M42" s="229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9"/>
      <c r="J43" s="229"/>
      <c r="K43" s="229"/>
      <c r="L43" s="229"/>
      <c r="M43" s="229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9"/>
      <c r="J44" s="229"/>
      <c r="K44" s="229"/>
      <c r="L44" s="229"/>
      <c r="M44" s="229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9"/>
      <c r="J45" s="229"/>
      <c r="K45" s="229"/>
      <c r="L45" s="229"/>
      <c r="M45" s="229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9"/>
      <c r="J46" s="229"/>
      <c r="K46" s="229"/>
      <c r="L46" s="229"/>
      <c r="M46" s="229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9"/>
      <c r="J47" s="229"/>
      <c r="K47" s="229"/>
      <c r="L47" s="229"/>
      <c r="M47" s="229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9"/>
      <c r="J48" s="229"/>
      <c r="K48" s="229"/>
      <c r="L48" s="229"/>
      <c r="M48" s="229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9"/>
      <c r="J49" s="229"/>
      <c r="K49" s="229"/>
      <c r="L49" s="229"/>
      <c r="M49" s="229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9"/>
      <c r="J50" s="229"/>
      <c r="K50" s="229"/>
      <c r="L50" s="229"/>
      <c r="M50" s="229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9"/>
      <c r="J51" s="229"/>
      <c r="K51" s="229"/>
      <c r="L51" s="229"/>
      <c r="M51" s="229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9"/>
      <c r="J52" s="229"/>
      <c r="K52" s="229"/>
      <c r="L52" s="229"/>
      <c r="M52" s="229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9"/>
      <c r="J53" s="229"/>
      <c r="K53" s="229"/>
      <c r="L53" s="229"/>
      <c r="M53" s="229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9"/>
      <c r="J54" s="229"/>
      <c r="K54" s="229"/>
      <c r="L54" s="229"/>
      <c r="M54" s="229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9"/>
      <c r="J55" s="229"/>
      <c r="K55" s="229"/>
      <c r="L55" s="229"/>
      <c r="M55" s="229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9"/>
      <c r="J56" s="229"/>
      <c r="K56" s="229"/>
      <c r="L56" s="229"/>
      <c r="M56" s="229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7" t="str">
        <f>A8</f>
        <v>Chêne sessile</v>
      </c>
      <c r="B57" s="5"/>
      <c r="C57" s="5"/>
      <c r="D57" s="5"/>
      <c r="E57" s="5"/>
      <c r="F57" s="5"/>
      <c r="G57" s="5"/>
      <c r="H57" s="5"/>
      <c r="I57" s="229"/>
      <c r="J57" s="229"/>
      <c r="K57" s="229"/>
      <c r="L57" s="229"/>
      <c r="M57" s="229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9"/>
      <c r="J58" s="229"/>
      <c r="K58" s="229"/>
      <c r="L58" s="229"/>
      <c r="M58" s="229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9"/>
      <c r="J59" s="229"/>
      <c r="K59" s="229"/>
      <c r="L59" s="229"/>
      <c r="M59" s="229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9"/>
      <c r="J60" s="229"/>
      <c r="K60" s="229"/>
      <c r="L60" s="229"/>
      <c r="M60" s="229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9"/>
      <c r="J61" s="229"/>
      <c r="K61" s="229"/>
      <c r="L61" s="229"/>
      <c r="M61" s="229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9"/>
      <c r="J62" s="229"/>
      <c r="K62" s="229"/>
      <c r="L62" s="229"/>
      <c r="M62" s="229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9"/>
      <c r="J63" s="229"/>
      <c r="K63" s="229"/>
      <c r="L63" s="229"/>
      <c r="M63" s="229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9"/>
      <c r="J64" s="229"/>
      <c r="K64" s="229"/>
      <c r="L64" s="229"/>
      <c r="M64" s="229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9"/>
      <c r="J65" s="229"/>
      <c r="K65" s="229"/>
      <c r="L65" s="229"/>
      <c r="M65" s="229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9"/>
      <c r="J66" s="229"/>
      <c r="K66" s="229"/>
      <c r="L66" s="229"/>
      <c r="M66" s="229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9"/>
      <c r="J67" s="229"/>
      <c r="K67" s="229"/>
      <c r="L67" s="229"/>
      <c r="M67" s="229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9"/>
      <c r="J68" s="229"/>
      <c r="K68" s="229"/>
      <c r="L68" s="229"/>
      <c r="M68" s="229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9"/>
      <c r="J69" s="229"/>
      <c r="K69" s="229"/>
      <c r="L69" s="229"/>
      <c r="M69" s="229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9"/>
      <c r="J70" s="229"/>
      <c r="K70" s="229"/>
      <c r="L70" s="229"/>
      <c r="M70" s="229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9"/>
      <c r="J71" s="229"/>
      <c r="K71" s="229"/>
      <c r="L71" s="229"/>
      <c r="M71" s="229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9"/>
      <c r="J72" s="229"/>
      <c r="K72" s="229"/>
      <c r="L72" s="229"/>
      <c r="M72" s="229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9"/>
      <c r="J73" s="229"/>
      <c r="K73" s="229"/>
      <c r="L73" s="229"/>
      <c r="M73" s="229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9"/>
      <c r="J74" s="229"/>
      <c r="K74" s="229"/>
      <c r="L74" s="229"/>
      <c r="M74" s="229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9"/>
      <c r="J75" s="229"/>
      <c r="K75" s="229"/>
      <c r="L75" s="229"/>
      <c r="M75" s="229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7" t="str">
        <f>A9</f>
        <v>Séquoia toujours vert</v>
      </c>
      <c r="B76" s="5"/>
      <c r="C76" s="5"/>
      <c r="D76" s="5"/>
      <c r="E76" s="5"/>
      <c r="F76" s="5"/>
      <c r="G76" s="5"/>
      <c r="H76" s="5"/>
      <c r="I76" s="229"/>
      <c r="J76" s="229"/>
      <c r="K76" s="229"/>
      <c r="L76" s="229"/>
      <c r="M76" s="229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9"/>
      <c r="J77" s="229"/>
      <c r="K77" s="229"/>
      <c r="L77" s="229"/>
      <c r="M77" s="229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9"/>
      <c r="J78" s="229"/>
      <c r="K78" s="229"/>
      <c r="L78" s="229"/>
      <c r="M78" s="229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9"/>
      <c r="J79" s="229"/>
      <c r="K79" s="229"/>
      <c r="L79" s="229"/>
      <c r="M79" s="229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9"/>
      <c r="J80" s="229"/>
      <c r="K80" s="229"/>
      <c r="L80" s="229"/>
      <c r="M80" s="229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9"/>
      <c r="J81" s="229"/>
      <c r="K81" s="229"/>
      <c r="L81" s="229"/>
      <c r="M81" s="229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9"/>
      <c r="J82" s="229"/>
      <c r="K82" s="229"/>
      <c r="L82" s="229"/>
      <c r="M82" s="229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9"/>
      <c r="J83" s="229"/>
      <c r="K83" s="229"/>
      <c r="L83" s="229"/>
      <c r="M83" s="229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9"/>
      <c r="J84" s="229"/>
      <c r="K84" s="229"/>
      <c r="L84" s="229"/>
      <c r="M84" s="229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9"/>
      <c r="J85" s="229"/>
      <c r="K85" s="229"/>
      <c r="L85" s="229"/>
      <c r="M85" s="229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9"/>
      <c r="J86" s="229"/>
      <c r="K86" s="229"/>
      <c r="L86" s="229"/>
      <c r="M86" s="229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9"/>
      <c r="J87" s="229"/>
      <c r="K87" s="229"/>
      <c r="L87" s="229"/>
      <c r="M87" s="229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9"/>
      <c r="J88" s="229"/>
      <c r="K88" s="229"/>
      <c r="L88" s="229"/>
      <c r="M88" s="229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9"/>
      <c r="J89" s="229"/>
      <c r="K89" s="229"/>
      <c r="L89" s="229"/>
      <c r="M89" s="229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9"/>
      <c r="J90" s="229"/>
      <c r="K90" s="229"/>
      <c r="L90" s="229"/>
      <c r="M90" s="229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9"/>
      <c r="J91" s="229"/>
      <c r="K91" s="229"/>
      <c r="L91" s="229"/>
      <c r="M91" s="229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9"/>
      <c r="J92" s="229"/>
      <c r="K92" s="229"/>
      <c r="L92" s="229"/>
      <c r="M92" s="229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9"/>
      <c r="J93" s="229"/>
      <c r="K93" s="229"/>
      <c r="L93" s="229"/>
      <c r="M93" s="229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7" t="str">
        <f>A10</f>
        <v>Pin laricio</v>
      </c>
      <c r="B94" s="5"/>
      <c r="C94" s="5"/>
      <c r="D94" s="5"/>
      <c r="E94" s="5"/>
      <c r="F94" s="5"/>
      <c r="G94" s="5"/>
      <c r="H94" s="5"/>
      <c r="I94" s="229"/>
      <c r="J94" s="229"/>
      <c r="K94" s="229"/>
      <c r="L94" s="229"/>
      <c r="M94" s="229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9"/>
      <c r="J95" s="229"/>
      <c r="K95" s="229"/>
      <c r="L95" s="229"/>
      <c r="M95" s="229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9"/>
      <c r="J96" s="229"/>
      <c r="K96" s="229"/>
      <c r="L96" s="229"/>
      <c r="M96" s="229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9"/>
      <c r="J97" s="229"/>
      <c r="K97" s="229"/>
      <c r="L97" s="229"/>
      <c r="M97" s="229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9"/>
      <c r="J98" s="229"/>
      <c r="K98" s="229"/>
      <c r="L98" s="229"/>
      <c r="M98" s="229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9"/>
      <c r="J99" s="229"/>
      <c r="K99" s="229"/>
      <c r="L99" s="229"/>
      <c r="M99" s="229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9"/>
      <c r="J100" s="229"/>
      <c r="K100" s="229"/>
      <c r="L100" s="229"/>
      <c r="M100" s="229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9"/>
      <c r="J101" s="229"/>
      <c r="K101" s="229"/>
      <c r="L101" s="229"/>
      <c r="M101" s="229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9"/>
      <c r="J102" s="229"/>
      <c r="K102" s="229"/>
      <c r="L102" s="229"/>
      <c r="M102" s="229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9"/>
      <c r="J103" s="229"/>
      <c r="K103" s="229"/>
      <c r="L103" s="229"/>
      <c r="M103" s="229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9"/>
      <c r="J104" s="229"/>
      <c r="K104" s="229"/>
      <c r="L104" s="229"/>
      <c r="M104" s="229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9"/>
      <c r="J105" s="229"/>
      <c r="K105" s="229"/>
      <c r="L105" s="229"/>
      <c r="M105" s="229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9"/>
      <c r="J106" s="229"/>
      <c r="K106" s="229"/>
      <c r="L106" s="229"/>
      <c r="M106" s="229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9"/>
      <c r="J107" s="229"/>
      <c r="K107" s="229"/>
      <c r="L107" s="229"/>
      <c r="M107" s="229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9"/>
      <c r="J108" s="229"/>
      <c r="K108" s="229"/>
      <c r="L108" s="229"/>
      <c r="M108" s="229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9"/>
      <c r="J109" s="229"/>
      <c r="K109" s="229"/>
      <c r="L109" s="229"/>
      <c r="M109" s="229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9"/>
      <c r="J110" s="229"/>
      <c r="K110" s="229"/>
      <c r="L110" s="229"/>
      <c r="M110" s="229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9"/>
      <c r="J111" s="229"/>
      <c r="K111" s="229"/>
      <c r="L111" s="229"/>
      <c r="M111" s="229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7" t="str">
        <f>A11</f>
        <v>Charme</v>
      </c>
      <c r="B112" s="5"/>
      <c r="C112" s="5"/>
      <c r="D112" s="5"/>
      <c r="E112" s="5"/>
      <c r="F112" s="5"/>
      <c r="G112" s="5"/>
      <c r="H112" s="5"/>
      <c r="I112" s="229"/>
      <c r="J112" s="229"/>
      <c r="K112" s="229"/>
      <c r="L112" s="229"/>
      <c r="M112" s="229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9"/>
      <c r="J113" s="229"/>
      <c r="K113" s="229"/>
      <c r="L113" s="229"/>
      <c r="M113" s="229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9"/>
      <c r="J114" s="229"/>
      <c r="K114" s="229"/>
      <c r="L114" s="229"/>
      <c r="M114" s="229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9"/>
      <c r="J115" s="229"/>
      <c r="K115" s="229"/>
      <c r="L115" s="229"/>
      <c r="M115" s="229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9"/>
      <c r="J116" s="229"/>
      <c r="K116" s="229"/>
      <c r="L116" s="229"/>
      <c r="M116" s="229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9"/>
      <c r="J117" s="229"/>
      <c r="K117" s="229"/>
      <c r="L117" s="229"/>
      <c r="M117" s="229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9"/>
      <c r="J118" s="229"/>
      <c r="K118" s="229"/>
      <c r="L118" s="229"/>
      <c r="M118" s="229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9"/>
      <c r="J119" s="229"/>
      <c r="K119" s="229"/>
      <c r="L119" s="229"/>
      <c r="M119" s="229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9"/>
      <c r="J120" s="229"/>
      <c r="K120" s="229"/>
      <c r="L120" s="229"/>
      <c r="M120" s="229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9"/>
      <c r="J121" s="229"/>
      <c r="K121" s="229"/>
      <c r="L121" s="229"/>
      <c r="M121" s="229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9"/>
      <c r="J122" s="229"/>
      <c r="K122" s="229"/>
      <c r="L122" s="229"/>
      <c r="M122" s="229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9"/>
      <c r="J123" s="229"/>
      <c r="K123" s="229"/>
      <c r="L123" s="229"/>
      <c r="M123" s="229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9"/>
      <c r="J124" s="229"/>
      <c r="K124" s="229"/>
      <c r="L124" s="229"/>
      <c r="M124" s="229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9"/>
      <c r="J125" s="229"/>
      <c r="K125" s="229"/>
      <c r="L125" s="229"/>
      <c r="M125" s="229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9"/>
      <c r="J126" s="229"/>
      <c r="K126" s="229"/>
      <c r="L126" s="229"/>
      <c r="M126" s="229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9"/>
      <c r="J127" s="229"/>
      <c r="K127" s="229"/>
      <c r="L127" s="229"/>
      <c r="M127" s="229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9"/>
      <c r="J128" s="229"/>
      <c r="K128" s="229"/>
      <c r="L128" s="229"/>
      <c r="M128" s="229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9"/>
      <c r="J129" s="229"/>
      <c r="K129" s="229"/>
      <c r="L129" s="229"/>
      <c r="M129" s="229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7" t="str">
        <f>A12</f>
        <v>Chêne chevelu</v>
      </c>
      <c r="B130" s="5"/>
      <c r="C130" s="5"/>
      <c r="D130" s="5"/>
      <c r="E130" s="5"/>
      <c r="F130" s="5"/>
      <c r="G130" s="5"/>
      <c r="H130" s="5"/>
      <c r="I130" s="229"/>
      <c r="J130" s="229"/>
      <c r="K130" s="229"/>
      <c r="L130" s="229"/>
      <c r="M130" s="229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9"/>
      <c r="J131" s="229"/>
      <c r="K131" s="229"/>
      <c r="L131" s="229"/>
      <c r="M131" s="229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9"/>
      <c r="J132" s="229"/>
      <c r="K132" s="229"/>
      <c r="L132" s="229"/>
      <c r="M132" s="229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9"/>
      <c r="J133" s="229"/>
      <c r="K133" s="229"/>
      <c r="L133" s="229"/>
      <c r="M133" s="229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9"/>
      <c r="J134" s="229"/>
      <c r="K134" s="229"/>
      <c r="L134" s="229"/>
      <c r="M134" s="229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9"/>
      <c r="J135" s="229"/>
      <c r="K135" s="229"/>
      <c r="L135" s="229"/>
      <c r="M135" s="229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9"/>
      <c r="J136" s="229"/>
      <c r="K136" s="229"/>
      <c r="L136" s="229"/>
      <c r="M136" s="229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9"/>
      <c r="J137" s="229"/>
      <c r="K137" s="229"/>
      <c r="L137" s="229"/>
      <c r="M137" s="229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9"/>
      <c r="J138" s="229"/>
      <c r="K138" s="229"/>
      <c r="L138" s="229"/>
      <c r="M138" s="229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9"/>
      <c r="J139" s="229"/>
      <c r="K139" s="229"/>
      <c r="L139" s="229"/>
      <c r="M139" s="229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9"/>
      <c r="J140" s="229"/>
      <c r="K140" s="229"/>
      <c r="L140" s="229"/>
      <c r="M140" s="229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9"/>
      <c r="J141" s="229"/>
      <c r="K141" s="229"/>
      <c r="L141" s="229"/>
      <c r="M141" s="229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9"/>
      <c r="J142" s="229"/>
      <c r="K142" s="229"/>
      <c r="L142" s="229"/>
      <c r="M142" s="229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9"/>
      <c r="J143" s="229"/>
      <c r="K143" s="229"/>
      <c r="L143" s="229"/>
      <c r="M143" s="229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9"/>
      <c r="J144" s="229"/>
      <c r="K144" s="229"/>
      <c r="L144" s="229"/>
      <c r="M144" s="229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9"/>
      <c r="J145" s="229"/>
      <c r="K145" s="229"/>
      <c r="L145" s="229"/>
      <c r="M145" s="229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9"/>
      <c r="J146" s="229"/>
      <c r="K146" s="229"/>
      <c r="L146" s="229"/>
      <c r="M146" s="229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9"/>
      <c r="J147" s="229"/>
      <c r="K147" s="229"/>
      <c r="L147" s="229"/>
      <c r="M147" s="229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7" t="str">
        <f>A13</f>
        <v/>
      </c>
      <c r="B148" s="5"/>
      <c r="C148" s="5"/>
      <c r="D148" s="5"/>
      <c r="E148" s="5"/>
      <c r="F148" s="5"/>
      <c r="G148" s="5"/>
      <c r="H148" s="5"/>
      <c r="I148" s="229"/>
      <c r="J148" s="229"/>
      <c r="K148" s="229"/>
      <c r="L148" s="229"/>
      <c r="M148" s="229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9"/>
      <c r="J149" s="229"/>
      <c r="K149" s="229"/>
      <c r="L149" s="229"/>
      <c r="M149" s="229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9"/>
      <c r="J150" s="229"/>
      <c r="K150" s="229"/>
      <c r="L150" s="229"/>
      <c r="M150" s="229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9"/>
      <c r="J151" s="229"/>
      <c r="K151" s="229"/>
      <c r="L151" s="229"/>
      <c r="M151" s="229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9"/>
      <c r="J152" s="229"/>
      <c r="K152" s="229"/>
      <c r="L152" s="229"/>
      <c r="M152" s="229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9"/>
      <c r="J153" s="229"/>
      <c r="K153" s="229"/>
      <c r="L153" s="229"/>
      <c r="M153" s="229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9"/>
      <c r="J154" s="229"/>
      <c r="K154" s="229"/>
      <c r="L154" s="229"/>
      <c r="M154" s="229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9"/>
      <c r="J155" s="229"/>
      <c r="K155" s="229"/>
      <c r="L155" s="229"/>
      <c r="M155" s="229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9"/>
      <c r="J156" s="229"/>
      <c r="K156" s="229"/>
      <c r="L156" s="229"/>
      <c r="M156" s="229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9"/>
      <c r="J157" s="229"/>
      <c r="K157" s="229"/>
      <c r="L157" s="229"/>
      <c r="M157" s="229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9"/>
      <c r="J158" s="229"/>
      <c r="K158" s="229"/>
      <c r="L158" s="229"/>
      <c r="M158" s="229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9"/>
      <c r="J159" s="229"/>
      <c r="K159" s="229"/>
      <c r="L159" s="229"/>
      <c r="M159" s="229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9"/>
      <c r="J160" s="229"/>
      <c r="K160" s="229"/>
      <c r="L160" s="229"/>
      <c r="M160" s="229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9"/>
      <c r="J161" s="229"/>
      <c r="K161" s="229"/>
      <c r="L161" s="229"/>
      <c r="M161" s="229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9"/>
      <c r="J162" s="229"/>
      <c r="K162" s="229"/>
      <c r="L162" s="229"/>
      <c r="M162" s="229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9"/>
      <c r="J163" s="229"/>
      <c r="K163" s="229"/>
      <c r="L163" s="229"/>
      <c r="M163" s="229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9"/>
      <c r="J164" s="229"/>
      <c r="K164" s="229"/>
      <c r="L164" s="229"/>
      <c r="M164" s="229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9"/>
      <c r="J165" s="229"/>
      <c r="K165" s="229"/>
      <c r="L165" s="229"/>
      <c r="M165" s="229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7" t="str">
        <f>A14</f>
        <v/>
      </c>
      <c r="B166" s="5"/>
      <c r="C166" s="5"/>
      <c r="D166" s="5"/>
      <c r="E166" s="5"/>
      <c r="F166" s="5"/>
      <c r="G166" s="5"/>
      <c r="H166" s="5"/>
      <c r="I166" s="229"/>
      <c r="J166" s="229"/>
      <c r="K166" s="229"/>
      <c r="L166" s="229"/>
      <c r="M166" s="229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9"/>
      <c r="J167" s="229"/>
      <c r="K167" s="229"/>
      <c r="L167" s="229"/>
      <c r="M167" s="229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9"/>
      <c r="J168" s="229"/>
      <c r="K168" s="229"/>
      <c r="L168" s="229"/>
      <c r="M168" s="229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9"/>
      <c r="J169" s="229"/>
      <c r="K169" s="229"/>
      <c r="L169" s="229"/>
      <c r="M169" s="229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9"/>
      <c r="J170" s="229"/>
      <c r="K170" s="229"/>
      <c r="L170" s="229"/>
      <c r="M170" s="229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9"/>
      <c r="J171" s="229"/>
      <c r="K171" s="229"/>
      <c r="L171" s="229"/>
      <c r="M171" s="229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9"/>
      <c r="J172" s="229"/>
      <c r="K172" s="229"/>
      <c r="L172" s="229"/>
      <c r="M172" s="229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9"/>
      <c r="J173" s="229"/>
      <c r="K173" s="229"/>
      <c r="L173" s="229"/>
      <c r="M173" s="229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9"/>
      <c r="J174" s="229"/>
      <c r="K174" s="229"/>
      <c r="L174" s="229"/>
      <c r="M174" s="229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9"/>
      <c r="J175" s="229"/>
      <c r="K175" s="229"/>
      <c r="L175" s="229"/>
      <c r="M175" s="229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9"/>
      <c r="J176" s="229"/>
      <c r="K176" s="229"/>
      <c r="L176" s="229"/>
      <c r="M176" s="229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9"/>
      <c r="J177" s="229"/>
      <c r="K177" s="229"/>
      <c r="L177" s="229"/>
      <c r="M177" s="229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9"/>
      <c r="J178" s="229"/>
      <c r="K178" s="229"/>
      <c r="L178" s="229"/>
      <c r="M178" s="229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9"/>
      <c r="J179" s="229"/>
      <c r="K179" s="229"/>
      <c r="L179" s="229"/>
      <c r="M179" s="229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9"/>
      <c r="J180" s="229"/>
      <c r="K180" s="229"/>
      <c r="L180" s="229"/>
      <c r="M180" s="229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9"/>
      <c r="J181" s="229"/>
      <c r="K181" s="229"/>
      <c r="L181" s="229"/>
      <c r="M181" s="229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9"/>
      <c r="J182" s="229"/>
      <c r="K182" s="229"/>
      <c r="L182" s="229"/>
      <c r="M182" s="229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9"/>
      <c r="J183" s="229"/>
      <c r="K183" s="229"/>
      <c r="L183" s="229"/>
      <c r="M183" s="229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9"/>
      <c r="J184" s="229"/>
      <c r="K184" s="229"/>
      <c r="L184" s="229"/>
      <c r="M184" s="229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9"/>
      <c r="J185" s="229"/>
      <c r="K185" s="229"/>
      <c r="L185" s="229"/>
      <c r="M185" s="229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9"/>
      <c r="J186" s="229"/>
      <c r="K186" s="229"/>
      <c r="L186" s="229"/>
      <c r="M186" s="229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9"/>
      <c r="J187" s="229"/>
      <c r="K187" s="229"/>
      <c r="L187" s="229"/>
      <c r="M187" s="229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9"/>
      <c r="J188" s="229"/>
      <c r="K188" s="229"/>
      <c r="L188" s="229"/>
      <c r="M188" s="229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9"/>
      <c r="J189" s="229"/>
      <c r="K189" s="229"/>
      <c r="L189" s="229"/>
      <c r="M189" s="229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9"/>
      <c r="J190" s="229"/>
      <c r="K190" s="229"/>
      <c r="L190" s="229"/>
      <c r="M190" s="229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9"/>
      <c r="J191" s="229"/>
      <c r="K191" s="229"/>
      <c r="L191" s="229"/>
      <c r="M191" s="229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9"/>
      <c r="J192" s="229"/>
      <c r="K192" s="229"/>
      <c r="L192" s="229"/>
      <c r="M192" s="229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9"/>
      <c r="J193" s="229"/>
      <c r="K193" s="229"/>
      <c r="L193" s="229"/>
      <c r="M193" s="229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9"/>
      <c r="J194" s="229"/>
      <c r="K194" s="229"/>
      <c r="L194" s="229"/>
      <c r="M194" s="229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9"/>
      <c r="J195" s="229"/>
      <c r="K195" s="229"/>
      <c r="L195" s="229"/>
      <c r="M195" s="229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9"/>
      <c r="J196" s="229"/>
      <c r="K196" s="229"/>
      <c r="L196" s="229"/>
      <c r="M196" s="229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9"/>
      <c r="J197" s="229"/>
      <c r="K197" s="229"/>
      <c r="L197" s="229"/>
      <c r="M197" s="229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9"/>
      <c r="J198" s="229"/>
      <c r="K198" s="229"/>
      <c r="L198" s="229"/>
      <c r="M198" s="229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9"/>
      <c r="J199" s="229"/>
      <c r="K199" s="229"/>
      <c r="L199" s="229"/>
      <c r="M199" s="229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9"/>
      <c r="J200" s="229"/>
      <c r="K200" s="229"/>
      <c r="L200" s="229"/>
      <c r="M200" s="229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9"/>
      <c r="J201" s="229"/>
      <c r="K201" s="229"/>
      <c r="L201" s="229"/>
      <c r="M201" s="229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9"/>
      <c r="J202" s="229"/>
      <c r="K202" s="229"/>
      <c r="L202" s="229"/>
      <c r="M202" s="229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9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M7" zoomScale="80" zoomScaleNormal="80" workbookViewId="0">
      <selection activeCell="D45" sqref="D4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6" t="s">
        <v>272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3">
      <c r="A4" s="97"/>
      <c r="B4" s="97"/>
      <c r="C4" s="97"/>
      <c r="D4" s="97"/>
      <c r="E4" s="97"/>
      <c r="G4" s="178"/>
      <c r="H4" s="338" t="s">
        <v>315</v>
      </c>
      <c r="I4" s="338"/>
      <c r="K4" s="335" t="s">
        <v>253</v>
      </c>
      <c r="L4" s="336"/>
      <c r="M4" s="266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3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" thickBot="1" x14ac:dyDescent="0.35">
      <c r="A6" s="97"/>
      <c r="B6" s="97"/>
      <c r="C6" s="97"/>
      <c r="D6" s="97"/>
      <c r="E6" s="97"/>
      <c r="F6" s="227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55000000000000004">
      <c r="A7" s="273"/>
      <c r="B7" s="274"/>
      <c r="C7" s="274"/>
      <c r="D7" s="274"/>
      <c r="E7" s="275"/>
      <c r="F7" s="275" t="s">
        <v>192</v>
      </c>
      <c r="G7" s="276"/>
      <c r="H7" s="274"/>
      <c r="I7" s="274"/>
      <c r="J7" s="277"/>
      <c r="K7" s="271"/>
      <c r="L7" s="272"/>
      <c r="M7" s="272"/>
      <c r="N7" s="278" t="s">
        <v>191</v>
      </c>
      <c r="O7" s="278"/>
      <c r="P7" s="279"/>
      <c r="Q7" s="280"/>
      <c r="R7" s="327" t="s">
        <v>310</v>
      </c>
      <c r="S7" s="328"/>
      <c r="T7" s="328"/>
      <c r="U7" s="328"/>
      <c r="V7" s="329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3">
      <c r="A8" s="25"/>
      <c r="C8" s="25"/>
      <c r="D8" s="25"/>
      <c r="E8" s="25"/>
      <c r="F8" s="219"/>
      <c r="G8" s="219"/>
      <c r="H8" s="5"/>
      <c r="I8" s="5"/>
      <c r="J8" s="212"/>
      <c r="K8" s="223"/>
      <c r="L8" s="25"/>
      <c r="M8" s="25"/>
      <c r="N8" s="25"/>
      <c r="O8" s="25"/>
      <c r="P8" s="25"/>
      <c r="Q8" s="263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8" t="s">
        <v>311</v>
      </c>
      <c r="C9" s="25"/>
      <c r="D9" s="25"/>
      <c r="E9" s="25"/>
      <c r="F9" s="259"/>
      <c r="G9" s="258" t="s">
        <v>314</v>
      </c>
      <c r="J9" s="212"/>
      <c r="K9" s="223"/>
      <c r="O9" s="25"/>
      <c r="P9" s="25"/>
      <c r="Q9" s="263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8" t="s">
        <v>317</v>
      </c>
      <c r="C10" s="25"/>
      <c r="D10" s="25"/>
      <c r="E10" s="25"/>
      <c r="F10" s="259"/>
      <c r="G10" s="258" t="s">
        <v>316</v>
      </c>
      <c r="J10" s="212"/>
      <c r="K10" s="223"/>
      <c r="O10" s="25"/>
      <c r="P10" s="25"/>
      <c r="Q10" s="263"/>
      <c r="R10" s="25"/>
      <c r="S10" s="183" t="str">
        <f>B14</f>
        <v>Pin maritime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4125.3034405888175</v>
      </c>
      <c r="U10" s="188">
        <f>'Données projet'!D9</f>
        <v>4.4800000000000004</v>
      </c>
      <c r="V10" s="187">
        <f>U10*T10</f>
        <v>18481.359413837905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8" t="s">
        <v>312</v>
      </c>
      <c r="B11" s="25"/>
      <c r="C11" s="25"/>
      <c r="D11" s="25"/>
      <c r="E11" s="25"/>
      <c r="F11" s="259"/>
      <c r="G11" s="258" t="s">
        <v>313</v>
      </c>
      <c r="J11" s="212"/>
      <c r="K11" s="223"/>
      <c r="M11" s="5"/>
      <c r="N11" s="5"/>
      <c r="O11" s="25"/>
      <c r="P11" s="25"/>
      <c r="Q11" s="263"/>
      <c r="R11" s="25"/>
      <c r="S11" s="183" t="str">
        <f>B45</f>
        <v>Chêne pubescent</v>
      </c>
      <c r="T11" s="27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872.32860368809713</v>
      </c>
      <c r="U11" s="188">
        <f>'Données projet'!D10</f>
        <v>2.94</v>
      </c>
      <c r="V11" s="187">
        <f t="shared" ref="V11" si="0">U11*T11</f>
        <v>2564.6460948430054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9"/>
      <c r="G12" s="1"/>
      <c r="J12" s="212"/>
      <c r="K12" s="223"/>
      <c r="L12" s="215"/>
      <c r="M12" s="25"/>
      <c r="N12" s="25"/>
      <c r="O12" s="25"/>
      <c r="P12" s="25"/>
      <c r="Q12" s="263"/>
      <c r="R12" s="25"/>
      <c r="S12" s="183" t="str">
        <f>B76</f>
        <v>Chêne sessile</v>
      </c>
      <c r="T12" s="27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486.92864165511207</v>
      </c>
      <c r="U12" s="188">
        <f>'Données projet'!D11</f>
        <v>2.1</v>
      </c>
      <c r="V12" s="187">
        <f t="shared" ref="V12:V19" si="1">U12*T12</f>
        <v>1022.5501474757353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9"/>
      <c r="J13" s="25"/>
      <c r="K13" s="223"/>
      <c r="L13" s="182" t="s">
        <v>257</v>
      </c>
      <c r="M13" s="25"/>
      <c r="N13" s="25"/>
      <c r="O13" s="25"/>
      <c r="P13" s="25"/>
      <c r="Q13" s="263"/>
      <c r="R13" s="25"/>
      <c r="S13" s="183" t="str">
        <f>B107</f>
        <v>Séquoia toujours vert</v>
      </c>
      <c r="T13" s="27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4881.0346559167847</v>
      </c>
      <c r="U13" s="188">
        <f>'Données projet'!D12</f>
        <v>1.26</v>
      </c>
      <c r="V13" s="187">
        <f t="shared" si="1"/>
        <v>6150.1036664551484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4" t="str">
        <f>IF('Données projet'!$B$9="","",'Données projet'!$B$9)</f>
        <v>Pin maritime</v>
      </c>
      <c r="C14" s="5"/>
      <c r="D14" s="5"/>
      <c r="E14" s="5"/>
      <c r="F14" s="259"/>
      <c r="G14" s="219"/>
      <c r="H14" s="183" t="s">
        <v>178</v>
      </c>
      <c r="I14" s="183" t="s">
        <v>290</v>
      </c>
      <c r="J14" s="213"/>
      <c r="K14" s="181"/>
      <c r="L14" s="215"/>
      <c r="M14" s="25"/>
      <c r="N14" s="25"/>
      <c r="O14" s="5"/>
      <c r="P14" s="5"/>
      <c r="Q14" s="264"/>
      <c r="R14" s="5"/>
      <c r="S14" s="183" t="str">
        <f>B138</f>
        <v>Pin laricio</v>
      </c>
      <c r="T14" s="27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1839.3770577866981</v>
      </c>
      <c r="U14" s="188">
        <f>'Données projet'!D13</f>
        <v>1.26</v>
      </c>
      <c r="V14" s="187">
        <f t="shared" si="1"/>
        <v>2317.6150928112397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9"/>
      <c r="G15" s="339" t="s">
        <v>318</v>
      </c>
      <c r="H15" s="201">
        <v>0</v>
      </c>
      <c r="I15" s="202">
        <v>0</v>
      </c>
      <c r="J15" s="214"/>
      <c r="K15" s="223"/>
      <c r="L15" s="215"/>
      <c r="M15" s="25"/>
      <c r="N15" s="25"/>
      <c r="O15" s="25"/>
      <c r="P15" s="25"/>
      <c r="Q15" s="263"/>
      <c r="R15" s="25"/>
      <c r="S15" s="183" t="str">
        <f>B169</f>
        <v>Charme</v>
      </c>
      <c r="T15" s="27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632.10673262357705</v>
      </c>
      <c r="U15" s="188">
        <f>'Données projet'!D14</f>
        <v>1.1200000000000001</v>
      </c>
      <c r="V15" s="187">
        <f t="shared" si="1"/>
        <v>707.95954053840637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5" t="s">
        <v>180</v>
      </c>
      <c r="B16" s="51" t="s">
        <v>256</v>
      </c>
      <c r="C16" s="51" t="s">
        <v>255</v>
      </c>
      <c r="D16" s="255" t="s">
        <v>252</v>
      </c>
      <c r="E16" s="255" t="s">
        <v>320</v>
      </c>
      <c r="F16" s="259"/>
      <c r="G16" s="339"/>
      <c r="H16" s="201"/>
      <c r="I16" s="202"/>
      <c r="J16" s="214"/>
      <c r="K16" s="223"/>
      <c r="L16" s="335" t="s">
        <v>254</v>
      </c>
      <c r="M16" s="336"/>
      <c r="N16" s="2"/>
      <c r="O16" s="25"/>
      <c r="P16" s="25"/>
      <c r="Q16" s="263"/>
      <c r="R16" s="25"/>
      <c r="S16" s="183" t="str">
        <f>B200</f>
        <v>Chêne chevelu</v>
      </c>
      <c r="T16" s="27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866.78150846181666</v>
      </c>
      <c r="U16" s="188">
        <f>'Données projet'!D15</f>
        <v>0.70000000000000007</v>
      </c>
      <c r="V16" s="187">
        <f t="shared" si="1"/>
        <v>606.74705592327177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8">
        <v>0</v>
      </c>
      <c r="B17" s="211" t="s">
        <v>132</v>
      </c>
      <c r="C17" s="210" t="s">
        <v>132</v>
      </c>
      <c r="D17" s="209" t="s">
        <v>132</v>
      </c>
      <c r="E17" s="204"/>
      <c r="F17" s="259"/>
      <c r="G17" s="339"/>
      <c r="J17" s="214"/>
      <c r="K17" s="223"/>
      <c r="L17" s="293" t="s">
        <v>289</v>
      </c>
      <c r="M17" s="295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3"/>
      <c r="R17" s="25"/>
      <c r="S17" s="183" t="str">
        <f>B231</f>
        <v/>
      </c>
      <c r="T17" s="27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8">
        <v>1</v>
      </c>
      <c r="B18" s="211" t="s">
        <v>132</v>
      </c>
      <c r="C18" s="210" t="s">
        <v>132</v>
      </c>
      <c r="D18" s="209" t="s">
        <v>132</v>
      </c>
      <c r="E18" s="204"/>
      <c r="F18" s="259"/>
      <c r="G18" s="339"/>
      <c r="J18" s="214"/>
      <c r="K18" s="223"/>
      <c r="L18" s="293" t="s">
        <v>255</v>
      </c>
      <c r="M18" s="295"/>
      <c r="N18" s="203"/>
      <c r="O18" s="25"/>
      <c r="P18" s="25"/>
      <c r="Q18" s="263"/>
      <c r="R18" s="25"/>
      <c r="S18" s="183" t="str">
        <f>B262</f>
        <v/>
      </c>
      <c r="T18" s="27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8">
        <v>2</v>
      </c>
      <c r="B19" s="211" t="s">
        <v>132</v>
      </c>
      <c r="C19" s="210" t="s">
        <v>132</v>
      </c>
      <c r="D19" s="209" t="s">
        <v>132</v>
      </c>
      <c r="E19" s="204"/>
      <c r="F19" s="259"/>
      <c r="G19" s="339"/>
      <c r="H19" s="230" t="s">
        <v>178</v>
      </c>
      <c r="I19" s="230" t="s">
        <v>287</v>
      </c>
      <c r="J19" s="258"/>
      <c r="K19" s="181"/>
      <c r="L19" s="335" t="s">
        <v>288</v>
      </c>
      <c r="M19" s="336"/>
      <c r="N19" s="189">
        <f>N17*N18</f>
        <v>0</v>
      </c>
      <c r="O19" s="25"/>
      <c r="P19" s="5"/>
      <c r="Q19" s="264"/>
      <c r="R19" s="5"/>
      <c r="S19" s="183" t="str">
        <f>B293</f>
        <v/>
      </c>
      <c r="T19" s="27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8">
        <v>3</v>
      </c>
      <c r="B20" s="211" t="s">
        <v>132</v>
      </c>
      <c r="C20" s="210" t="s">
        <v>132</v>
      </c>
      <c r="D20" s="209" t="s">
        <v>132</v>
      </c>
      <c r="E20" s="204"/>
      <c r="F20" s="259"/>
      <c r="G20" s="339"/>
      <c r="H20" s="201">
        <v>0</v>
      </c>
      <c r="I20" s="202">
        <v>8000</v>
      </c>
      <c r="J20" s="5"/>
      <c r="K20" s="181"/>
      <c r="O20" s="25"/>
      <c r="P20" s="5"/>
      <c r="Q20" s="264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8">
        <v>4</v>
      </c>
      <c r="B21" s="211" t="s">
        <v>132</v>
      </c>
      <c r="C21" s="210" t="s">
        <v>132</v>
      </c>
      <c r="D21" s="209" t="s">
        <v>132</v>
      </c>
      <c r="E21" s="204"/>
      <c r="F21" s="259"/>
      <c r="H21" s="201"/>
      <c r="I21" s="202"/>
      <c r="K21" s="181"/>
      <c r="O21" s="25"/>
      <c r="P21" s="5"/>
      <c r="Q21" s="264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8">
        <v>5</v>
      </c>
      <c r="B22" s="211" t="s">
        <v>132</v>
      </c>
      <c r="C22" s="210" t="s">
        <v>132</v>
      </c>
      <c r="D22" s="209" t="s">
        <v>132</v>
      </c>
      <c r="E22" s="204"/>
      <c r="F22" s="259"/>
      <c r="H22" s="201"/>
      <c r="I22" s="202"/>
      <c r="K22" s="181"/>
      <c r="O22" s="25"/>
      <c r="P22" s="5"/>
      <c r="Q22" s="264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projet'!A36</f>
        <v>17</v>
      </c>
      <c r="B23" s="191">
        <f>'Données projet'!D36</f>
        <v>42.084615384615375</v>
      </c>
      <c r="C23" s="202">
        <v>10</v>
      </c>
      <c r="D23" s="192">
        <f>B23*C23</f>
        <v>420.84615384615375</v>
      </c>
      <c r="E23" s="204"/>
      <c r="F23" s="259"/>
      <c r="H23" s="201"/>
      <c r="I23" s="202"/>
      <c r="K23" s="223"/>
      <c r="L23" s="337" t="s">
        <v>260</v>
      </c>
      <c r="M23" s="337"/>
      <c r="N23" s="337"/>
      <c r="O23" s="25"/>
      <c r="P23" s="25"/>
      <c r="Q23" s="263"/>
      <c r="R23" s="25"/>
      <c r="S23" s="183" t="s">
        <v>264</v>
      </c>
      <c r="T23" s="33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-80149.018988115276</v>
      </c>
      <c r="U23" s="332"/>
      <c r="V23" s="332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projet'!A37</f>
        <v>23</v>
      </c>
      <c r="B24" s="191">
        <f>'Données projet'!D37</f>
        <v>54.099999999999987</v>
      </c>
      <c r="C24" s="204">
        <v>20</v>
      </c>
      <c r="D24" s="192">
        <f t="shared" ref="D24:D42" si="2">B24*C24</f>
        <v>1081.9999999999998</v>
      </c>
      <c r="E24" s="204"/>
      <c r="F24" s="262"/>
      <c r="H24" s="201"/>
      <c r="I24" s="202"/>
      <c r="K24" s="223"/>
      <c r="O24" s="25"/>
      <c r="P24" s="25"/>
      <c r="Q24" s="263"/>
      <c r="R24" s="25"/>
      <c r="S24" s="183" t="s">
        <v>261</v>
      </c>
      <c r="T24" s="333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3"/>
      <c r="V24" s="333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projet'!A38</f>
        <v>29</v>
      </c>
      <c r="B25" s="191">
        <f>'Données projet'!D38</f>
        <v>47.661538461538463</v>
      </c>
      <c r="C25" s="204">
        <v>30</v>
      </c>
      <c r="D25" s="192">
        <f t="shared" si="2"/>
        <v>1429.8461538461538</v>
      </c>
      <c r="E25" s="204"/>
      <c r="F25" s="262"/>
      <c r="G25" s="1"/>
      <c r="H25" s="201"/>
      <c r="I25" s="202"/>
      <c r="K25" s="223"/>
      <c r="L25" s="269" t="s">
        <v>285</v>
      </c>
      <c r="M25" s="269"/>
      <c r="N25" s="269"/>
      <c r="O25" s="269"/>
      <c r="P25" s="203">
        <v>0</v>
      </c>
      <c r="Q25" s="263"/>
      <c r="R25" s="25"/>
      <c r="S25" s="196" t="s">
        <v>266</v>
      </c>
      <c r="T25" s="334">
        <f ca="1">T23-T24</f>
        <v>-80149.018988115276</v>
      </c>
      <c r="U25" s="334"/>
      <c r="V25" s="334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projet'!A39</f>
        <v>36</v>
      </c>
      <c r="B26" s="191">
        <f>'Données projet'!D39</f>
        <v>64.553846153846166</v>
      </c>
      <c r="C26" s="204">
        <v>40</v>
      </c>
      <c r="D26" s="192">
        <f t="shared" si="2"/>
        <v>2582.1538461538466</v>
      </c>
      <c r="E26" s="204"/>
      <c r="F26" s="262"/>
      <c r="G26" s="257"/>
      <c r="H26" s="201"/>
      <c r="I26" s="202"/>
      <c r="K26" s="223"/>
      <c r="L26" s="321" t="s">
        <v>258</v>
      </c>
      <c r="M26" s="322"/>
      <c r="N26" s="322"/>
      <c r="O26" s="322"/>
      <c r="P26" s="323"/>
      <c r="Q26" s="263"/>
      <c r="R26" s="25"/>
      <c r="S26" s="196" t="s">
        <v>265</v>
      </c>
      <c r="T26" s="331" t="str">
        <f ca="1">IF(T25&lt;0,"Votre projet est additionnel","Votre projet n'est pas additionnel")</f>
        <v>Votre projet est additionnel</v>
      </c>
      <c r="U26" s="331"/>
      <c r="V26" s="331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projet'!A40</f>
        <v>44</v>
      </c>
      <c r="B27" s="191">
        <f>'Données projet'!D40</f>
        <v>64.476923076923114</v>
      </c>
      <c r="C27" s="204">
        <v>50</v>
      </c>
      <c r="D27" s="192">
        <f t="shared" si="2"/>
        <v>3223.8461538461556</v>
      </c>
      <c r="E27" s="204"/>
      <c r="F27" s="262"/>
      <c r="G27" s="257"/>
      <c r="H27" s="201"/>
      <c r="I27" s="202"/>
      <c r="K27" s="223"/>
      <c r="L27" s="324"/>
      <c r="M27" s="325"/>
      <c r="N27" s="325"/>
      <c r="O27" s="325"/>
      <c r="P27" s="326"/>
      <c r="Q27" s="263"/>
      <c r="R27" s="25"/>
      <c r="S27" s="330" t="s">
        <v>267</v>
      </c>
      <c r="T27" s="330"/>
      <c r="U27" s="330"/>
      <c r="V27" s="330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projet'!A41</f>
        <v>52</v>
      </c>
      <c r="B28" s="191">
        <f>'Données projet'!D41</f>
        <v>61.784615384615378</v>
      </c>
      <c r="C28" s="204">
        <v>60</v>
      </c>
      <c r="D28" s="192">
        <f t="shared" si="2"/>
        <v>3707.0769230769229</v>
      </c>
      <c r="E28" s="204"/>
      <c r="F28" s="262"/>
      <c r="G28" s="220"/>
      <c r="H28" s="201"/>
      <c r="I28" s="202"/>
      <c r="K28" s="223"/>
      <c r="Q28" s="263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projet'!A42</f>
        <v>60</v>
      </c>
      <c r="B29" s="191">
        <f>'Données projet'!D42</f>
        <v>353.5</v>
      </c>
      <c r="C29" s="204">
        <v>70</v>
      </c>
      <c r="D29" s="192">
        <f t="shared" si="2"/>
        <v>24745</v>
      </c>
      <c r="E29" s="204"/>
      <c r="F29" s="262"/>
      <c r="G29" s="216"/>
      <c r="H29" s="201"/>
      <c r="I29" s="202"/>
      <c r="K29" s="223"/>
      <c r="O29" s="25"/>
      <c r="P29" s="25"/>
      <c r="Q29" s="263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projet'!A43</f>
        <v>0</v>
      </c>
      <c r="B30" s="191">
        <f>'Données projet'!D43</f>
        <v>0</v>
      </c>
      <c r="C30" s="204">
        <v>0</v>
      </c>
      <c r="D30" s="192">
        <f t="shared" si="2"/>
        <v>0</v>
      </c>
      <c r="E30" s="204"/>
      <c r="F30" s="262"/>
      <c r="G30" s="216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4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projet'!A44</f>
        <v>0</v>
      </c>
      <c r="B31" s="191">
        <f>'Données projet'!D44</f>
        <v>0</v>
      </c>
      <c r="C31" s="204">
        <v>0</v>
      </c>
      <c r="D31" s="192">
        <f t="shared" si="2"/>
        <v>0</v>
      </c>
      <c r="E31" s="204"/>
      <c r="F31" s="262"/>
      <c r="G31" s="216"/>
      <c r="H31" s="201"/>
      <c r="I31" s="202"/>
      <c r="K31" s="181"/>
      <c r="Q31" s="263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projet'!A45</f>
        <v>0</v>
      </c>
      <c r="B32" s="191">
        <f>'Données projet'!D45</f>
        <v>0</v>
      </c>
      <c r="C32" s="204">
        <v>0</v>
      </c>
      <c r="D32" s="192">
        <f t="shared" si="2"/>
        <v>0</v>
      </c>
      <c r="E32" s="204"/>
      <c r="F32" s="262"/>
      <c r="G32" s="216"/>
      <c r="H32" s="201"/>
      <c r="I32" s="202"/>
      <c r="K32" s="181"/>
      <c r="N32" s="5"/>
      <c r="O32" s="268" t="s">
        <v>178</v>
      </c>
      <c r="P32" s="268" t="s">
        <v>252</v>
      </c>
      <c r="Q32" s="263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projet'!A46</f>
        <v>0</v>
      </c>
      <c r="B33" s="191">
        <f>'Données projet'!D46</f>
        <v>0</v>
      </c>
      <c r="C33" s="204">
        <v>0</v>
      </c>
      <c r="D33" s="192">
        <f t="shared" si="2"/>
        <v>0</v>
      </c>
      <c r="E33" s="204"/>
      <c r="F33" s="262"/>
      <c r="G33" s="216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3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projet'!A47</f>
        <v>0</v>
      </c>
      <c r="B34" s="191">
        <f>'Données projet'!D47</f>
        <v>0</v>
      </c>
      <c r="C34" s="204">
        <v>0</v>
      </c>
      <c r="D34" s="192">
        <f t="shared" si="2"/>
        <v>0</v>
      </c>
      <c r="E34" s="204"/>
      <c r="F34" s="262"/>
      <c r="G34" s="216"/>
      <c r="H34" s="201"/>
      <c r="I34" s="202"/>
      <c r="K34" s="181"/>
      <c r="L34" s="282"/>
      <c r="M34" s="282"/>
      <c r="N34" s="283"/>
      <c r="O34" s="205">
        <f>IF(O33+1&lt;=MIN('Données projet'!$E$9:$E$18),O33+1,"STOP")</f>
        <v>1</v>
      </c>
      <c r="P34" s="195">
        <f t="shared" si="3"/>
        <v>0</v>
      </c>
      <c r="Q34" s="263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projet'!A48</f>
        <v>0</v>
      </c>
      <c r="B35" s="191">
        <f>'Données projet'!D48</f>
        <v>0</v>
      </c>
      <c r="C35" s="204">
        <v>0</v>
      </c>
      <c r="D35" s="192">
        <f t="shared" si="2"/>
        <v>0</v>
      </c>
      <c r="E35" s="204"/>
      <c r="F35" s="262"/>
      <c r="G35" s="216"/>
      <c r="H35" s="201"/>
      <c r="I35" s="202"/>
      <c r="K35" s="181"/>
      <c r="L35" s="282"/>
      <c r="M35" s="282"/>
      <c r="N35" s="283"/>
      <c r="O35" s="205">
        <f>IF(O34+1&lt;=MIN('Données projet'!$E$9:$E$18),O34+1,"STOP")</f>
        <v>2</v>
      </c>
      <c r="P35" s="195">
        <f t="shared" si="3"/>
        <v>0</v>
      </c>
      <c r="Q35" s="263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projet'!A49</f>
        <v>0</v>
      </c>
      <c r="B36" s="191">
        <f>'Données projet'!D49</f>
        <v>0</v>
      </c>
      <c r="C36" s="204">
        <v>0</v>
      </c>
      <c r="D36" s="192">
        <f t="shared" si="2"/>
        <v>0</v>
      </c>
      <c r="E36" s="204"/>
      <c r="F36" s="262"/>
      <c r="G36" s="216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3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projet'!A50</f>
        <v>0</v>
      </c>
      <c r="B37" s="191">
        <f>'Données projet'!D50</f>
        <v>0</v>
      </c>
      <c r="C37" s="204">
        <v>0</v>
      </c>
      <c r="D37" s="192">
        <f t="shared" si="2"/>
        <v>0</v>
      </c>
      <c r="E37" s="204"/>
      <c r="F37" s="262"/>
      <c r="G37" s="216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3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projet'!A51</f>
        <v>0</v>
      </c>
      <c r="B38" s="191">
        <f>'Données projet'!D51</f>
        <v>0</v>
      </c>
      <c r="C38" s="204">
        <v>0</v>
      </c>
      <c r="D38" s="192">
        <f t="shared" si="2"/>
        <v>0</v>
      </c>
      <c r="E38" s="204"/>
      <c r="F38" s="262"/>
      <c r="G38" s="216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3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projet'!A52</f>
        <v>0</v>
      </c>
      <c r="B39" s="191">
        <f>'Données projet'!D52</f>
        <v>0</v>
      </c>
      <c r="C39" s="204">
        <v>0</v>
      </c>
      <c r="D39" s="192">
        <f t="shared" si="2"/>
        <v>0</v>
      </c>
      <c r="E39" s="204"/>
      <c r="F39" s="262"/>
      <c r="G39" s="216"/>
      <c r="H39" s="201"/>
      <c r="I39" s="202"/>
      <c r="K39" s="223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3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projet'!A53</f>
        <v>0</v>
      </c>
      <c r="B40" s="191">
        <f>'Données projet'!D53</f>
        <v>0</v>
      </c>
      <c r="C40" s="204">
        <v>0</v>
      </c>
      <c r="D40" s="192">
        <f t="shared" si="2"/>
        <v>0</v>
      </c>
      <c r="E40" s="204"/>
      <c r="F40" s="262"/>
      <c r="G40" s="216"/>
      <c r="H40" s="201"/>
      <c r="I40" s="202"/>
      <c r="K40" s="223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3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projet'!A54</f>
        <v>0</v>
      </c>
      <c r="B41" s="191">
        <f>'Données projet'!D54</f>
        <v>0</v>
      </c>
      <c r="C41" s="204">
        <v>0</v>
      </c>
      <c r="D41" s="192">
        <f t="shared" si="2"/>
        <v>0</v>
      </c>
      <c r="E41" s="204"/>
      <c r="F41" s="262"/>
      <c r="G41" s="216"/>
      <c r="H41" s="201"/>
      <c r="I41" s="202"/>
      <c r="K41" s="223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3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projet'!A55</f>
        <v>0</v>
      </c>
      <c r="B42" s="191">
        <f>'Données projet'!D55</f>
        <v>0</v>
      </c>
      <c r="C42" s="204">
        <v>0</v>
      </c>
      <c r="D42" s="192">
        <f t="shared" si="2"/>
        <v>0</v>
      </c>
      <c r="E42" s="204"/>
      <c r="F42" s="262"/>
      <c r="G42" s="216"/>
      <c r="H42" s="201"/>
      <c r="I42" s="202"/>
      <c r="K42" s="223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3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4"/>
      <c r="E43" s="254"/>
      <c r="F43" s="267"/>
      <c r="G43" s="216"/>
      <c r="H43" s="201"/>
      <c r="I43" s="202"/>
      <c r="K43" s="223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9"/>
      <c r="G44" s="216"/>
      <c r="H44" s="201"/>
      <c r="I44" s="202"/>
      <c r="K44" s="223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4" t="str">
        <f>IF('Données projet'!$B$10="","",'Données projet'!$B$10)</f>
        <v>Chêne pubescent</v>
      </c>
      <c r="C45" s="5"/>
      <c r="D45" s="5"/>
      <c r="E45" s="5"/>
      <c r="F45" s="259"/>
      <c r="G45" s="216"/>
      <c r="H45" s="201"/>
      <c r="I45" s="202"/>
      <c r="J45" s="25"/>
      <c r="K45" s="223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9"/>
      <c r="G46" s="216"/>
      <c r="H46" s="201"/>
      <c r="I46" s="202"/>
      <c r="J46" s="25"/>
      <c r="K46" s="223"/>
      <c r="L46" s="218"/>
      <c r="M46" s="218"/>
      <c r="N46" s="218"/>
      <c r="O46" s="205">
        <f>IF(O45+1&lt;=MIN('Données projet'!$E$9:$E$18),O45+1,"STOP")</f>
        <v>13</v>
      </c>
      <c r="P46" s="198">
        <f t="shared" si="3"/>
        <v>0</v>
      </c>
      <c r="Q46" s="26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5" t="s">
        <v>180</v>
      </c>
      <c r="B47" s="51" t="s">
        <v>256</v>
      </c>
      <c r="C47" s="51" t="s">
        <v>255</v>
      </c>
      <c r="D47" s="255" t="s">
        <v>252</v>
      </c>
      <c r="E47" s="255" t="s">
        <v>320</v>
      </c>
      <c r="F47" s="260"/>
      <c r="G47" s="216"/>
      <c r="H47" s="201"/>
      <c r="I47" s="202"/>
      <c r="J47" s="25"/>
      <c r="K47" s="223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4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8">
        <v>0</v>
      </c>
      <c r="B48" s="211" t="s">
        <v>132</v>
      </c>
      <c r="C48" s="210" t="s">
        <v>132</v>
      </c>
      <c r="D48" s="209" t="s">
        <v>132</v>
      </c>
      <c r="E48" s="204"/>
      <c r="F48" s="260"/>
      <c r="G48" s="216"/>
      <c r="H48" s="201"/>
      <c r="I48" s="202"/>
      <c r="J48" s="25"/>
      <c r="K48" s="223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4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8">
        <v>1</v>
      </c>
      <c r="B49" s="211" t="s">
        <v>132</v>
      </c>
      <c r="C49" s="210" t="s">
        <v>132</v>
      </c>
      <c r="D49" s="209" t="s">
        <v>132</v>
      </c>
      <c r="E49" s="204"/>
      <c r="F49" s="260"/>
      <c r="G49" s="217"/>
      <c r="H49" s="201"/>
      <c r="I49" s="202"/>
      <c r="J49" s="218"/>
      <c r="K49" s="225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5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8">
        <v>2</v>
      </c>
      <c r="B50" s="211" t="s">
        <v>132</v>
      </c>
      <c r="C50" s="210" t="s">
        <v>132</v>
      </c>
      <c r="D50" s="209" t="s">
        <v>132</v>
      </c>
      <c r="E50" s="204"/>
      <c r="F50" s="260"/>
      <c r="G50" s="219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8">
        <v>3</v>
      </c>
      <c r="B51" s="211" t="s">
        <v>132</v>
      </c>
      <c r="C51" s="210" t="s">
        <v>132</v>
      </c>
      <c r="D51" s="209" t="s">
        <v>132</v>
      </c>
      <c r="E51" s="204"/>
      <c r="F51" s="260"/>
      <c r="G51" s="219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8">
        <v>4</v>
      </c>
      <c r="B52" s="211" t="s">
        <v>132</v>
      </c>
      <c r="C52" s="210" t="s">
        <v>132</v>
      </c>
      <c r="D52" s="209" t="s">
        <v>132</v>
      </c>
      <c r="E52" s="204"/>
      <c r="F52" s="260"/>
      <c r="G52" s="219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4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8">
        <v>5</v>
      </c>
      <c r="B53" s="211" t="s">
        <v>132</v>
      </c>
      <c r="C53" s="210" t="s">
        <v>132</v>
      </c>
      <c r="D53" s="209" t="s">
        <v>132</v>
      </c>
      <c r="E53" s="204"/>
      <c r="F53" s="260"/>
      <c r="G53" s="220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4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projet'!A62</f>
        <v>20</v>
      </c>
      <c r="B54" s="191">
        <f>'Données projet'!D62</f>
        <v>0</v>
      </c>
      <c r="C54" s="202">
        <v>10</v>
      </c>
      <c r="D54" s="189">
        <f>B54*C54</f>
        <v>0</v>
      </c>
      <c r="E54" s="204"/>
      <c r="F54" s="261"/>
      <c r="G54" s="220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4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projet'!A63</f>
        <v>25</v>
      </c>
      <c r="B55" s="191">
        <f>'Données projet'!D63</f>
        <v>0</v>
      </c>
      <c r="C55" s="202">
        <v>20</v>
      </c>
      <c r="D55" s="189">
        <f t="shared" ref="D55:D73" si="4">B55*C55</f>
        <v>0</v>
      </c>
      <c r="E55" s="204"/>
      <c r="F55" s="261"/>
      <c r="G55" s="220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projet'!A64</f>
        <v>30</v>
      </c>
      <c r="B56" s="191">
        <f>'Données projet'!D64</f>
        <v>29</v>
      </c>
      <c r="C56" s="202">
        <v>30</v>
      </c>
      <c r="D56" s="189">
        <f t="shared" si="4"/>
        <v>870</v>
      </c>
      <c r="E56" s="204"/>
      <c r="F56" s="261"/>
      <c r="G56" s="220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projet'!A65</f>
        <v>35</v>
      </c>
      <c r="B57" s="191">
        <f>'Données projet'!D65</f>
        <v>0</v>
      </c>
      <c r="C57" s="202">
        <v>40</v>
      </c>
      <c r="D57" s="189">
        <f t="shared" si="4"/>
        <v>0</v>
      </c>
      <c r="E57" s="204"/>
      <c r="F57" s="261"/>
      <c r="G57" s="220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4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projet'!A66</f>
        <v>40</v>
      </c>
      <c r="B58" s="191">
        <f>'Données projet'!D66</f>
        <v>42</v>
      </c>
      <c r="C58" s="202">
        <v>50</v>
      </c>
      <c r="D58" s="189">
        <f t="shared" si="4"/>
        <v>2100</v>
      </c>
      <c r="E58" s="204"/>
      <c r="F58" s="261"/>
      <c r="G58" s="220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projet'!A67</f>
        <v>45</v>
      </c>
      <c r="B59" s="191">
        <f>'Données projet'!D67</f>
        <v>0</v>
      </c>
      <c r="C59" s="202">
        <v>55</v>
      </c>
      <c r="D59" s="189">
        <f t="shared" si="4"/>
        <v>0</v>
      </c>
      <c r="E59" s="204"/>
      <c r="F59" s="261"/>
      <c r="G59" s="220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projet'!A68</f>
        <v>50</v>
      </c>
      <c r="B60" s="191">
        <f>'Données projet'!D68</f>
        <v>42</v>
      </c>
      <c r="C60" s="202">
        <v>60</v>
      </c>
      <c r="D60" s="189">
        <f t="shared" si="4"/>
        <v>2520</v>
      </c>
      <c r="E60" s="204"/>
      <c r="F60" s="261"/>
      <c r="G60" s="221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projet'!A69</f>
        <v>55</v>
      </c>
      <c r="B61" s="191">
        <f>'Données projet'!D69</f>
        <v>0</v>
      </c>
      <c r="C61" s="202">
        <v>0</v>
      </c>
      <c r="D61" s="189">
        <f t="shared" si="4"/>
        <v>0</v>
      </c>
      <c r="E61" s="204"/>
      <c r="F61" s="261"/>
      <c r="G61" s="221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4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projet'!A70</f>
        <v>60</v>
      </c>
      <c r="B62" s="191">
        <f>'Données projet'!D70</f>
        <v>42</v>
      </c>
      <c r="C62" s="202">
        <v>0</v>
      </c>
      <c r="D62" s="189">
        <f t="shared" si="4"/>
        <v>0</v>
      </c>
      <c r="E62" s="204"/>
      <c r="F62" s="261"/>
      <c r="G62" s="221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projet'!A71</f>
        <v>65</v>
      </c>
      <c r="B63" s="191">
        <f>'Données projet'!D71</f>
        <v>0</v>
      </c>
      <c r="C63" s="202">
        <v>0</v>
      </c>
      <c r="D63" s="189">
        <f t="shared" si="4"/>
        <v>0</v>
      </c>
      <c r="E63" s="204"/>
      <c r="F63" s="261"/>
      <c r="G63" s="221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projet'!A72</f>
        <v>70</v>
      </c>
      <c r="B64" s="191">
        <f>'Données projet'!D72</f>
        <v>42</v>
      </c>
      <c r="C64" s="202">
        <v>0</v>
      </c>
      <c r="D64" s="189">
        <f t="shared" si="4"/>
        <v>0</v>
      </c>
      <c r="E64" s="204"/>
      <c r="F64" s="261"/>
      <c r="G64" s="221"/>
      <c r="H64" s="201"/>
      <c r="I64" s="202"/>
      <c r="J64" s="222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4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projet'!A73</f>
        <v>75</v>
      </c>
      <c r="B65" s="191">
        <f>'Données projet'!D73</f>
        <v>0</v>
      </c>
      <c r="C65" s="202">
        <v>0</v>
      </c>
      <c r="D65" s="189">
        <f t="shared" si="4"/>
        <v>0</v>
      </c>
      <c r="E65" s="204"/>
      <c r="F65" s="261"/>
      <c r="G65" s="221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projet'!A74</f>
        <v>80</v>
      </c>
      <c r="B66" s="191">
        <f>'Données projet'!D74</f>
        <v>42</v>
      </c>
      <c r="C66" s="202">
        <v>0</v>
      </c>
      <c r="D66" s="189">
        <f t="shared" si="4"/>
        <v>0</v>
      </c>
      <c r="E66" s="204"/>
      <c r="F66" s="261"/>
      <c r="G66" s="221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projet'!A75</f>
        <v>90</v>
      </c>
      <c r="B67" s="191">
        <f>'Données projet'!D75</f>
        <v>42</v>
      </c>
      <c r="C67" s="202">
        <v>0</v>
      </c>
      <c r="D67" s="189">
        <f t="shared" si="4"/>
        <v>0</v>
      </c>
      <c r="E67" s="204"/>
      <c r="F67" s="261"/>
      <c r="G67" s="221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4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projet'!A76</f>
        <v>100</v>
      </c>
      <c r="B68" s="191">
        <f>'Données projet'!D76</f>
        <v>42</v>
      </c>
      <c r="C68" s="202">
        <v>0</v>
      </c>
      <c r="D68" s="189">
        <f t="shared" si="4"/>
        <v>0</v>
      </c>
      <c r="E68" s="204"/>
      <c r="F68" s="261"/>
      <c r="G68" s="221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0</v>
      </c>
      <c r="Q68" s="264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projet'!A77</f>
        <v>110</v>
      </c>
      <c r="B69" s="191">
        <f>'Données projet'!D77</f>
        <v>39</v>
      </c>
      <c r="C69" s="202">
        <v>0</v>
      </c>
      <c r="D69" s="189">
        <f t="shared" si="4"/>
        <v>0</v>
      </c>
      <c r="E69" s="204"/>
      <c r="F69" s="261"/>
      <c r="G69" s="221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0</v>
      </c>
      <c r="Q69" s="264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projet'!A78</f>
        <v>120</v>
      </c>
      <c r="B70" s="191">
        <f>'Données projet'!D78</f>
        <v>35</v>
      </c>
      <c r="C70" s="202">
        <v>0</v>
      </c>
      <c r="D70" s="189">
        <f t="shared" si="4"/>
        <v>0</v>
      </c>
      <c r="E70" s="204"/>
      <c r="F70" s="261"/>
      <c r="G70" s="221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0</v>
      </c>
      <c r="Q70" s="264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projet'!A79</f>
        <v>130</v>
      </c>
      <c r="B71" s="191">
        <f>'Données projet'!D79</f>
        <v>31</v>
      </c>
      <c r="C71" s="202">
        <v>0</v>
      </c>
      <c r="D71" s="189">
        <f t="shared" si="4"/>
        <v>0</v>
      </c>
      <c r="E71" s="204"/>
      <c r="F71" s="261"/>
      <c r="G71" s="221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0</v>
      </c>
      <c r="Q71" s="264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projet'!A80</f>
        <v>140</v>
      </c>
      <c r="B72" s="191">
        <f>'Données projet'!D80</f>
        <v>27</v>
      </c>
      <c r="C72" s="202">
        <v>0</v>
      </c>
      <c r="D72" s="189">
        <f t="shared" si="4"/>
        <v>0</v>
      </c>
      <c r="E72" s="204"/>
      <c r="F72" s="261"/>
      <c r="G72" s="221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0</v>
      </c>
      <c r="Q72" s="264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projet'!A81</f>
        <v>150</v>
      </c>
      <c r="B73" s="191">
        <f>'Données projet'!D81</f>
        <v>293</v>
      </c>
      <c r="C73" s="202">
        <v>0</v>
      </c>
      <c r="D73" s="189">
        <f t="shared" si="4"/>
        <v>0</v>
      </c>
      <c r="E73" s="204"/>
      <c r="F73" s="261"/>
      <c r="G73" s="221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0</v>
      </c>
      <c r="Q73" s="26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9"/>
      <c r="G74" s="221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0</v>
      </c>
      <c r="Q74" s="264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9"/>
      <c r="G75" s="221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0</v>
      </c>
      <c r="Q75" s="26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4" t="str">
        <f>IF('Données projet'!B11="","",'Données projet'!B11)</f>
        <v>Chêne sessile</v>
      </c>
      <c r="C76" s="5"/>
      <c r="D76" s="5"/>
      <c r="E76" s="5"/>
      <c r="F76" s="259"/>
      <c r="G76" s="221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0</v>
      </c>
      <c r="Q76" s="26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9"/>
      <c r="G77" s="221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0</v>
      </c>
      <c r="Q77" s="264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5" t="s">
        <v>180</v>
      </c>
      <c r="B78" s="51" t="s">
        <v>256</v>
      </c>
      <c r="C78" s="51" t="s">
        <v>255</v>
      </c>
      <c r="D78" s="255" t="s">
        <v>252</v>
      </c>
      <c r="E78" s="255" t="s">
        <v>320</v>
      </c>
      <c r="F78" s="260"/>
      <c r="G78" s="221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0</v>
      </c>
      <c r="Q78" s="26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8">
        <v>0</v>
      </c>
      <c r="B79" s="211" t="s">
        <v>132</v>
      </c>
      <c r="C79" s="210" t="s">
        <v>132</v>
      </c>
      <c r="D79" s="209" t="s">
        <v>132</v>
      </c>
      <c r="E79" s="204"/>
      <c r="F79" s="260"/>
      <c r="G79" s="221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0</v>
      </c>
      <c r="Q79" s="264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8">
        <v>1</v>
      </c>
      <c r="B80" s="211" t="s">
        <v>132</v>
      </c>
      <c r="C80" s="210" t="s">
        <v>132</v>
      </c>
      <c r="D80" s="209" t="s">
        <v>132</v>
      </c>
      <c r="E80" s="204"/>
      <c r="F80" s="260"/>
      <c r="G80" s="219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0</v>
      </c>
      <c r="Q80" s="264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8">
        <v>2</v>
      </c>
      <c r="B81" s="211" t="s">
        <v>132</v>
      </c>
      <c r="C81" s="210" t="s">
        <v>132</v>
      </c>
      <c r="D81" s="209" t="s">
        <v>132</v>
      </c>
      <c r="E81" s="204"/>
      <c r="F81" s="260"/>
      <c r="G81" s="219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0</v>
      </c>
      <c r="Q81" s="26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8">
        <v>3</v>
      </c>
      <c r="B82" s="211" t="s">
        <v>132</v>
      </c>
      <c r="C82" s="210" t="s">
        <v>132</v>
      </c>
      <c r="D82" s="209" t="s">
        <v>132</v>
      </c>
      <c r="E82" s="204"/>
      <c r="F82" s="260"/>
      <c r="G82" s="219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0</v>
      </c>
      <c r="Q82" s="264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8">
        <v>4</v>
      </c>
      <c r="B83" s="211" t="s">
        <v>132</v>
      </c>
      <c r="C83" s="210" t="s">
        <v>132</v>
      </c>
      <c r="D83" s="209" t="s">
        <v>132</v>
      </c>
      <c r="E83" s="204"/>
      <c r="F83" s="260"/>
      <c r="G83" s="219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0</v>
      </c>
      <c r="Q83" s="26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8">
        <v>5</v>
      </c>
      <c r="B84" s="211" t="s">
        <v>132</v>
      </c>
      <c r="C84" s="210" t="s">
        <v>132</v>
      </c>
      <c r="D84" s="209" t="s">
        <v>132</v>
      </c>
      <c r="E84" s="204"/>
      <c r="F84" s="260"/>
      <c r="G84" s="220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0</v>
      </c>
      <c r="Q84" s="26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projet'!A88</f>
        <v>30</v>
      </c>
      <c r="B85" s="191">
        <f>'Données projet'!D88</f>
        <v>0</v>
      </c>
      <c r="C85" s="202">
        <v>0</v>
      </c>
      <c r="D85" s="189">
        <f>B85*C85</f>
        <v>0</v>
      </c>
      <c r="E85" s="204"/>
      <c r="F85" s="261"/>
      <c r="G85" s="220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0</v>
      </c>
      <c r="Q85" s="26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projet'!A89</f>
        <v>40</v>
      </c>
      <c r="B86" s="191">
        <f>'Données projet'!D89</f>
        <v>27</v>
      </c>
      <c r="C86" s="204">
        <v>10</v>
      </c>
      <c r="D86" s="189">
        <f t="shared" ref="D86:D104" si="6">B86*C86</f>
        <v>270</v>
      </c>
      <c r="E86" s="204"/>
      <c r="F86" s="261"/>
      <c r="G86" s="220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0</v>
      </c>
      <c r="Q86" s="26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projet'!A90</f>
        <v>50</v>
      </c>
      <c r="B87" s="191">
        <f>'Données projet'!D90</f>
        <v>28</v>
      </c>
      <c r="C87" s="204">
        <v>20</v>
      </c>
      <c r="D87" s="189">
        <f t="shared" si="6"/>
        <v>560</v>
      </c>
      <c r="E87" s="204"/>
      <c r="F87" s="261"/>
      <c r="G87" s="220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0</v>
      </c>
      <c r="Q87" s="26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projet'!A91</f>
        <v>60</v>
      </c>
      <c r="B88" s="191">
        <f>'Données projet'!D91</f>
        <v>28</v>
      </c>
      <c r="C88" s="204">
        <v>30</v>
      </c>
      <c r="D88" s="189">
        <f t="shared" si="6"/>
        <v>840</v>
      </c>
      <c r="E88" s="204"/>
      <c r="F88" s="261"/>
      <c r="G88" s="220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0</v>
      </c>
      <c r="Q88" s="26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projet'!A92</f>
        <v>70</v>
      </c>
      <c r="B89" s="191">
        <f>'Données projet'!D92</f>
        <v>28</v>
      </c>
      <c r="C89" s="204">
        <v>40</v>
      </c>
      <c r="D89" s="189">
        <f t="shared" si="6"/>
        <v>1120</v>
      </c>
      <c r="E89" s="204"/>
      <c r="F89" s="261"/>
      <c r="G89" s="220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0</v>
      </c>
      <c r="Q89" s="26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projet'!A93</f>
        <v>80</v>
      </c>
      <c r="B90" s="191">
        <f>'Données projet'!D93</f>
        <v>28</v>
      </c>
      <c r="C90" s="204">
        <v>70</v>
      </c>
      <c r="D90" s="189">
        <f t="shared" si="6"/>
        <v>1960</v>
      </c>
      <c r="E90" s="204"/>
      <c r="F90" s="261"/>
      <c r="G90" s="220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0</v>
      </c>
      <c r="Q90" s="26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projet'!A94</f>
        <v>90</v>
      </c>
      <c r="B91" s="191">
        <f>'Données projet'!D94</f>
        <v>28</v>
      </c>
      <c r="C91" s="204">
        <v>100</v>
      </c>
      <c r="D91" s="189">
        <f t="shared" si="6"/>
        <v>2800</v>
      </c>
      <c r="E91" s="204"/>
      <c r="F91" s="261"/>
      <c r="G91" s="221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0</v>
      </c>
      <c r="Q91" s="26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projet'!A95</f>
        <v>100</v>
      </c>
      <c r="B92" s="191">
        <f>'Données projet'!D95</f>
        <v>28</v>
      </c>
      <c r="C92" s="204">
        <v>110</v>
      </c>
      <c r="D92" s="189">
        <f t="shared" si="6"/>
        <v>3080</v>
      </c>
      <c r="E92" s="204"/>
      <c r="F92" s="261"/>
      <c r="G92" s="221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0</v>
      </c>
      <c r="Q92" s="26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projet'!A96</f>
        <v>110</v>
      </c>
      <c r="B93" s="191">
        <f>'Données projet'!D96</f>
        <v>27</v>
      </c>
      <c r="C93" s="204">
        <v>120</v>
      </c>
      <c r="D93" s="189">
        <f t="shared" si="6"/>
        <v>3240</v>
      </c>
      <c r="E93" s="204"/>
      <c r="F93" s="261"/>
      <c r="G93" s="221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0</v>
      </c>
      <c r="Q93" s="26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projet'!A97</f>
        <v>120</v>
      </c>
      <c r="B94" s="191">
        <f>'Données projet'!D97</f>
        <v>25</v>
      </c>
      <c r="C94" s="204">
        <v>130</v>
      </c>
      <c r="D94" s="189">
        <f t="shared" si="6"/>
        <v>3250</v>
      </c>
      <c r="E94" s="204"/>
      <c r="F94" s="261"/>
      <c r="G94" s="221"/>
      <c r="H94" s="201"/>
      <c r="I94" s="202"/>
      <c r="J94" s="5"/>
      <c r="K94" s="181"/>
      <c r="L94" s="5"/>
      <c r="M94" s="5"/>
      <c r="N94" s="5"/>
      <c r="O94" s="205" t="str">
        <f>IF(O93+1&lt;=MIN('Données projet'!$E$9:$E$18),O93+1,"STOP")</f>
        <v>STOP</v>
      </c>
      <c r="P94" s="195" t="e">
        <f t="shared" si="5"/>
        <v>#VALUE!</v>
      </c>
      <c r="Q94" s="26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projet'!A98</f>
        <v>130</v>
      </c>
      <c r="B95" s="191">
        <f>'Données projet'!D98</f>
        <v>21</v>
      </c>
      <c r="C95" s="204">
        <v>140</v>
      </c>
      <c r="D95" s="189">
        <f t="shared" si="6"/>
        <v>2940</v>
      </c>
      <c r="E95" s="204"/>
      <c r="F95" s="261"/>
      <c r="G95" s="221"/>
      <c r="H95" s="201"/>
      <c r="I95" s="202"/>
      <c r="J95" s="5"/>
      <c r="K95" s="181"/>
      <c r="L95" s="5"/>
      <c r="M95" s="5"/>
      <c r="N95" s="5"/>
      <c r="O95" s="205" t="e">
        <f>IF(O94+1&lt;=MIN('Données projet'!$E$9:$E$18),O94+1,"STOP")</f>
        <v>#VALUE!</v>
      </c>
      <c r="P95" s="195" t="e">
        <f t="shared" si="5"/>
        <v>#VALUE!</v>
      </c>
      <c r="Q95" s="26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projet'!A99</f>
        <v>140</v>
      </c>
      <c r="B96" s="191">
        <f>'Données projet'!D99</f>
        <v>17</v>
      </c>
      <c r="C96" s="204">
        <v>160</v>
      </c>
      <c r="D96" s="189">
        <f t="shared" si="6"/>
        <v>2720</v>
      </c>
      <c r="E96" s="204"/>
      <c r="F96" s="261"/>
      <c r="G96" s="221"/>
      <c r="H96" s="201"/>
      <c r="I96" s="202"/>
      <c r="J96" s="5"/>
      <c r="K96" s="181"/>
      <c r="L96" s="5"/>
      <c r="M96" s="5"/>
      <c r="N96" s="5"/>
      <c r="O96" s="205" t="e">
        <f>IF(O95+1&lt;=MIN('Données projet'!$E$9:$E$18),O95+1,"STOP")</f>
        <v>#VALUE!</v>
      </c>
      <c r="P96" s="195" t="e">
        <f t="shared" si="5"/>
        <v>#VALUE!</v>
      </c>
      <c r="Q96" s="26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projet'!A100</f>
        <v>150</v>
      </c>
      <c r="B97" s="191">
        <f>'Données projet'!D100</f>
        <v>224</v>
      </c>
      <c r="C97" s="204">
        <v>200</v>
      </c>
      <c r="D97" s="189">
        <f t="shared" si="6"/>
        <v>44800</v>
      </c>
      <c r="E97" s="204"/>
      <c r="F97" s="261"/>
      <c r="G97" s="221"/>
      <c r="H97" s="201"/>
      <c r="I97" s="202"/>
      <c r="J97" s="5"/>
      <c r="K97" s="181"/>
      <c r="L97" s="5"/>
      <c r="M97" s="5"/>
      <c r="N97" s="5"/>
      <c r="O97" s="205" t="e">
        <f>IF(O96+1&lt;=MIN('Données projet'!$E$9:$E$18),O96+1,"STOP")</f>
        <v>#VALUE!</v>
      </c>
      <c r="P97" s="195" t="e">
        <f t="shared" ref="P97:P128" si="7">$P$25/(1+$M$4)^O97</f>
        <v>#VALUE!</v>
      </c>
      <c r="Q97" s="26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projet'!A101</f>
        <v>0</v>
      </c>
      <c r="B98" s="191">
        <f>'Données projet'!D101</f>
        <v>0</v>
      </c>
      <c r="C98" s="204">
        <v>0</v>
      </c>
      <c r="D98" s="189">
        <f t="shared" si="6"/>
        <v>0</v>
      </c>
      <c r="E98" s="204"/>
      <c r="F98" s="261"/>
      <c r="G98" s="221"/>
      <c r="H98" s="201"/>
      <c r="I98" s="202"/>
      <c r="J98" s="5"/>
      <c r="K98" s="181"/>
      <c r="L98" s="5"/>
      <c r="M98" s="5"/>
      <c r="N98" s="5"/>
      <c r="O98" s="205" t="e">
        <f>IF(O97+1&lt;=MIN('Données projet'!$E$9:$E$18),O97+1,"STOP")</f>
        <v>#VALUE!</v>
      </c>
      <c r="P98" s="195" t="e">
        <f t="shared" si="7"/>
        <v>#VALUE!</v>
      </c>
      <c r="Q98" s="26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projet'!A102</f>
        <v>0</v>
      </c>
      <c r="B99" s="191">
        <f>'Données projet'!D102</f>
        <v>0</v>
      </c>
      <c r="C99" s="204">
        <v>0</v>
      </c>
      <c r="D99" s="189">
        <f t="shared" si="6"/>
        <v>0</v>
      </c>
      <c r="E99" s="204"/>
      <c r="F99" s="261"/>
      <c r="G99" s="221"/>
      <c r="H99" s="201"/>
      <c r="I99" s="202"/>
      <c r="J99" s="5"/>
      <c r="K99" s="181"/>
      <c r="L99" s="5"/>
      <c r="M99" s="5"/>
      <c r="N99" s="5"/>
      <c r="O99" s="205" t="e">
        <f>IF(O98+1&lt;=MIN('Données projet'!$E$9:$E$18),O98+1,"STOP")</f>
        <v>#VALUE!</v>
      </c>
      <c r="P99" s="195" t="e">
        <f t="shared" si="7"/>
        <v>#VALUE!</v>
      </c>
      <c r="Q99" s="26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projet'!A103</f>
        <v>0</v>
      </c>
      <c r="B100" s="191">
        <f>'Données projet'!D103</f>
        <v>0</v>
      </c>
      <c r="C100" s="204">
        <v>0</v>
      </c>
      <c r="D100" s="189">
        <f t="shared" si="6"/>
        <v>0</v>
      </c>
      <c r="E100" s="204"/>
      <c r="F100" s="261"/>
      <c r="G100" s="221"/>
      <c r="H100" s="201"/>
      <c r="I100" s="202"/>
      <c r="J100" s="5"/>
      <c r="K100" s="181"/>
      <c r="L100" s="5"/>
      <c r="M100" s="5"/>
      <c r="N100" s="5"/>
      <c r="O100" s="205" t="e">
        <f>IF(O99+1&lt;=MIN('Données projet'!$E$9:$E$18),O99+1,"STOP")</f>
        <v>#VALUE!</v>
      </c>
      <c r="P100" s="195" t="e">
        <f t="shared" si="7"/>
        <v>#VALUE!</v>
      </c>
      <c r="Q100" s="26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projet'!A104</f>
        <v>0</v>
      </c>
      <c r="B101" s="191">
        <f>'Données projet'!D104</f>
        <v>0</v>
      </c>
      <c r="C101" s="204">
        <v>0</v>
      </c>
      <c r="D101" s="189">
        <f t="shared" si="6"/>
        <v>0</v>
      </c>
      <c r="E101" s="204"/>
      <c r="F101" s="261"/>
      <c r="G101" s="221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projet'!$E$9:$E$18),O100+1,"STOP")</f>
        <v>#VALUE!</v>
      </c>
      <c r="P101" s="195" t="e">
        <f t="shared" si="7"/>
        <v>#VALUE!</v>
      </c>
      <c r="Q101" s="26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projet'!A105</f>
        <v>0</v>
      </c>
      <c r="B102" s="191">
        <f>'Données projet'!D105</f>
        <v>0</v>
      </c>
      <c r="C102" s="204">
        <v>0</v>
      </c>
      <c r="D102" s="189">
        <f t="shared" si="6"/>
        <v>0</v>
      </c>
      <c r="E102" s="204"/>
      <c r="F102" s="261"/>
      <c r="G102" s="221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projet'!$E$9:$E$18),O101+1,"STOP")</f>
        <v>#VALUE!</v>
      </c>
      <c r="P102" s="195" t="e">
        <f t="shared" si="7"/>
        <v>#VALUE!</v>
      </c>
      <c r="Q102" s="26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projet'!A106</f>
        <v>0</v>
      </c>
      <c r="B103" s="191">
        <f>'Données projet'!D106</f>
        <v>0</v>
      </c>
      <c r="C103" s="204">
        <v>0</v>
      </c>
      <c r="D103" s="189">
        <f t="shared" si="6"/>
        <v>0</v>
      </c>
      <c r="E103" s="204"/>
      <c r="F103" s="261"/>
      <c r="G103" s="221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projet'!$E$9:$E$18),O102+1,"STOP")</f>
        <v>#VALUE!</v>
      </c>
      <c r="P103" s="195" t="e">
        <f t="shared" si="7"/>
        <v>#VALUE!</v>
      </c>
      <c r="Q103" s="26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projet'!A107</f>
        <v>0</v>
      </c>
      <c r="B104" s="191">
        <f>'Données projet'!D107</f>
        <v>0</v>
      </c>
      <c r="C104" s="204">
        <v>0</v>
      </c>
      <c r="D104" s="189">
        <f t="shared" si="6"/>
        <v>0</v>
      </c>
      <c r="E104" s="204"/>
      <c r="F104" s="261"/>
      <c r="G104" s="221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projet'!$E$9:$E$18),O103+1,"STOP")</f>
        <v>#VALUE!</v>
      </c>
      <c r="P104" s="195" t="e">
        <f t="shared" si="7"/>
        <v>#VALUE!</v>
      </c>
      <c r="Q104" s="26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9"/>
      <c r="G105" s="221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projet'!$E$9:$E$18),O104+1,"STOP")</f>
        <v>#VALUE!</v>
      </c>
      <c r="P105" s="195" t="e">
        <f t="shared" si="7"/>
        <v>#VALUE!</v>
      </c>
      <c r="Q105" s="26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9"/>
      <c r="G106" s="221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projet'!$E$9:$E$18),O105+1,"STOP")</f>
        <v>#VALUE!</v>
      </c>
      <c r="P106" s="195" t="e">
        <f t="shared" si="7"/>
        <v>#VALUE!</v>
      </c>
      <c r="Q106" s="26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4" t="str">
        <f>IF('Données projet'!B12="","",'Données projet'!B12)</f>
        <v>Séquoia toujours vert</v>
      </c>
      <c r="C107" s="5"/>
      <c r="D107" s="5"/>
      <c r="E107" s="5"/>
      <c r="F107" s="259"/>
      <c r="G107" s="221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projet'!$E$9:$E$18),O106+1,"STOP")</f>
        <v>#VALUE!</v>
      </c>
      <c r="P107" s="195" t="e">
        <f t="shared" si="7"/>
        <v>#VALUE!</v>
      </c>
      <c r="Q107" s="26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9"/>
      <c r="G108" s="221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projet'!$E$9:$E$18),O107+1,"STOP")</f>
        <v>#VALUE!</v>
      </c>
      <c r="P108" s="195" t="e">
        <f t="shared" si="7"/>
        <v>#VALUE!</v>
      </c>
      <c r="Q108" s="26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5" t="s">
        <v>180</v>
      </c>
      <c r="B109" s="51" t="s">
        <v>256</v>
      </c>
      <c r="C109" s="51" t="s">
        <v>255</v>
      </c>
      <c r="D109" s="255" t="s">
        <v>252</v>
      </c>
      <c r="E109" s="255" t="s">
        <v>320</v>
      </c>
      <c r="F109" s="260"/>
      <c r="G109" s="221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projet'!$E$9:$E$18),O108+1,"STOP")</f>
        <v>#VALUE!</v>
      </c>
      <c r="P109" s="195" t="e">
        <f t="shared" si="7"/>
        <v>#VALUE!</v>
      </c>
      <c r="Q109" s="26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8">
        <v>0</v>
      </c>
      <c r="B110" s="211" t="s">
        <v>132</v>
      </c>
      <c r="C110" s="210" t="s">
        <v>132</v>
      </c>
      <c r="D110" s="209" t="s">
        <v>132</v>
      </c>
      <c r="E110" s="204"/>
      <c r="F110" s="260"/>
      <c r="G110" s="221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8">
        <v>1</v>
      </c>
      <c r="B111" s="211" t="s">
        <v>132</v>
      </c>
      <c r="C111" s="210" t="s">
        <v>132</v>
      </c>
      <c r="D111" s="209" t="s">
        <v>132</v>
      </c>
      <c r="E111" s="204"/>
      <c r="F111" s="260"/>
      <c r="G111" s="219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8">
        <v>2</v>
      </c>
      <c r="B112" s="211" t="s">
        <v>132</v>
      </c>
      <c r="C112" s="210" t="s">
        <v>132</v>
      </c>
      <c r="D112" s="209" t="s">
        <v>132</v>
      </c>
      <c r="E112" s="204"/>
      <c r="F112" s="260"/>
      <c r="G112" s="219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8">
        <v>3</v>
      </c>
      <c r="B113" s="211" t="s">
        <v>132</v>
      </c>
      <c r="C113" s="210" t="s">
        <v>132</v>
      </c>
      <c r="D113" s="209" t="s">
        <v>132</v>
      </c>
      <c r="E113" s="204"/>
      <c r="F113" s="260"/>
      <c r="G113" s="219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8">
        <v>4</v>
      </c>
      <c r="B114" s="211" t="s">
        <v>132</v>
      </c>
      <c r="C114" s="210" t="s">
        <v>132</v>
      </c>
      <c r="D114" s="209" t="s">
        <v>132</v>
      </c>
      <c r="E114" s="204"/>
      <c r="F114" s="260"/>
      <c r="G114" s="219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8">
        <v>5</v>
      </c>
      <c r="B115" s="211" t="s">
        <v>132</v>
      </c>
      <c r="C115" s="210" t="s">
        <v>132</v>
      </c>
      <c r="D115" s="209" t="s">
        <v>132</v>
      </c>
      <c r="E115" s="204"/>
      <c r="F115" s="260"/>
      <c r="G115" s="220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projet'!A114</f>
        <v>18</v>
      </c>
      <c r="B116" s="191">
        <f>'Données projet'!D114</f>
        <v>0</v>
      </c>
      <c r="C116" s="202">
        <v>0</v>
      </c>
      <c r="D116" s="189">
        <f>B116*C116</f>
        <v>0</v>
      </c>
      <c r="E116" s="204"/>
      <c r="F116" s="261"/>
      <c r="G116" s="220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projet'!A115</f>
        <v>23</v>
      </c>
      <c r="B117" s="191">
        <f>'Données projet'!D115</f>
        <v>63</v>
      </c>
      <c r="C117" s="204">
        <v>20</v>
      </c>
      <c r="D117" s="189">
        <f t="shared" ref="D117:D135" si="8">B117*C117</f>
        <v>1260</v>
      </c>
      <c r="E117" s="204"/>
      <c r="F117" s="261"/>
      <c r="G117" s="220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projet'!A116</f>
        <v>28</v>
      </c>
      <c r="B118" s="191">
        <f>'Données projet'!D116</f>
        <v>0</v>
      </c>
      <c r="C118" s="204">
        <v>0</v>
      </c>
      <c r="D118" s="189">
        <f t="shared" si="8"/>
        <v>0</v>
      </c>
      <c r="E118" s="204"/>
      <c r="F118" s="261"/>
      <c r="G118" s="220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projet'!A117</f>
        <v>33</v>
      </c>
      <c r="B119" s="191">
        <f>'Données projet'!D117</f>
        <v>126</v>
      </c>
      <c r="C119" s="204">
        <v>30</v>
      </c>
      <c r="D119" s="189">
        <f t="shared" si="8"/>
        <v>3780</v>
      </c>
      <c r="E119" s="204"/>
      <c r="F119" s="261"/>
      <c r="G119" s="220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projet'!A118</f>
        <v>38</v>
      </c>
      <c r="B120" s="191">
        <f>'Données projet'!D118</f>
        <v>0</v>
      </c>
      <c r="C120" s="204">
        <v>0</v>
      </c>
      <c r="D120" s="189">
        <f t="shared" si="8"/>
        <v>0</v>
      </c>
      <c r="E120" s="204"/>
      <c r="F120" s="261"/>
      <c r="G120" s="220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4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projet'!A119</f>
        <v>43</v>
      </c>
      <c r="B121" s="191">
        <f>'Données projet'!D119</f>
        <v>126</v>
      </c>
      <c r="C121" s="204">
        <v>40</v>
      </c>
      <c r="D121" s="189">
        <f t="shared" si="8"/>
        <v>5040</v>
      </c>
      <c r="E121" s="204"/>
      <c r="F121" s="261"/>
      <c r="G121" s="220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projet'!A120</f>
        <v>48</v>
      </c>
      <c r="B122" s="191">
        <f>'Données projet'!D120</f>
        <v>0</v>
      </c>
      <c r="C122" s="204">
        <v>0</v>
      </c>
      <c r="D122" s="189">
        <f t="shared" si="8"/>
        <v>0</v>
      </c>
      <c r="E122" s="204"/>
      <c r="F122" s="261"/>
      <c r="G122" s="221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projet'!A121</f>
        <v>53</v>
      </c>
      <c r="B123" s="191">
        <f>'Données projet'!D121</f>
        <v>94</v>
      </c>
      <c r="C123" s="204">
        <v>50</v>
      </c>
      <c r="D123" s="189">
        <f t="shared" si="8"/>
        <v>4700</v>
      </c>
      <c r="E123" s="204"/>
      <c r="F123" s="261"/>
      <c r="G123" s="221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projet'!A122</f>
        <v>58</v>
      </c>
      <c r="B124" s="191">
        <f>'Données projet'!D122</f>
        <v>0</v>
      </c>
      <c r="C124" s="204">
        <v>0</v>
      </c>
      <c r="D124" s="189">
        <f t="shared" si="8"/>
        <v>0</v>
      </c>
      <c r="E124" s="204"/>
      <c r="F124" s="261"/>
      <c r="G124" s="221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projet'!A123</f>
        <v>63</v>
      </c>
      <c r="B125" s="191">
        <f>'Données projet'!D123</f>
        <v>71</v>
      </c>
      <c r="C125" s="204">
        <v>60</v>
      </c>
      <c r="D125" s="189">
        <f t="shared" si="8"/>
        <v>4260</v>
      </c>
      <c r="E125" s="204"/>
      <c r="F125" s="261"/>
      <c r="G125" s="221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projet'!A124</f>
        <v>68</v>
      </c>
      <c r="B126" s="191">
        <f>'Données projet'!D124</f>
        <v>0</v>
      </c>
      <c r="C126" s="204">
        <v>0</v>
      </c>
      <c r="D126" s="189">
        <f t="shared" si="8"/>
        <v>0</v>
      </c>
      <c r="E126" s="204"/>
      <c r="F126" s="261"/>
      <c r="G126" s="221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projet'!A125</f>
        <v>73</v>
      </c>
      <c r="B127" s="191">
        <f>'Données projet'!D125</f>
        <v>52</v>
      </c>
      <c r="C127" s="204">
        <v>70</v>
      </c>
      <c r="D127" s="189">
        <f t="shared" si="8"/>
        <v>3640</v>
      </c>
      <c r="E127" s="204"/>
      <c r="F127" s="261"/>
      <c r="G127" s="221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projet'!A126</f>
        <v>78</v>
      </c>
      <c r="B128" s="191">
        <f>'Données projet'!D126</f>
        <v>740</v>
      </c>
      <c r="C128" s="204">
        <v>80</v>
      </c>
      <c r="D128" s="189">
        <f t="shared" si="8"/>
        <v>59200</v>
      </c>
      <c r="E128" s="204"/>
      <c r="F128" s="261"/>
      <c r="G128" s="221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projet'!A127</f>
        <v>0</v>
      </c>
      <c r="B129" s="191">
        <f>'Données projet'!D127</f>
        <v>0</v>
      </c>
      <c r="C129" s="204">
        <v>0</v>
      </c>
      <c r="D129" s="189">
        <f t="shared" si="8"/>
        <v>0</v>
      </c>
      <c r="E129" s="204"/>
      <c r="F129" s="261"/>
      <c r="G129" s="221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projet'!A128</f>
        <v>0</v>
      </c>
      <c r="B130" s="191">
        <f>'Données projet'!D128</f>
        <v>0</v>
      </c>
      <c r="C130" s="204">
        <v>0</v>
      </c>
      <c r="D130" s="189">
        <f t="shared" si="8"/>
        <v>0</v>
      </c>
      <c r="E130" s="204"/>
      <c r="F130" s="261"/>
      <c r="G130" s="221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projet'!A129</f>
        <v>0</v>
      </c>
      <c r="B131" s="191">
        <f>'Données projet'!D129</f>
        <v>0</v>
      </c>
      <c r="C131" s="204">
        <v>0</v>
      </c>
      <c r="D131" s="189">
        <f t="shared" si="8"/>
        <v>0</v>
      </c>
      <c r="E131" s="204"/>
      <c r="F131" s="261"/>
      <c r="G131" s="221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projet'!A130</f>
        <v>0</v>
      </c>
      <c r="B132" s="191">
        <f>'Données projet'!D130</f>
        <v>0</v>
      </c>
      <c r="C132" s="204">
        <v>0</v>
      </c>
      <c r="D132" s="189">
        <f t="shared" si="8"/>
        <v>0</v>
      </c>
      <c r="E132" s="204"/>
      <c r="F132" s="261"/>
      <c r="G132" s="221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4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projet'!A131</f>
        <v>0</v>
      </c>
      <c r="B133" s="191">
        <f>'Données projet'!D131</f>
        <v>0</v>
      </c>
      <c r="C133" s="204">
        <v>0</v>
      </c>
      <c r="D133" s="189">
        <f t="shared" si="8"/>
        <v>0</v>
      </c>
      <c r="E133" s="204"/>
      <c r="F133" s="261"/>
      <c r="G133" s="221"/>
      <c r="H133" s="201"/>
      <c r="I133" s="202"/>
      <c r="J133" s="5"/>
      <c r="K133" s="181"/>
      <c r="Q133" s="264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projet'!A132</f>
        <v>0</v>
      </c>
      <c r="B134" s="191">
        <f>'Données projet'!D132</f>
        <v>0</v>
      </c>
      <c r="C134" s="204">
        <v>0</v>
      </c>
      <c r="D134" s="189">
        <f t="shared" si="8"/>
        <v>0</v>
      </c>
      <c r="E134" s="204"/>
      <c r="F134" s="261"/>
      <c r="G134" s="221"/>
      <c r="H134" s="201"/>
      <c r="I134" s="202"/>
      <c r="J134" s="5"/>
      <c r="K134" s="181"/>
      <c r="Q134" s="264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projet'!A133</f>
        <v>0</v>
      </c>
      <c r="B135" s="191">
        <f>'Données projet'!D133</f>
        <v>0</v>
      </c>
      <c r="C135" s="204">
        <v>0</v>
      </c>
      <c r="D135" s="189">
        <f t="shared" si="8"/>
        <v>0</v>
      </c>
      <c r="E135" s="204"/>
      <c r="F135" s="261"/>
      <c r="G135" s="221"/>
      <c r="H135" s="201"/>
      <c r="I135" s="202"/>
      <c r="J135" s="5"/>
      <c r="K135" s="181"/>
      <c r="Q135" s="264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9"/>
      <c r="G136" s="221"/>
      <c r="H136" s="201"/>
      <c r="I136" s="202"/>
      <c r="J136" s="5"/>
      <c r="K136" s="181"/>
      <c r="L136" s="5"/>
      <c r="M136" s="5"/>
      <c r="N136" s="5"/>
      <c r="Q136" s="264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9"/>
      <c r="G137" s="221"/>
      <c r="H137" s="201"/>
      <c r="I137" s="202"/>
      <c r="J137" s="5"/>
      <c r="K137" s="181"/>
      <c r="L137" s="5"/>
      <c r="M137" s="5"/>
      <c r="N137" s="5"/>
      <c r="Q137" s="264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4" t="str">
        <f>IF('Données projet'!B13="","",'Données projet'!B13)</f>
        <v>Pin laricio</v>
      </c>
      <c r="C138" s="5"/>
      <c r="D138" s="5"/>
      <c r="E138" s="5"/>
      <c r="F138" s="259"/>
      <c r="G138" s="221"/>
      <c r="H138" s="201"/>
      <c r="I138" s="202"/>
      <c r="J138" s="5"/>
      <c r="K138" s="181"/>
      <c r="L138" s="5"/>
      <c r="M138" s="5"/>
      <c r="N138" s="5"/>
      <c r="Q138" s="264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9"/>
      <c r="G139" s="221"/>
      <c r="H139" s="201"/>
      <c r="I139" s="202"/>
      <c r="J139" s="5"/>
      <c r="K139" s="181"/>
      <c r="L139" s="5"/>
      <c r="M139" s="5"/>
      <c r="N139" s="5"/>
      <c r="Q139" s="264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5" t="s">
        <v>180</v>
      </c>
      <c r="B140" s="51" t="s">
        <v>256</v>
      </c>
      <c r="C140" s="51" t="s">
        <v>255</v>
      </c>
      <c r="D140" s="255" t="s">
        <v>252</v>
      </c>
      <c r="E140" s="255" t="s">
        <v>320</v>
      </c>
      <c r="F140" s="260"/>
      <c r="G140" s="221"/>
      <c r="H140" s="201"/>
      <c r="I140" s="202"/>
      <c r="J140" s="5"/>
      <c r="K140" s="181"/>
      <c r="L140" s="5"/>
      <c r="M140" s="5"/>
      <c r="N140" s="5"/>
      <c r="Q140" s="264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8">
        <v>0</v>
      </c>
      <c r="B141" s="211" t="s">
        <v>132</v>
      </c>
      <c r="C141" s="210" t="s">
        <v>132</v>
      </c>
      <c r="D141" s="209" t="s">
        <v>132</v>
      </c>
      <c r="E141" s="204"/>
      <c r="F141" s="260"/>
      <c r="G141" s="221"/>
      <c r="H141" s="201"/>
      <c r="I141" s="202"/>
      <c r="J141" s="5"/>
      <c r="K141" s="181"/>
      <c r="L141" s="5"/>
      <c r="M141" s="5"/>
      <c r="N141" s="5"/>
      <c r="Q141" s="264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8">
        <v>1</v>
      </c>
      <c r="B142" s="211" t="s">
        <v>132</v>
      </c>
      <c r="C142" s="210" t="s">
        <v>132</v>
      </c>
      <c r="D142" s="209" t="s">
        <v>132</v>
      </c>
      <c r="E142" s="204"/>
      <c r="F142" s="260"/>
      <c r="G142" s="219"/>
      <c r="H142" s="201"/>
      <c r="I142" s="202"/>
      <c r="J142" s="5"/>
      <c r="K142" s="181"/>
      <c r="L142" s="5"/>
      <c r="M142" s="5"/>
      <c r="N142" s="5"/>
      <c r="Q142" s="264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8">
        <v>2</v>
      </c>
      <c r="B143" s="211" t="s">
        <v>132</v>
      </c>
      <c r="C143" s="210" t="s">
        <v>132</v>
      </c>
      <c r="D143" s="209" t="s">
        <v>132</v>
      </c>
      <c r="E143" s="204"/>
      <c r="F143" s="260"/>
      <c r="G143" s="219"/>
      <c r="H143" s="201"/>
      <c r="I143" s="202"/>
      <c r="J143" s="5"/>
      <c r="K143" s="181"/>
      <c r="L143" s="5"/>
      <c r="M143" s="5"/>
      <c r="N143" s="5"/>
      <c r="Q143" s="264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8">
        <v>3</v>
      </c>
      <c r="B144" s="211" t="s">
        <v>132</v>
      </c>
      <c r="C144" s="210" t="s">
        <v>132</v>
      </c>
      <c r="D144" s="209" t="s">
        <v>132</v>
      </c>
      <c r="E144" s="204"/>
      <c r="F144" s="260"/>
      <c r="G144" s="219"/>
      <c r="H144" s="201"/>
      <c r="I144" s="202"/>
      <c r="J144" s="5"/>
      <c r="K144" s="181"/>
      <c r="L144" s="5"/>
      <c r="M144" s="5"/>
      <c r="N144" s="5"/>
      <c r="Q144" s="264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8">
        <v>4</v>
      </c>
      <c r="B145" s="211" t="s">
        <v>132</v>
      </c>
      <c r="C145" s="210" t="s">
        <v>132</v>
      </c>
      <c r="D145" s="209" t="s">
        <v>132</v>
      </c>
      <c r="E145" s="204"/>
      <c r="F145" s="260"/>
      <c r="G145" s="219"/>
      <c r="H145" s="201"/>
      <c r="I145" s="202"/>
      <c r="J145" s="5"/>
      <c r="K145" s="181"/>
      <c r="L145" s="5"/>
      <c r="M145" s="5"/>
      <c r="N145" s="5"/>
      <c r="Q145" s="264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8">
        <v>5</v>
      </c>
      <c r="B146" s="211" t="s">
        <v>132</v>
      </c>
      <c r="C146" s="210" t="s">
        <v>132</v>
      </c>
      <c r="D146" s="209" t="s">
        <v>132</v>
      </c>
      <c r="E146" s="204"/>
      <c r="F146" s="260"/>
      <c r="G146" s="220"/>
      <c r="H146" s="201"/>
      <c r="I146" s="202"/>
      <c r="J146" s="5"/>
      <c r="K146" s="181"/>
      <c r="L146" s="5"/>
      <c r="M146" s="5"/>
      <c r="N146" s="5"/>
      <c r="Q146" s="264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25</v>
      </c>
      <c r="B147" s="185">
        <f>'Données projet'!D140</f>
        <v>51.446153846153841</v>
      </c>
      <c r="C147" s="204">
        <v>10</v>
      </c>
      <c r="D147" s="192">
        <f>B147*C147</f>
        <v>514.46153846153845</v>
      </c>
      <c r="E147" s="204"/>
      <c r="F147" s="262"/>
      <c r="G147" s="220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32</v>
      </c>
      <c r="B148" s="185">
        <f>'Données projet'!D141</f>
        <v>41.469230769230762</v>
      </c>
      <c r="C148" s="204">
        <v>20</v>
      </c>
      <c r="D148" s="192">
        <f t="shared" ref="D148:D166" si="10">B148*C148</f>
        <v>829.38461538461524</v>
      </c>
      <c r="E148" s="204"/>
      <c r="F148" s="262"/>
      <c r="G148" s="220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40</v>
      </c>
      <c r="B149" s="185">
        <f>'Données projet'!D142</f>
        <v>48.323076923076918</v>
      </c>
      <c r="C149" s="204">
        <v>30</v>
      </c>
      <c r="D149" s="192">
        <f t="shared" si="10"/>
        <v>1449.6923076923076</v>
      </c>
      <c r="E149" s="204"/>
      <c r="F149" s="262"/>
      <c r="G149" s="220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50</v>
      </c>
      <c r="B150" s="185">
        <f>'Données projet'!D143</f>
        <v>55.676923076923075</v>
      </c>
      <c r="C150" s="204">
        <v>40</v>
      </c>
      <c r="D150" s="192">
        <f t="shared" si="10"/>
        <v>2227.0769230769229</v>
      </c>
      <c r="E150" s="204"/>
      <c r="F150" s="262"/>
      <c r="G150" s="220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60</v>
      </c>
      <c r="B151" s="185">
        <f>'Données projet'!D144</f>
        <v>50.076923076923073</v>
      </c>
      <c r="C151" s="204">
        <v>50</v>
      </c>
      <c r="D151" s="192">
        <f t="shared" si="10"/>
        <v>2503.8461538461538</v>
      </c>
      <c r="E151" s="204"/>
      <c r="F151" s="262"/>
      <c r="G151" s="220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70</v>
      </c>
      <c r="B152" s="185">
        <f>'Données projet'!D145</f>
        <v>54.215384615384615</v>
      </c>
      <c r="C152" s="204">
        <v>60</v>
      </c>
      <c r="D152" s="192">
        <f t="shared" si="10"/>
        <v>3252.9230769230767</v>
      </c>
      <c r="E152" s="204"/>
      <c r="F152" s="262"/>
      <c r="G152" s="220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80</v>
      </c>
      <c r="B153" s="185">
        <f>'Données projet'!D146</f>
        <v>310.16923076923081</v>
      </c>
      <c r="C153" s="204">
        <v>70</v>
      </c>
      <c r="D153" s="192">
        <f t="shared" si="10"/>
        <v>21711.846153846156</v>
      </c>
      <c r="E153" s="204"/>
      <c r="F153" s="262"/>
      <c r="G153" s="216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5">
        <f>'Données projet'!D147</f>
        <v>0</v>
      </c>
      <c r="C154" s="204">
        <v>0</v>
      </c>
      <c r="D154" s="192">
        <f t="shared" si="10"/>
        <v>0</v>
      </c>
      <c r="E154" s="204"/>
      <c r="F154" s="262"/>
      <c r="G154" s="216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5">
        <f>'Données projet'!D148</f>
        <v>0</v>
      </c>
      <c r="C155" s="204">
        <v>0</v>
      </c>
      <c r="D155" s="192">
        <f t="shared" si="10"/>
        <v>0</v>
      </c>
      <c r="E155" s="204"/>
      <c r="F155" s="262"/>
      <c r="G155" s="216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5">
        <f>'Données projet'!D149</f>
        <v>0</v>
      </c>
      <c r="C156" s="204">
        <v>0</v>
      </c>
      <c r="D156" s="192">
        <f t="shared" si="10"/>
        <v>0</v>
      </c>
      <c r="E156" s="204"/>
      <c r="F156" s="262"/>
      <c r="G156" s="216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5">
        <f>'Données projet'!D150</f>
        <v>0</v>
      </c>
      <c r="C157" s="204">
        <v>0</v>
      </c>
      <c r="D157" s="192">
        <f t="shared" si="10"/>
        <v>0</v>
      </c>
      <c r="E157" s="204"/>
      <c r="F157" s="262"/>
      <c r="G157" s="216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5">
        <f>'Données projet'!D151</f>
        <v>0</v>
      </c>
      <c r="C158" s="204">
        <v>0</v>
      </c>
      <c r="D158" s="192">
        <f t="shared" si="10"/>
        <v>0</v>
      </c>
      <c r="E158" s="204"/>
      <c r="F158" s="262"/>
      <c r="G158" s="216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5">
        <f>'Données projet'!D152</f>
        <v>0</v>
      </c>
      <c r="C159" s="204">
        <v>0</v>
      </c>
      <c r="D159" s="192">
        <f t="shared" si="10"/>
        <v>0</v>
      </c>
      <c r="E159" s="204"/>
      <c r="F159" s="262"/>
      <c r="G159" s="216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5">
        <f>'Données projet'!D153</f>
        <v>0</v>
      </c>
      <c r="C160" s="204">
        <v>0</v>
      </c>
      <c r="D160" s="192">
        <f t="shared" si="10"/>
        <v>0</v>
      </c>
      <c r="E160" s="204"/>
      <c r="F160" s="262"/>
      <c r="G160" s="216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5">
        <f>'Données projet'!D154</f>
        <v>0</v>
      </c>
      <c r="C161" s="204">
        <v>0</v>
      </c>
      <c r="D161" s="192">
        <f t="shared" si="10"/>
        <v>0</v>
      </c>
      <c r="E161" s="204"/>
      <c r="F161" s="262"/>
      <c r="G161" s="216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5">
        <f>'Données projet'!D155</f>
        <v>0</v>
      </c>
      <c r="C162" s="204">
        <v>0</v>
      </c>
      <c r="D162" s="192">
        <f t="shared" si="10"/>
        <v>0</v>
      </c>
      <c r="E162" s="204"/>
      <c r="F162" s="262"/>
      <c r="G162" s="216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5">
        <f>'Données projet'!D156</f>
        <v>0</v>
      </c>
      <c r="C163" s="204">
        <v>0</v>
      </c>
      <c r="D163" s="192">
        <f t="shared" si="10"/>
        <v>0</v>
      </c>
      <c r="E163" s="204"/>
      <c r="F163" s="262"/>
      <c r="G163" s="216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5">
        <f>'Données projet'!D157</f>
        <v>0</v>
      </c>
      <c r="C164" s="204">
        <v>0</v>
      </c>
      <c r="D164" s="192">
        <f t="shared" si="10"/>
        <v>0</v>
      </c>
      <c r="E164" s="204"/>
      <c r="F164" s="262"/>
      <c r="G164" s="216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5">
        <f>'Données projet'!D158</f>
        <v>0</v>
      </c>
      <c r="C165" s="204">
        <v>0</v>
      </c>
      <c r="D165" s="192">
        <f t="shared" si="10"/>
        <v>0</v>
      </c>
      <c r="E165" s="204"/>
      <c r="F165" s="262"/>
      <c r="G165" s="216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5">
        <f>'Données projet'!D159</f>
        <v>0</v>
      </c>
      <c r="C166" s="204">
        <v>0</v>
      </c>
      <c r="D166" s="192">
        <f t="shared" si="10"/>
        <v>0</v>
      </c>
      <c r="E166" s="204"/>
      <c r="F166" s="262"/>
      <c r="G166" s="216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9"/>
      <c r="G167" s="216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9"/>
      <c r="G168" s="216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4" t="str">
        <f>IF('Données projet'!B14="","",'Données projet'!B14)</f>
        <v>Charme</v>
      </c>
      <c r="C169" s="5"/>
      <c r="D169" s="5"/>
      <c r="E169" s="5"/>
      <c r="F169" s="259"/>
      <c r="G169" s="216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9"/>
      <c r="G170" s="216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5" t="s">
        <v>180</v>
      </c>
      <c r="B171" s="51" t="s">
        <v>256</v>
      </c>
      <c r="C171" s="51" t="s">
        <v>255</v>
      </c>
      <c r="D171" s="255" t="s">
        <v>252</v>
      </c>
      <c r="E171" s="255" t="s">
        <v>320</v>
      </c>
      <c r="F171" s="260"/>
      <c r="G171" s="216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8">
        <v>0</v>
      </c>
      <c r="B172" s="211" t="s">
        <v>132</v>
      </c>
      <c r="C172" s="210" t="s">
        <v>132</v>
      </c>
      <c r="D172" s="209" t="s">
        <v>132</v>
      </c>
      <c r="E172" s="204"/>
      <c r="F172" s="260"/>
      <c r="G172" s="216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8">
        <v>1</v>
      </c>
      <c r="B173" s="211" t="s">
        <v>132</v>
      </c>
      <c r="C173" s="210" t="s">
        <v>132</v>
      </c>
      <c r="D173" s="209" t="s">
        <v>132</v>
      </c>
      <c r="E173" s="204"/>
      <c r="F173" s="260"/>
      <c r="G173" s="219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8">
        <v>2</v>
      </c>
      <c r="B174" s="211" t="s">
        <v>132</v>
      </c>
      <c r="C174" s="210" t="s">
        <v>132</v>
      </c>
      <c r="D174" s="209" t="s">
        <v>132</v>
      </c>
      <c r="E174" s="204"/>
      <c r="F174" s="260"/>
      <c r="G174" s="219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8">
        <v>3</v>
      </c>
      <c r="B175" s="211" t="s">
        <v>132</v>
      </c>
      <c r="C175" s="210" t="s">
        <v>132</v>
      </c>
      <c r="D175" s="209" t="s">
        <v>132</v>
      </c>
      <c r="E175" s="204"/>
      <c r="F175" s="260"/>
      <c r="G175" s="219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8">
        <v>4</v>
      </c>
      <c r="B176" s="211" t="s">
        <v>132</v>
      </c>
      <c r="C176" s="210" t="s">
        <v>132</v>
      </c>
      <c r="D176" s="209" t="s">
        <v>132</v>
      </c>
      <c r="E176" s="204"/>
      <c r="F176" s="260"/>
      <c r="G176" s="219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8">
        <v>5</v>
      </c>
      <c r="B177" s="211" t="s">
        <v>132</v>
      </c>
      <c r="C177" s="210" t="s">
        <v>132</v>
      </c>
      <c r="D177" s="209" t="s">
        <v>132</v>
      </c>
      <c r="E177" s="204"/>
      <c r="F177" s="260"/>
      <c r="G177" s="220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projet'!A166</f>
        <v>15</v>
      </c>
      <c r="B178" s="191">
        <f>'Données projet'!D166</f>
        <v>0</v>
      </c>
      <c r="C178" s="202">
        <v>0</v>
      </c>
      <c r="D178" s="189">
        <f>B178*C178</f>
        <v>0</v>
      </c>
      <c r="E178" s="204"/>
      <c r="F178" s="261"/>
      <c r="G178" s="220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projet'!A167</f>
        <v>20</v>
      </c>
      <c r="B179" s="191">
        <f>'Données projet'!D167</f>
        <v>0</v>
      </c>
      <c r="C179" s="202">
        <v>0</v>
      </c>
      <c r="D179" s="189">
        <f t="shared" ref="D179:D197" si="11">B179*C179</f>
        <v>0</v>
      </c>
      <c r="E179" s="204"/>
      <c r="F179" s="261"/>
      <c r="G179" s="220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projet'!A168</f>
        <v>25</v>
      </c>
      <c r="B180" s="191">
        <f>'Données projet'!D168</f>
        <v>19.23076923076923</v>
      </c>
      <c r="C180" s="202">
        <v>10</v>
      </c>
      <c r="D180" s="189">
        <f t="shared" si="11"/>
        <v>192.30769230769229</v>
      </c>
      <c r="E180" s="204"/>
      <c r="F180" s="261"/>
      <c r="G180" s="220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projet'!A169</f>
        <v>30</v>
      </c>
      <c r="B181" s="191">
        <f>'Données projet'!D169</f>
        <v>0</v>
      </c>
      <c r="C181" s="204">
        <v>0</v>
      </c>
      <c r="D181" s="189">
        <f t="shared" si="11"/>
        <v>0</v>
      </c>
      <c r="E181" s="204"/>
      <c r="F181" s="261"/>
      <c r="G181" s="220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projet'!A170</f>
        <v>35</v>
      </c>
      <c r="B182" s="191">
        <f>'Données projet'!D170</f>
        <v>19.871794871794872</v>
      </c>
      <c r="C182" s="204">
        <v>20</v>
      </c>
      <c r="D182" s="189">
        <f t="shared" si="11"/>
        <v>397.43589743589746</v>
      </c>
      <c r="E182" s="204"/>
      <c r="F182" s="261"/>
      <c r="G182" s="220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projet'!A171</f>
        <v>40</v>
      </c>
      <c r="B183" s="191">
        <f>'Données projet'!D171</f>
        <v>0</v>
      </c>
      <c r="C183" s="204">
        <v>0</v>
      </c>
      <c r="D183" s="189">
        <f t="shared" si="11"/>
        <v>0</v>
      </c>
      <c r="E183" s="204"/>
      <c r="F183" s="261"/>
      <c r="G183" s="220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projet'!A172</f>
        <v>45</v>
      </c>
      <c r="B184" s="191">
        <f>'Données projet'!D172</f>
        <v>22.435897435897434</v>
      </c>
      <c r="C184" s="204">
        <v>30</v>
      </c>
      <c r="D184" s="189">
        <f t="shared" si="11"/>
        <v>673.07692307692298</v>
      </c>
      <c r="E184" s="204"/>
      <c r="F184" s="261"/>
      <c r="G184" s="221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projet'!A173</f>
        <v>50</v>
      </c>
      <c r="B185" s="191">
        <f>'Données projet'!D173</f>
        <v>0</v>
      </c>
      <c r="C185" s="204">
        <v>0</v>
      </c>
      <c r="D185" s="189">
        <f t="shared" si="11"/>
        <v>0</v>
      </c>
      <c r="E185" s="204"/>
      <c r="F185" s="261"/>
      <c r="G185" s="221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projet'!A174</f>
        <v>55</v>
      </c>
      <c r="B186" s="191">
        <f>'Données projet'!D174</f>
        <v>23.076923076923077</v>
      </c>
      <c r="C186" s="204">
        <v>40</v>
      </c>
      <c r="D186" s="189">
        <f t="shared" si="11"/>
        <v>923.07692307692309</v>
      </c>
      <c r="E186" s="204"/>
      <c r="F186" s="261"/>
      <c r="G186" s="221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projet'!A175</f>
        <v>60</v>
      </c>
      <c r="B187" s="191">
        <f>'Données projet'!D175</f>
        <v>0</v>
      </c>
      <c r="C187" s="204">
        <v>0</v>
      </c>
      <c r="D187" s="189">
        <f t="shared" si="11"/>
        <v>0</v>
      </c>
      <c r="E187" s="204"/>
      <c r="F187" s="261"/>
      <c r="G187" s="221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projet'!A176</f>
        <v>65</v>
      </c>
      <c r="B188" s="191">
        <f>'Données projet'!D176</f>
        <v>23.076923076923077</v>
      </c>
      <c r="C188" s="204">
        <v>50</v>
      </c>
      <c r="D188" s="189">
        <f t="shared" si="11"/>
        <v>1153.8461538461538</v>
      </c>
      <c r="E188" s="204"/>
      <c r="F188" s="261"/>
      <c r="G188" s="221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projet'!A177</f>
        <v>70</v>
      </c>
      <c r="B189" s="191">
        <f>'Données projet'!D177</f>
        <v>0</v>
      </c>
      <c r="C189" s="204">
        <v>0</v>
      </c>
      <c r="D189" s="189">
        <f t="shared" si="11"/>
        <v>0</v>
      </c>
      <c r="E189" s="204"/>
      <c r="F189" s="261"/>
      <c r="G189" s="221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projet'!A178</f>
        <v>75</v>
      </c>
      <c r="B190" s="191">
        <f>'Données projet'!D178</f>
        <v>22.435897435897434</v>
      </c>
      <c r="C190" s="204">
        <v>60</v>
      </c>
      <c r="D190" s="189">
        <f t="shared" si="11"/>
        <v>1346.153846153846</v>
      </c>
      <c r="E190" s="204"/>
      <c r="F190" s="261"/>
      <c r="G190" s="221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projet'!A179</f>
        <v>80</v>
      </c>
      <c r="B191" s="191">
        <f>'Données projet'!D179</f>
        <v>0</v>
      </c>
      <c r="C191" s="204">
        <v>0</v>
      </c>
      <c r="D191" s="189">
        <f t="shared" si="11"/>
        <v>0</v>
      </c>
      <c r="E191" s="204"/>
      <c r="F191" s="261"/>
      <c r="G191" s="221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projet'!A180</f>
        <v>85</v>
      </c>
      <c r="B192" s="191">
        <f>'Données projet'!D180</f>
        <v>21.794871794871796</v>
      </c>
      <c r="C192" s="204">
        <v>70</v>
      </c>
      <c r="D192" s="189">
        <f t="shared" si="11"/>
        <v>1525.6410256410256</v>
      </c>
      <c r="E192" s="204"/>
      <c r="F192" s="261"/>
      <c r="G192" s="221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projet'!A181</f>
        <v>90</v>
      </c>
      <c r="B193" s="191">
        <f>'Données projet'!D181</f>
        <v>0</v>
      </c>
      <c r="C193" s="202">
        <v>0</v>
      </c>
      <c r="D193" s="189">
        <f t="shared" si="11"/>
        <v>0</v>
      </c>
      <c r="E193" s="204"/>
      <c r="F193" s="261"/>
      <c r="G193" s="221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projet'!A182</f>
        <v>95</v>
      </c>
      <c r="B194" s="191">
        <f>'Données projet'!D182</f>
        <v>20.512820512820511</v>
      </c>
      <c r="C194" s="202">
        <v>80</v>
      </c>
      <c r="D194" s="189">
        <f t="shared" si="11"/>
        <v>1641.0256410256409</v>
      </c>
      <c r="E194" s="204"/>
      <c r="F194" s="261"/>
      <c r="G194" s="221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projet'!A183</f>
        <v>100</v>
      </c>
      <c r="B195" s="191">
        <f>'Données projet'!D183</f>
        <v>0</v>
      </c>
      <c r="C195" s="202">
        <v>0</v>
      </c>
      <c r="D195" s="189">
        <f t="shared" si="11"/>
        <v>0</v>
      </c>
      <c r="E195" s="204"/>
      <c r="F195" s="261"/>
      <c r="G195" s="221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projet'!A184</f>
        <v>110</v>
      </c>
      <c r="B196" s="191">
        <f>'Données projet'!D184</f>
        <v>28.846153846153847</v>
      </c>
      <c r="C196" s="202">
        <v>90</v>
      </c>
      <c r="D196" s="189">
        <f t="shared" si="11"/>
        <v>2596.1538461538462</v>
      </c>
      <c r="E196" s="204"/>
      <c r="F196" s="261"/>
      <c r="G196" s="221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projet'!A185</f>
        <v>120</v>
      </c>
      <c r="B197" s="191">
        <f>'Données projet'!D185</f>
        <v>217.94871794871793</v>
      </c>
      <c r="C197" s="202">
        <v>100</v>
      </c>
      <c r="D197" s="189">
        <f t="shared" si="11"/>
        <v>21794.871794871793</v>
      </c>
      <c r="E197" s="204"/>
      <c r="F197" s="261"/>
      <c r="G197" s="221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9"/>
      <c r="G198" s="221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9"/>
      <c r="G199" s="221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4" t="str">
        <f>IF('Données projet'!$B$15="","",'Données projet'!$B$15)</f>
        <v>Chêne chevelu</v>
      </c>
      <c r="C200" s="5"/>
      <c r="D200" s="5"/>
      <c r="E200" s="5"/>
      <c r="F200" s="259"/>
      <c r="G200" s="221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9"/>
      <c r="G201" s="221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5" t="s">
        <v>180</v>
      </c>
      <c r="B202" s="51" t="s">
        <v>256</v>
      </c>
      <c r="C202" s="51" t="s">
        <v>255</v>
      </c>
      <c r="D202" s="255" t="s">
        <v>252</v>
      </c>
      <c r="E202" s="255" t="s">
        <v>320</v>
      </c>
      <c r="F202" s="260"/>
      <c r="G202" s="221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8">
        <v>0</v>
      </c>
      <c r="B203" s="211" t="s">
        <v>132</v>
      </c>
      <c r="C203" s="210" t="s">
        <v>132</v>
      </c>
      <c r="D203" s="209" t="s">
        <v>132</v>
      </c>
      <c r="E203" s="204"/>
      <c r="F203" s="260"/>
      <c r="G203" s="221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8">
        <v>1</v>
      </c>
      <c r="B204" s="211" t="s">
        <v>132</v>
      </c>
      <c r="C204" s="210" t="s">
        <v>132</v>
      </c>
      <c r="D204" s="209" t="s">
        <v>132</v>
      </c>
      <c r="E204" s="204"/>
      <c r="F204" s="260"/>
      <c r="G204" s="219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8">
        <v>2</v>
      </c>
      <c r="B205" s="211" t="s">
        <v>132</v>
      </c>
      <c r="C205" s="210" t="s">
        <v>132</v>
      </c>
      <c r="D205" s="209" t="s">
        <v>132</v>
      </c>
      <c r="E205" s="204"/>
      <c r="F205" s="260"/>
      <c r="G205" s="219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8">
        <v>3</v>
      </c>
      <c r="B206" s="211" t="s">
        <v>132</v>
      </c>
      <c r="C206" s="210" t="s">
        <v>132</v>
      </c>
      <c r="D206" s="209" t="s">
        <v>132</v>
      </c>
      <c r="E206" s="204"/>
      <c r="F206" s="260"/>
      <c r="G206" s="219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8">
        <v>4</v>
      </c>
      <c r="B207" s="211" t="s">
        <v>132</v>
      </c>
      <c r="C207" s="210" t="s">
        <v>132</v>
      </c>
      <c r="D207" s="209" t="s">
        <v>132</v>
      </c>
      <c r="E207" s="204"/>
      <c r="F207" s="260"/>
      <c r="G207" s="219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8">
        <v>5</v>
      </c>
      <c r="B208" s="211" t="s">
        <v>132</v>
      </c>
      <c r="C208" s="210" t="s">
        <v>132</v>
      </c>
      <c r="D208" s="209" t="s">
        <v>132</v>
      </c>
      <c r="E208" s="204"/>
      <c r="F208" s="260"/>
      <c r="G208" s="220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projet'!A192</f>
        <v>15</v>
      </c>
      <c r="B209" s="191">
        <f>'Données projet'!D192</f>
        <v>0</v>
      </c>
      <c r="C209" s="202">
        <v>0</v>
      </c>
      <c r="D209" s="189">
        <f>B209*C209</f>
        <v>0</v>
      </c>
      <c r="E209" s="204"/>
      <c r="F209" s="261"/>
      <c r="G209" s="220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projet'!A193</f>
        <v>20</v>
      </c>
      <c r="B210" s="191">
        <f>'Données projet'!D193</f>
        <v>0</v>
      </c>
      <c r="C210" s="202">
        <v>0</v>
      </c>
      <c r="D210" s="189">
        <f t="shared" ref="D210:D228" si="12">B210*C210</f>
        <v>0</v>
      </c>
      <c r="E210" s="204"/>
      <c r="F210" s="261"/>
      <c r="G210" s="220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projet'!A194</f>
        <v>25</v>
      </c>
      <c r="B211" s="191">
        <f>'Données projet'!D194</f>
        <v>0</v>
      </c>
      <c r="C211" s="202">
        <v>0</v>
      </c>
      <c r="D211" s="189">
        <f t="shared" si="12"/>
        <v>0</v>
      </c>
      <c r="E211" s="204"/>
      <c r="F211" s="261"/>
      <c r="G211" s="220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projet'!A195</f>
        <v>30</v>
      </c>
      <c r="B212" s="191">
        <f>'Données projet'!D195</f>
        <v>28.205128205128204</v>
      </c>
      <c r="C212" s="204">
        <v>15</v>
      </c>
      <c r="D212" s="189">
        <f t="shared" si="12"/>
        <v>423.07692307692309</v>
      </c>
      <c r="E212" s="204"/>
      <c r="F212" s="261"/>
      <c r="G212" s="220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projet'!A196</f>
        <v>35</v>
      </c>
      <c r="B213" s="191">
        <f>'Données projet'!D196</f>
        <v>0</v>
      </c>
      <c r="C213" s="204">
        <v>0</v>
      </c>
      <c r="D213" s="189">
        <f t="shared" si="12"/>
        <v>0</v>
      </c>
      <c r="E213" s="204"/>
      <c r="F213" s="261"/>
      <c r="G213" s="220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projet'!A197</f>
        <v>40</v>
      </c>
      <c r="B214" s="191">
        <f>'Données projet'!D197</f>
        <v>22.435897435897434</v>
      </c>
      <c r="C214" s="204">
        <v>40</v>
      </c>
      <c r="D214" s="189">
        <f t="shared" si="12"/>
        <v>897.43589743589735</v>
      </c>
      <c r="E214" s="204"/>
      <c r="F214" s="261"/>
      <c r="G214" s="220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projet'!A198</f>
        <v>45</v>
      </c>
      <c r="B215" s="191">
        <f>'Données projet'!D198</f>
        <v>0</v>
      </c>
      <c r="C215" s="204">
        <v>0</v>
      </c>
      <c r="D215" s="189">
        <f t="shared" si="12"/>
        <v>0</v>
      </c>
      <c r="E215" s="204"/>
      <c r="F215" s="261"/>
      <c r="G215" s="221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projet'!A199</f>
        <v>50</v>
      </c>
      <c r="B216" s="191">
        <f>'Données projet'!D199</f>
        <v>24.358974358974358</v>
      </c>
      <c r="C216" s="204">
        <v>50</v>
      </c>
      <c r="D216" s="189">
        <f t="shared" si="12"/>
        <v>1217.9487179487178</v>
      </c>
      <c r="E216" s="204"/>
      <c r="F216" s="261"/>
      <c r="G216" s="221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projet'!A200</f>
        <v>55</v>
      </c>
      <c r="B217" s="191">
        <f>'Données projet'!D200</f>
        <v>0</v>
      </c>
      <c r="C217" s="204">
        <v>0</v>
      </c>
      <c r="D217" s="189">
        <f t="shared" si="12"/>
        <v>0</v>
      </c>
      <c r="E217" s="204"/>
      <c r="F217" s="261"/>
      <c r="G217" s="221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projet'!A201</f>
        <v>60</v>
      </c>
      <c r="B218" s="191">
        <f>'Données projet'!D201</f>
        <v>24.358974358974358</v>
      </c>
      <c r="C218" s="204">
        <v>60</v>
      </c>
      <c r="D218" s="189">
        <f t="shared" si="12"/>
        <v>1461.5384615384614</v>
      </c>
      <c r="E218" s="204"/>
      <c r="F218" s="261"/>
      <c r="G218" s="221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projet'!A202</f>
        <v>65</v>
      </c>
      <c r="B219" s="191">
        <f>'Données projet'!D202</f>
        <v>0</v>
      </c>
      <c r="C219" s="204">
        <v>0</v>
      </c>
      <c r="D219" s="189">
        <f t="shared" si="12"/>
        <v>0</v>
      </c>
      <c r="E219" s="204"/>
      <c r="F219" s="261"/>
      <c r="G219" s="221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projet'!A203</f>
        <v>70</v>
      </c>
      <c r="B220" s="191">
        <f>'Données projet'!D203</f>
        <v>23.076923076923077</v>
      </c>
      <c r="C220" s="204">
        <v>70</v>
      </c>
      <c r="D220" s="189">
        <f t="shared" si="12"/>
        <v>1615.3846153846155</v>
      </c>
      <c r="E220" s="204"/>
      <c r="F220" s="261"/>
      <c r="G220" s="221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projet'!A204</f>
        <v>75</v>
      </c>
      <c r="B221" s="191">
        <f>'Données projet'!D204</f>
        <v>0</v>
      </c>
      <c r="C221" s="204">
        <v>0</v>
      </c>
      <c r="D221" s="189">
        <f t="shared" si="12"/>
        <v>0</v>
      </c>
      <c r="E221" s="204"/>
      <c r="F221" s="261"/>
      <c r="G221" s="221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projet'!A205</f>
        <v>80</v>
      </c>
      <c r="B222" s="191">
        <f>'Données projet'!D205</f>
        <v>22.435897435897434</v>
      </c>
      <c r="C222" s="204">
        <v>80</v>
      </c>
      <c r="D222" s="189">
        <f t="shared" si="12"/>
        <v>1794.8717948717947</v>
      </c>
      <c r="E222" s="204"/>
      <c r="F222" s="261"/>
      <c r="G222" s="221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projet'!A206</f>
        <v>85</v>
      </c>
      <c r="B223" s="191">
        <f>'Données projet'!D206</f>
        <v>0</v>
      </c>
      <c r="C223" s="204">
        <v>0</v>
      </c>
      <c r="D223" s="189">
        <f t="shared" si="12"/>
        <v>0</v>
      </c>
      <c r="E223" s="204"/>
      <c r="F223" s="261"/>
      <c r="G223" s="221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projet'!A207</f>
        <v>90</v>
      </c>
      <c r="B224" s="191">
        <f>'Données projet'!D207</f>
        <v>21.153846153846153</v>
      </c>
      <c r="C224" s="202">
        <v>90</v>
      </c>
      <c r="D224" s="189">
        <f t="shared" si="12"/>
        <v>1903.8461538461538</v>
      </c>
      <c r="E224" s="204"/>
      <c r="F224" s="261"/>
      <c r="G224" s="221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projet'!A208</f>
        <v>100</v>
      </c>
      <c r="B225" s="191">
        <f>'Données projet'!D208</f>
        <v>20.512820512820511</v>
      </c>
      <c r="C225" s="202">
        <v>100</v>
      </c>
      <c r="D225" s="189">
        <f t="shared" si="12"/>
        <v>2051.2820512820513</v>
      </c>
      <c r="E225" s="204"/>
      <c r="F225" s="261"/>
      <c r="G225" s="221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projet'!A209</f>
        <v>110</v>
      </c>
      <c r="B226" s="191">
        <f>'Données projet'!D209</f>
        <v>19.23076923076923</v>
      </c>
      <c r="C226" s="202">
        <v>110</v>
      </c>
      <c r="D226" s="189">
        <f t="shared" si="12"/>
        <v>2115.3846153846152</v>
      </c>
      <c r="E226" s="204"/>
      <c r="F226" s="261"/>
      <c r="G226" s="221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projet'!A210</f>
        <v>120</v>
      </c>
      <c r="B227" s="191">
        <f>'Données projet'!D210</f>
        <v>17.948717948717949</v>
      </c>
      <c r="C227" s="202">
        <v>120</v>
      </c>
      <c r="D227" s="189">
        <f t="shared" si="12"/>
        <v>2153.8461538461538</v>
      </c>
      <c r="E227" s="204"/>
      <c r="F227" s="261"/>
      <c r="G227" s="221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projet'!A211</f>
        <v>130</v>
      </c>
      <c r="B228" s="191">
        <f>'Données projet'!D211</f>
        <v>339.10256410256409</v>
      </c>
      <c r="C228" s="202">
        <v>130</v>
      </c>
      <c r="D228" s="189">
        <f t="shared" si="12"/>
        <v>44083.333333333328</v>
      </c>
      <c r="E228" s="204"/>
      <c r="F228" s="261"/>
      <c r="G228" s="221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9"/>
      <c r="G229" s="221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9"/>
      <c r="G230" s="221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4" t="str">
        <f>IF('Données projet'!$B$16="","",'Données projet'!$B$16)</f>
        <v/>
      </c>
      <c r="C231" s="5"/>
      <c r="D231" s="5"/>
      <c r="E231" s="5"/>
      <c r="F231" s="259"/>
      <c r="G231" s="221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9"/>
      <c r="G232" s="221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5" t="s">
        <v>180</v>
      </c>
      <c r="B233" s="51" t="s">
        <v>256</v>
      </c>
      <c r="C233" s="51" t="s">
        <v>255</v>
      </c>
      <c r="D233" s="255" t="s">
        <v>252</v>
      </c>
      <c r="E233" s="255" t="s">
        <v>320</v>
      </c>
      <c r="F233" s="260"/>
      <c r="G233" s="221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8">
        <v>0</v>
      </c>
      <c r="B234" s="211" t="s">
        <v>132</v>
      </c>
      <c r="C234" s="210" t="s">
        <v>132</v>
      </c>
      <c r="D234" s="209" t="s">
        <v>132</v>
      </c>
      <c r="E234" s="204"/>
      <c r="F234" s="260"/>
      <c r="G234" s="221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8">
        <v>1</v>
      </c>
      <c r="B235" s="211" t="s">
        <v>132</v>
      </c>
      <c r="C235" s="210" t="s">
        <v>132</v>
      </c>
      <c r="D235" s="209" t="s">
        <v>132</v>
      </c>
      <c r="E235" s="204"/>
      <c r="F235" s="260"/>
      <c r="G235" s="219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8">
        <v>2</v>
      </c>
      <c r="B236" s="211" t="s">
        <v>132</v>
      </c>
      <c r="C236" s="210" t="s">
        <v>132</v>
      </c>
      <c r="D236" s="209" t="s">
        <v>132</v>
      </c>
      <c r="E236" s="204"/>
      <c r="F236" s="260"/>
      <c r="G236" s="219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8">
        <v>3</v>
      </c>
      <c r="B237" s="211" t="s">
        <v>132</v>
      </c>
      <c r="C237" s="210" t="s">
        <v>132</v>
      </c>
      <c r="D237" s="209" t="s">
        <v>132</v>
      </c>
      <c r="E237" s="204"/>
      <c r="F237" s="260"/>
      <c r="G237" s="219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8">
        <v>4</v>
      </c>
      <c r="B238" s="211" t="s">
        <v>132</v>
      </c>
      <c r="C238" s="210" t="s">
        <v>132</v>
      </c>
      <c r="D238" s="209" t="s">
        <v>132</v>
      </c>
      <c r="E238" s="204"/>
      <c r="F238" s="260"/>
      <c r="G238" s="219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8">
        <v>5</v>
      </c>
      <c r="B239" s="211" t="s">
        <v>132</v>
      </c>
      <c r="C239" s="210" t="s">
        <v>132</v>
      </c>
      <c r="D239" s="209" t="s">
        <v>132</v>
      </c>
      <c r="E239" s="204"/>
      <c r="F239" s="260"/>
      <c r="G239" s="220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projet'!A218</f>
        <v>0</v>
      </c>
      <c r="B240" s="191">
        <f>'Données projet'!D218</f>
        <v>0</v>
      </c>
      <c r="C240" s="202"/>
      <c r="D240" s="189">
        <f>B240*C240</f>
        <v>0</v>
      </c>
      <c r="E240" s="204"/>
      <c r="F240" s="261"/>
      <c r="G240" s="220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projet'!A219</f>
        <v>0</v>
      </c>
      <c r="B241" s="191">
        <f>'Données projet'!D219</f>
        <v>0</v>
      </c>
      <c r="C241" s="202"/>
      <c r="D241" s="189">
        <f t="shared" ref="D241:D259" si="13">B241*C241</f>
        <v>0</v>
      </c>
      <c r="E241" s="204"/>
      <c r="F241" s="261"/>
      <c r="G241" s="220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projet'!A220</f>
        <v>0</v>
      </c>
      <c r="B242" s="191">
        <f>'Données projet'!D220</f>
        <v>0</v>
      </c>
      <c r="C242" s="202"/>
      <c r="D242" s="189">
        <f t="shared" si="13"/>
        <v>0</v>
      </c>
      <c r="E242" s="204"/>
      <c r="F242" s="261"/>
      <c r="G242" s="220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projet'!A221</f>
        <v>0</v>
      </c>
      <c r="B243" s="191">
        <f>'Données projet'!D221</f>
        <v>0</v>
      </c>
      <c r="C243" s="204"/>
      <c r="D243" s="189">
        <f t="shared" si="13"/>
        <v>0</v>
      </c>
      <c r="E243" s="204"/>
      <c r="F243" s="261"/>
      <c r="G243" s="220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projet'!A222</f>
        <v>0</v>
      </c>
      <c r="B244" s="191">
        <f>'Données projet'!D222</f>
        <v>0</v>
      </c>
      <c r="C244" s="204"/>
      <c r="D244" s="189">
        <f t="shared" si="13"/>
        <v>0</v>
      </c>
      <c r="E244" s="204"/>
      <c r="F244" s="261"/>
      <c r="G244" s="220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projet'!A223</f>
        <v>0</v>
      </c>
      <c r="B245" s="191">
        <f>'Données projet'!D223</f>
        <v>0</v>
      </c>
      <c r="C245" s="204"/>
      <c r="D245" s="189">
        <f t="shared" si="13"/>
        <v>0</v>
      </c>
      <c r="E245" s="204"/>
      <c r="F245" s="261"/>
      <c r="G245" s="220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projet'!A224</f>
        <v>0</v>
      </c>
      <c r="B246" s="191">
        <f>'Données projet'!D224</f>
        <v>0</v>
      </c>
      <c r="C246" s="204"/>
      <c r="D246" s="189">
        <f t="shared" si="13"/>
        <v>0</v>
      </c>
      <c r="E246" s="204"/>
      <c r="F246" s="261"/>
      <c r="G246" s="221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projet'!A225</f>
        <v>0</v>
      </c>
      <c r="B247" s="191">
        <f>'Données projet'!D225</f>
        <v>0</v>
      </c>
      <c r="C247" s="204"/>
      <c r="D247" s="189">
        <f t="shared" si="13"/>
        <v>0</v>
      </c>
      <c r="E247" s="204"/>
      <c r="F247" s="261"/>
      <c r="G247" s="221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projet'!A226</f>
        <v>0</v>
      </c>
      <c r="B248" s="191">
        <f>'Données projet'!D226</f>
        <v>0</v>
      </c>
      <c r="C248" s="204"/>
      <c r="D248" s="189">
        <f t="shared" si="13"/>
        <v>0</v>
      </c>
      <c r="E248" s="204"/>
      <c r="F248" s="261"/>
      <c r="G248" s="221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projet'!A227</f>
        <v>0</v>
      </c>
      <c r="B249" s="191">
        <f>'Données projet'!D227</f>
        <v>0</v>
      </c>
      <c r="C249" s="204"/>
      <c r="D249" s="189">
        <f t="shared" si="13"/>
        <v>0</v>
      </c>
      <c r="E249" s="204"/>
      <c r="F249" s="261"/>
      <c r="G249" s="221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projet'!A228</f>
        <v>0</v>
      </c>
      <c r="B250" s="191">
        <f>'Données projet'!D228</f>
        <v>0</v>
      </c>
      <c r="C250" s="204"/>
      <c r="D250" s="189">
        <f t="shared" si="13"/>
        <v>0</v>
      </c>
      <c r="E250" s="204"/>
      <c r="F250" s="261"/>
      <c r="G250" s="221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projet'!A229</f>
        <v>0</v>
      </c>
      <c r="B251" s="191">
        <f>'Données projet'!D229</f>
        <v>0</v>
      </c>
      <c r="C251" s="204"/>
      <c r="D251" s="189">
        <f t="shared" si="13"/>
        <v>0</v>
      </c>
      <c r="E251" s="204"/>
      <c r="F251" s="261"/>
      <c r="G251" s="221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projet'!A230</f>
        <v>0</v>
      </c>
      <c r="B252" s="191">
        <f>'Données projet'!D230</f>
        <v>0</v>
      </c>
      <c r="C252" s="204"/>
      <c r="D252" s="189">
        <f t="shared" si="13"/>
        <v>0</v>
      </c>
      <c r="E252" s="204"/>
      <c r="F252" s="261"/>
      <c r="G252" s="221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projet'!A231</f>
        <v>0</v>
      </c>
      <c r="B253" s="191">
        <f>'Données projet'!D231</f>
        <v>0</v>
      </c>
      <c r="C253" s="204"/>
      <c r="D253" s="189">
        <f t="shared" si="13"/>
        <v>0</v>
      </c>
      <c r="E253" s="204"/>
      <c r="F253" s="261"/>
      <c r="G253" s="221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projet'!A232</f>
        <v>0</v>
      </c>
      <c r="B254" s="191">
        <f>'Données projet'!D232</f>
        <v>0</v>
      </c>
      <c r="C254" s="204"/>
      <c r="D254" s="189">
        <f t="shared" si="13"/>
        <v>0</v>
      </c>
      <c r="E254" s="204"/>
      <c r="F254" s="261"/>
      <c r="G254" s="221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projet'!A233</f>
        <v>0</v>
      </c>
      <c r="B255" s="191">
        <f>'Données projet'!D233</f>
        <v>0</v>
      </c>
      <c r="C255" s="202"/>
      <c r="D255" s="189">
        <f t="shared" si="13"/>
        <v>0</v>
      </c>
      <c r="E255" s="204"/>
      <c r="F255" s="261"/>
      <c r="G255" s="221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projet'!A234</f>
        <v>0</v>
      </c>
      <c r="B256" s="191">
        <f>'Données projet'!D234</f>
        <v>0</v>
      </c>
      <c r="C256" s="202"/>
      <c r="D256" s="189">
        <f t="shared" si="13"/>
        <v>0</v>
      </c>
      <c r="E256" s="204"/>
      <c r="F256" s="261"/>
      <c r="G256" s="221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projet'!A235</f>
        <v>0</v>
      </c>
      <c r="B257" s="191">
        <f>'Données projet'!D235</f>
        <v>0</v>
      </c>
      <c r="C257" s="202"/>
      <c r="D257" s="189">
        <f t="shared" si="13"/>
        <v>0</v>
      </c>
      <c r="E257" s="204"/>
      <c r="F257" s="261"/>
      <c r="G257" s="221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projet'!A236</f>
        <v>0</v>
      </c>
      <c r="B258" s="191">
        <f>'Données projet'!D236</f>
        <v>0</v>
      </c>
      <c r="C258" s="202"/>
      <c r="D258" s="189">
        <f t="shared" si="13"/>
        <v>0</v>
      </c>
      <c r="E258" s="204"/>
      <c r="F258" s="261"/>
      <c r="G258" s="221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projet'!A237</f>
        <v>0</v>
      </c>
      <c r="B259" s="191">
        <f>'Données projet'!D237</f>
        <v>0</v>
      </c>
      <c r="C259" s="202"/>
      <c r="D259" s="189">
        <f t="shared" si="13"/>
        <v>0</v>
      </c>
      <c r="E259" s="204"/>
      <c r="F259" s="261"/>
      <c r="G259" s="221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9"/>
      <c r="G260" s="221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9"/>
      <c r="G261" s="221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4" t="str">
        <f>IF('Données projet'!$B$17="","",'Données projet'!$B$17)</f>
        <v/>
      </c>
      <c r="C262" s="5"/>
      <c r="D262" s="5"/>
      <c r="E262" s="5"/>
      <c r="F262" s="259"/>
      <c r="G262" s="221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9"/>
      <c r="G263" s="221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5" t="s">
        <v>180</v>
      </c>
      <c r="B264" s="51" t="s">
        <v>256</v>
      </c>
      <c r="C264" s="51" t="s">
        <v>255</v>
      </c>
      <c r="D264" s="255" t="s">
        <v>252</v>
      </c>
      <c r="E264" s="255" t="s">
        <v>320</v>
      </c>
      <c r="F264" s="260"/>
      <c r="G264" s="221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8">
        <v>0</v>
      </c>
      <c r="B265" s="211" t="s">
        <v>132</v>
      </c>
      <c r="C265" s="210" t="s">
        <v>132</v>
      </c>
      <c r="D265" s="209" t="s">
        <v>132</v>
      </c>
      <c r="E265" s="204"/>
      <c r="F265" s="260"/>
      <c r="G265" s="221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8">
        <v>1</v>
      </c>
      <c r="B266" s="211" t="s">
        <v>132</v>
      </c>
      <c r="C266" s="210" t="s">
        <v>132</v>
      </c>
      <c r="D266" s="209" t="s">
        <v>132</v>
      </c>
      <c r="E266" s="204"/>
      <c r="F266" s="260"/>
      <c r="G266" s="219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8">
        <v>2</v>
      </c>
      <c r="B267" s="211" t="s">
        <v>132</v>
      </c>
      <c r="C267" s="210" t="s">
        <v>132</v>
      </c>
      <c r="D267" s="209" t="s">
        <v>132</v>
      </c>
      <c r="E267" s="204"/>
      <c r="F267" s="260"/>
      <c r="G267" s="219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8">
        <v>3</v>
      </c>
      <c r="B268" s="211" t="s">
        <v>132</v>
      </c>
      <c r="C268" s="210" t="s">
        <v>132</v>
      </c>
      <c r="D268" s="209" t="s">
        <v>132</v>
      </c>
      <c r="E268" s="204"/>
      <c r="F268" s="260"/>
      <c r="G268" s="219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8">
        <v>4</v>
      </c>
      <c r="B269" s="211" t="s">
        <v>132</v>
      </c>
      <c r="C269" s="210" t="s">
        <v>132</v>
      </c>
      <c r="D269" s="209" t="s">
        <v>132</v>
      </c>
      <c r="E269" s="204"/>
      <c r="F269" s="260"/>
      <c r="G269" s="219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8">
        <v>5</v>
      </c>
      <c r="B270" s="211" t="s">
        <v>132</v>
      </c>
      <c r="C270" s="210" t="s">
        <v>132</v>
      </c>
      <c r="D270" s="209" t="s">
        <v>132</v>
      </c>
      <c r="E270" s="204"/>
      <c r="F270" s="260"/>
      <c r="G270" s="220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projet'!A244</f>
        <v>0</v>
      </c>
      <c r="B271" s="191">
        <f>'Données projet'!D244</f>
        <v>0</v>
      </c>
      <c r="C271" s="204"/>
      <c r="D271" s="189">
        <f>B271*C271</f>
        <v>0</v>
      </c>
      <c r="E271" s="204"/>
      <c r="F271" s="261"/>
      <c r="G271" s="220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projet'!A245</f>
        <v>0</v>
      </c>
      <c r="B272" s="191">
        <f>'Données projet'!D245</f>
        <v>0</v>
      </c>
      <c r="C272" s="204"/>
      <c r="D272" s="189">
        <f t="shared" ref="D272:D290" si="14">B272*C272</f>
        <v>0</v>
      </c>
      <c r="E272" s="204"/>
      <c r="F272" s="261"/>
      <c r="G272" s="220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projet'!A246</f>
        <v>0</v>
      </c>
      <c r="B273" s="191">
        <f>'Données projet'!D246</f>
        <v>0</v>
      </c>
      <c r="C273" s="204"/>
      <c r="D273" s="189">
        <f t="shared" si="14"/>
        <v>0</v>
      </c>
      <c r="E273" s="204"/>
      <c r="F273" s="261"/>
      <c r="G273" s="220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projet'!A247</f>
        <v>0</v>
      </c>
      <c r="B274" s="191">
        <f>'Données projet'!D247</f>
        <v>0</v>
      </c>
      <c r="C274" s="204"/>
      <c r="D274" s="189">
        <f t="shared" si="14"/>
        <v>0</v>
      </c>
      <c r="E274" s="204"/>
      <c r="F274" s="261"/>
      <c r="G274" s="220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projet'!A248</f>
        <v>0</v>
      </c>
      <c r="B275" s="191">
        <f>'Données projet'!D248</f>
        <v>0</v>
      </c>
      <c r="C275" s="204"/>
      <c r="D275" s="189">
        <f t="shared" si="14"/>
        <v>0</v>
      </c>
      <c r="E275" s="204"/>
      <c r="F275" s="261"/>
      <c r="G275" s="220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projet'!A249</f>
        <v>0</v>
      </c>
      <c r="B276" s="191">
        <f>'Données projet'!D249</f>
        <v>0</v>
      </c>
      <c r="C276" s="204"/>
      <c r="D276" s="189">
        <f t="shared" si="14"/>
        <v>0</v>
      </c>
      <c r="E276" s="204"/>
      <c r="F276" s="261"/>
      <c r="G276" s="220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projet'!A250</f>
        <v>0</v>
      </c>
      <c r="B277" s="191">
        <f>'Données projet'!D250</f>
        <v>0</v>
      </c>
      <c r="C277" s="204"/>
      <c r="D277" s="189">
        <f t="shared" si="14"/>
        <v>0</v>
      </c>
      <c r="E277" s="204"/>
      <c r="F277" s="261"/>
      <c r="G277" s="221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projet'!A251</f>
        <v>0</v>
      </c>
      <c r="B278" s="191">
        <f>'Données projet'!D251</f>
        <v>0</v>
      </c>
      <c r="C278" s="204"/>
      <c r="D278" s="189">
        <f t="shared" si="14"/>
        <v>0</v>
      </c>
      <c r="E278" s="204"/>
      <c r="F278" s="261"/>
      <c r="G278" s="221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projet'!A252</f>
        <v>0</v>
      </c>
      <c r="B279" s="191">
        <f>'Données projet'!D252</f>
        <v>0</v>
      </c>
      <c r="C279" s="204"/>
      <c r="D279" s="189">
        <f t="shared" si="14"/>
        <v>0</v>
      </c>
      <c r="E279" s="204"/>
      <c r="F279" s="261"/>
      <c r="G279" s="221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projet'!A253</f>
        <v>0</v>
      </c>
      <c r="B280" s="191">
        <f>'Données projet'!D253</f>
        <v>0</v>
      </c>
      <c r="C280" s="204"/>
      <c r="D280" s="189">
        <f t="shared" si="14"/>
        <v>0</v>
      </c>
      <c r="E280" s="204"/>
      <c r="F280" s="261"/>
      <c r="G280" s="221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projet'!A254</f>
        <v>0</v>
      </c>
      <c r="B281" s="191">
        <f>'Données projet'!D254</f>
        <v>0</v>
      </c>
      <c r="C281" s="204"/>
      <c r="D281" s="189">
        <f t="shared" si="14"/>
        <v>0</v>
      </c>
      <c r="E281" s="204"/>
      <c r="F281" s="261"/>
      <c r="G281" s="221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projet'!A255</f>
        <v>0</v>
      </c>
      <c r="B282" s="191">
        <f>'Données projet'!D255</f>
        <v>0</v>
      </c>
      <c r="C282" s="204"/>
      <c r="D282" s="189">
        <f t="shared" si="14"/>
        <v>0</v>
      </c>
      <c r="E282" s="204"/>
      <c r="F282" s="261"/>
      <c r="G282" s="221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projet'!A256</f>
        <v>0</v>
      </c>
      <c r="B283" s="191">
        <f>'Données projet'!D256</f>
        <v>0</v>
      </c>
      <c r="C283" s="204"/>
      <c r="D283" s="189">
        <f t="shared" si="14"/>
        <v>0</v>
      </c>
      <c r="E283" s="204"/>
      <c r="F283" s="261"/>
      <c r="G283" s="221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projet'!A257</f>
        <v>0</v>
      </c>
      <c r="B284" s="191">
        <f>'Données projet'!D257</f>
        <v>0</v>
      </c>
      <c r="C284" s="204"/>
      <c r="D284" s="189">
        <f t="shared" si="14"/>
        <v>0</v>
      </c>
      <c r="E284" s="204"/>
      <c r="F284" s="261"/>
      <c r="G284" s="221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projet'!A258</f>
        <v>0</v>
      </c>
      <c r="B285" s="191">
        <f>'Données projet'!D258</f>
        <v>0</v>
      </c>
      <c r="C285" s="204"/>
      <c r="D285" s="189">
        <f t="shared" si="14"/>
        <v>0</v>
      </c>
      <c r="E285" s="204"/>
      <c r="F285" s="261"/>
      <c r="G285" s="221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projet'!A259</f>
        <v>0</v>
      </c>
      <c r="B286" s="191">
        <f>'Données projet'!D259</f>
        <v>0</v>
      </c>
      <c r="C286" s="204"/>
      <c r="D286" s="189">
        <f t="shared" si="14"/>
        <v>0</v>
      </c>
      <c r="E286" s="204"/>
      <c r="F286" s="261"/>
      <c r="G286" s="221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projet'!A260</f>
        <v>0</v>
      </c>
      <c r="B287" s="191">
        <f>'Données projet'!D260</f>
        <v>0</v>
      </c>
      <c r="C287" s="204"/>
      <c r="D287" s="189">
        <f t="shared" si="14"/>
        <v>0</v>
      </c>
      <c r="E287" s="204"/>
      <c r="F287" s="261"/>
      <c r="G287" s="221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projet'!A261</f>
        <v>0</v>
      </c>
      <c r="B288" s="191">
        <f>'Données projet'!D261</f>
        <v>0</v>
      </c>
      <c r="C288" s="204"/>
      <c r="D288" s="189">
        <f t="shared" si="14"/>
        <v>0</v>
      </c>
      <c r="E288" s="204"/>
      <c r="F288" s="261"/>
      <c r="G288" s="221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projet'!A262</f>
        <v>0</v>
      </c>
      <c r="B289" s="191">
        <f>'Données projet'!D262</f>
        <v>0</v>
      </c>
      <c r="C289" s="204"/>
      <c r="D289" s="189">
        <f t="shared" si="14"/>
        <v>0</v>
      </c>
      <c r="E289" s="204"/>
      <c r="F289" s="261"/>
      <c r="G289" s="221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projet'!A263</f>
        <v>0</v>
      </c>
      <c r="B290" s="191">
        <f>'Données projet'!D263</f>
        <v>0</v>
      </c>
      <c r="C290" s="204"/>
      <c r="D290" s="189">
        <f t="shared" si="14"/>
        <v>0</v>
      </c>
      <c r="E290" s="204"/>
      <c r="F290" s="261"/>
      <c r="G290" s="221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9"/>
      <c r="G291" s="221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9"/>
      <c r="G292" s="221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9"/>
      <c r="G293" s="221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9"/>
      <c r="G294" s="221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5" t="s">
        <v>180</v>
      </c>
      <c r="B295" s="51" t="s">
        <v>256</v>
      </c>
      <c r="C295" s="51" t="s">
        <v>255</v>
      </c>
      <c r="D295" s="255" t="s">
        <v>252</v>
      </c>
      <c r="E295" s="255" t="s">
        <v>320</v>
      </c>
      <c r="F295" s="260"/>
      <c r="G295" s="221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8">
        <v>0</v>
      </c>
      <c r="B296" s="211" t="s">
        <v>132</v>
      </c>
      <c r="C296" s="210" t="s">
        <v>132</v>
      </c>
      <c r="D296" s="209" t="s">
        <v>132</v>
      </c>
      <c r="E296" s="204"/>
      <c r="F296" s="260"/>
      <c r="G296" s="221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8">
        <v>1</v>
      </c>
      <c r="B297" s="211" t="s">
        <v>132</v>
      </c>
      <c r="C297" s="210" t="s">
        <v>132</v>
      </c>
      <c r="D297" s="209" t="s">
        <v>132</v>
      </c>
      <c r="E297" s="204"/>
      <c r="F297" s="260"/>
      <c r="G297" s="219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8">
        <v>2</v>
      </c>
      <c r="B298" s="211" t="s">
        <v>132</v>
      </c>
      <c r="C298" s="210" t="s">
        <v>132</v>
      </c>
      <c r="D298" s="209" t="s">
        <v>132</v>
      </c>
      <c r="E298" s="204"/>
      <c r="F298" s="260"/>
      <c r="G298" s="219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8">
        <v>3</v>
      </c>
      <c r="B299" s="211" t="s">
        <v>132</v>
      </c>
      <c r="C299" s="210" t="s">
        <v>132</v>
      </c>
      <c r="D299" s="209" t="s">
        <v>132</v>
      </c>
      <c r="E299" s="204"/>
      <c r="F299" s="260"/>
      <c r="G299" s="219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8">
        <v>4</v>
      </c>
      <c r="B300" s="211" t="s">
        <v>132</v>
      </c>
      <c r="C300" s="210" t="s">
        <v>132</v>
      </c>
      <c r="D300" s="209" t="s">
        <v>132</v>
      </c>
      <c r="E300" s="204"/>
      <c r="F300" s="260"/>
      <c r="G300" s="219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8">
        <v>5</v>
      </c>
      <c r="B301" s="211" t="s">
        <v>132</v>
      </c>
      <c r="C301" s="210" t="s">
        <v>132</v>
      </c>
      <c r="D301" s="209" t="s">
        <v>132</v>
      </c>
      <c r="E301" s="204"/>
      <c r="F301" s="260"/>
      <c r="G301" s="220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projet'!A270</f>
        <v>0</v>
      </c>
      <c r="B302" s="191">
        <f>'Données projet'!D270</f>
        <v>0</v>
      </c>
      <c r="C302" s="202"/>
      <c r="D302" s="192">
        <f>B302*C302</f>
        <v>0</v>
      </c>
      <c r="E302" s="204"/>
      <c r="F302" s="262"/>
      <c r="G302" s="220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projet'!A271</f>
        <v>0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2"/>
      <c r="G303" s="220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projet'!A272</f>
        <v>0</v>
      </c>
      <c r="B304" s="191">
        <f>'Données projet'!D272</f>
        <v>0</v>
      </c>
      <c r="C304" s="202"/>
      <c r="D304" s="192">
        <f t="shared" si="15"/>
        <v>0</v>
      </c>
      <c r="E304" s="204"/>
      <c r="F304" s="262"/>
      <c r="G304" s="220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projet'!A273</f>
        <v>0</v>
      </c>
      <c r="B305" s="191">
        <f>'Données projet'!D273</f>
        <v>0</v>
      </c>
      <c r="C305" s="202"/>
      <c r="D305" s="192">
        <f t="shared" si="15"/>
        <v>0</v>
      </c>
      <c r="E305" s="204"/>
      <c r="F305" s="262"/>
      <c r="G305" s="220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projet'!A274</f>
        <v>0</v>
      </c>
      <c r="B306" s="191">
        <f>'Données projet'!D274</f>
        <v>0</v>
      </c>
      <c r="C306" s="202"/>
      <c r="D306" s="192">
        <f t="shared" si="15"/>
        <v>0</v>
      </c>
      <c r="E306" s="204"/>
      <c r="F306" s="262"/>
      <c r="G306" s="220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projet'!A275</f>
        <v>0</v>
      </c>
      <c r="B307" s="191">
        <f>'Données projet'!D275</f>
        <v>0</v>
      </c>
      <c r="C307" s="202"/>
      <c r="D307" s="192">
        <f t="shared" si="15"/>
        <v>0</v>
      </c>
      <c r="E307" s="204"/>
      <c r="F307" s="262"/>
      <c r="G307" s="220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projet'!A276</f>
        <v>0</v>
      </c>
      <c r="B308" s="191">
        <f>'Données projet'!D276</f>
        <v>0</v>
      </c>
      <c r="C308" s="202"/>
      <c r="D308" s="192">
        <f t="shared" si="15"/>
        <v>0</v>
      </c>
      <c r="E308" s="204"/>
      <c r="F308" s="262"/>
      <c r="G308" s="216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projet'!A277</f>
        <v>0</v>
      </c>
      <c r="B309" s="191">
        <f>'Données projet'!D277</f>
        <v>0</v>
      </c>
      <c r="C309" s="202"/>
      <c r="D309" s="192">
        <f t="shared" si="15"/>
        <v>0</v>
      </c>
      <c r="E309" s="204"/>
      <c r="F309" s="262"/>
      <c r="G309" s="216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projet'!A278</f>
        <v>0</v>
      </c>
      <c r="B310" s="191">
        <f>'Données projet'!D278</f>
        <v>0</v>
      </c>
      <c r="C310" s="202"/>
      <c r="D310" s="192">
        <f t="shared" si="15"/>
        <v>0</v>
      </c>
      <c r="E310" s="204"/>
      <c r="F310" s="262"/>
      <c r="G310" s="216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projet'!A279</f>
        <v>0</v>
      </c>
      <c r="B311" s="191">
        <f>'Données projet'!D279</f>
        <v>0</v>
      </c>
      <c r="C311" s="202"/>
      <c r="D311" s="192">
        <f t="shared" si="15"/>
        <v>0</v>
      </c>
      <c r="E311" s="204"/>
      <c r="F311" s="262"/>
      <c r="G311" s="216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projet'!A280</f>
        <v>0</v>
      </c>
      <c r="B312" s="191">
        <f>'Données projet'!D280</f>
        <v>0</v>
      </c>
      <c r="C312" s="202"/>
      <c r="D312" s="192">
        <f t="shared" si="15"/>
        <v>0</v>
      </c>
      <c r="E312" s="204"/>
      <c r="F312" s="262"/>
      <c r="G312" s="216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projet'!A281</f>
        <v>0</v>
      </c>
      <c r="B313" s="191">
        <f>'Données projet'!D281</f>
        <v>0</v>
      </c>
      <c r="C313" s="202"/>
      <c r="D313" s="192">
        <f t="shared" si="15"/>
        <v>0</v>
      </c>
      <c r="E313" s="204"/>
      <c r="F313" s="262"/>
      <c r="G313" s="216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projet'!A282</f>
        <v>0</v>
      </c>
      <c r="B314" s="191">
        <f>'Données projet'!D282</f>
        <v>0</v>
      </c>
      <c r="C314" s="202"/>
      <c r="D314" s="192">
        <f t="shared" si="15"/>
        <v>0</v>
      </c>
      <c r="E314" s="204"/>
      <c r="F314" s="262"/>
      <c r="G314" s="216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projet'!A283</f>
        <v>0</v>
      </c>
      <c r="B315" s="191">
        <f>'Données projet'!D283</f>
        <v>0</v>
      </c>
      <c r="C315" s="202"/>
      <c r="D315" s="192">
        <f t="shared" si="15"/>
        <v>0</v>
      </c>
      <c r="E315" s="204"/>
      <c r="F315" s="262"/>
      <c r="G315" s="216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projet'!A284</f>
        <v>0</v>
      </c>
      <c r="B316" s="191">
        <f>'Données projet'!D284</f>
        <v>0</v>
      </c>
      <c r="C316" s="202"/>
      <c r="D316" s="192">
        <f t="shared" si="15"/>
        <v>0</v>
      </c>
      <c r="E316" s="204"/>
      <c r="F316" s="262"/>
      <c r="G316" s="216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projet'!A285</f>
        <v>0</v>
      </c>
      <c r="B317" s="191">
        <f>'Données projet'!D285</f>
        <v>0</v>
      </c>
      <c r="C317" s="202"/>
      <c r="D317" s="192">
        <f t="shared" si="15"/>
        <v>0</v>
      </c>
      <c r="E317" s="204"/>
      <c r="F317" s="262"/>
      <c r="G317" s="216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projet'!A286</f>
        <v>0</v>
      </c>
      <c r="B318" s="191">
        <f>'Données projet'!D286</f>
        <v>0</v>
      </c>
      <c r="C318" s="202"/>
      <c r="D318" s="192">
        <f t="shared" si="15"/>
        <v>0</v>
      </c>
      <c r="E318" s="204"/>
      <c r="F318" s="262"/>
      <c r="G318" s="216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projet'!A287</f>
        <v>0</v>
      </c>
      <c r="B319" s="191">
        <f>'Données projet'!D287</f>
        <v>0</v>
      </c>
      <c r="C319" s="202"/>
      <c r="D319" s="192">
        <f t="shared" si="15"/>
        <v>0</v>
      </c>
      <c r="E319" s="204"/>
      <c r="F319" s="262"/>
      <c r="G319" s="216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projet'!A288</f>
        <v>0</v>
      </c>
      <c r="B320" s="191">
        <f>'Données projet'!D288</f>
        <v>0</v>
      </c>
      <c r="C320" s="202"/>
      <c r="D320" s="192">
        <f t="shared" si="15"/>
        <v>0</v>
      </c>
      <c r="E320" s="204"/>
      <c r="F320" s="262"/>
      <c r="G320" s="216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projet'!A289</f>
        <v>0</v>
      </c>
      <c r="B321" s="191">
        <f>'Données projet'!D289</f>
        <v>0</v>
      </c>
      <c r="C321" s="207"/>
      <c r="D321" s="192">
        <f t="shared" si="15"/>
        <v>0</v>
      </c>
      <c r="E321" s="204"/>
      <c r="F321" s="262"/>
      <c r="G321" s="216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6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6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6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6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6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6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9"/>
      <c r="G328" s="229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9"/>
      <c r="G329" s="229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9"/>
      <c r="G330" s="229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9"/>
      <c r="G331" s="229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9"/>
      <c r="G332" s="229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9"/>
      <c r="G333" s="229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9"/>
      <c r="G334" s="229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9"/>
      <c r="G335" s="229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9"/>
      <c r="G336" s="229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9"/>
      <c r="G337" s="229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9"/>
      <c r="G338" s="229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9"/>
      <c r="G339" s="229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9"/>
      <c r="G340" s="229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9"/>
      <c r="G341" s="229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9"/>
      <c r="G342" s="229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9"/>
      <c r="G343" s="229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9"/>
      <c r="G344" s="229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9"/>
      <c r="G345" s="229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9"/>
      <c r="G346" s="229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9"/>
      <c r="G347" s="229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9"/>
      <c r="G348" s="229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9"/>
      <c r="G349" s="229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9"/>
      <c r="G350" s="229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9"/>
      <c r="G351" s="229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9"/>
      <c r="G352" s="229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9"/>
      <c r="G353" s="229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9"/>
      <c r="G354" s="229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9"/>
      <c r="G355" s="229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9"/>
      <c r="G356" s="229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9"/>
      <c r="G357" s="229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9"/>
      <c r="G358" s="229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9"/>
      <c r="G359" s="229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9"/>
      <c r="G360" s="229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9"/>
      <c r="G361" s="229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9"/>
      <c r="G362" s="229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9"/>
      <c r="G363" s="229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9"/>
      <c r="G364" s="229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9"/>
      <c r="G365" s="229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9"/>
      <c r="G366" s="229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9"/>
      <c r="G367" s="229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9"/>
      <c r="G368" s="229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9"/>
      <c r="G369" s="229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9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9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9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9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9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9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9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9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9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9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9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9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9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9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9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9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9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9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9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9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9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9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9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9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9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9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Geoffroy Rombaut - C+for (CNPF)</cp:lastModifiedBy>
  <dcterms:created xsi:type="dcterms:W3CDTF">2021-02-01T08:22:39Z</dcterms:created>
  <dcterms:modified xsi:type="dcterms:W3CDTF">2025-04-01T09:46:00Z</dcterms:modified>
</cp:coreProperties>
</file>