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ex.pousse\Documents\04 - Carbone\01 - PROJETS LBC\Navailles-Angos\"/>
    </mc:Choice>
  </mc:AlternateContent>
  <bookViews>
    <workbookView xWindow="0" yWindow="0" windowWidth="20496" windowHeight="775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BQ4" i="2"/>
  <c r="FR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V7" i="2"/>
  <c r="EW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FS20" i="2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HG28" i="2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HG113" i="2"/>
  <c r="EB113" i="2"/>
  <c r="FS113" i="2"/>
  <c r="EX113" i="2"/>
  <c r="EW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B140" i="2"/>
  <c r="EX140" i="2"/>
  <c r="FS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B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DI154" i="2"/>
  <c r="ED154" i="2"/>
  <c r="EY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EY155" i="2"/>
  <c r="ED155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D157" i="2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D159" i="2"/>
  <c r="EC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X161" i="2"/>
  <c r="FS161" i="2"/>
  <c r="ED160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DI161" i="2"/>
  <c r="EB162" i="2"/>
  <c r="EY161" i="2"/>
  <c r="EW162" i="2"/>
  <c r="ED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Y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FR164" i="2"/>
  <c r="ED163" i="2"/>
  <c r="EX164" i="2"/>
  <c r="EV164" i="2"/>
  <c r="EA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B165" i="2"/>
  <c r="EX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D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FR167" i="2"/>
  <c r="EY166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G168" i="2"/>
  <c r="DI167" i="2"/>
  <c r="EV168" i="2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Y168" i="2"/>
  <c r="EA169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HG172" i="2"/>
  <c r="EB172" i="2"/>
  <c r="EA172" i="2"/>
  <c r="EY171" i="2"/>
  <c r="ED171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B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HI175" i="2"/>
  <c r="EA175" i="2"/>
  <c r="ED174" i="2"/>
  <c r="FS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FQ178" i="2"/>
  <c r="FS178" i="2"/>
  <c r="EW178" i="2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DF179" i="2"/>
  <c r="ED178" i="2"/>
  <c r="EV179" i="2"/>
  <c r="EA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H185" i="2"/>
  <c r="EY184" i="2"/>
  <c r="ED184" i="2"/>
  <c r="EV185" i="2"/>
  <c r="EW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FR186" i="2"/>
  <c r="FS186" i="2"/>
  <c r="EB186" i="2"/>
  <c r="ED185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EV190" i="2"/>
  <c r="ED189" i="2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D190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W192" i="2"/>
  <c r="EV192" i="2"/>
  <c r="EB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Y192" i="2"/>
  <c r="ED192" i="2"/>
  <c r="FQ193" i="2"/>
  <c r="EX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CN193" i="2"/>
  <c r="EA194" i="2"/>
  <c r="FQ194" i="2"/>
  <c r="ED193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EA195" i="2"/>
  <c r="DH195" i="2"/>
  <c r="FQ195" i="2"/>
  <c r="ED194" i="2"/>
  <c r="EX195" i="2"/>
  <c r="EY194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EY196" i="2"/>
  <c r="AA197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HH199" i="2"/>
  <c r="EW199" i="2"/>
  <c r="EY198" i="2"/>
  <c r="FS199" i="2"/>
  <c r="EV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EB201" i="2"/>
  <c r="ED200" i="2"/>
  <c r="DI200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Y201" i="2"/>
  <c r="HI202" i="2"/>
  <c r="ED201" i="2"/>
  <c r="EX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BX107" i="2" a="1"/>
  <c r="BX107" i="2" s="1"/>
  <c r="DN187" i="2" a="1"/>
  <c r="DN187" i="2" s="1"/>
  <c r="HJ202" i="2"/>
  <c r="EY202" i="2"/>
  <c r="AX200" i="2"/>
  <c r="BC18" i="2" l="1" a="1"/>
  <c r="BC18" i="2" s="1"/>
  <c r="BC38" i="2" a="1"/>
  <c r="BC38" i="2" s="1"/>
  <c r="BC7" i="2" a="1"/>
  <c r="BC7" i="2" s="1"/>
  <c r="BC31" i="2" a="1"/>
  <c r="BC31" i="2" s="1"/>
  <c r="BC130" i="2" a="1"/>
  <c r="BC130" i="2" s="1"/>
  <c r="CS72" i="2" a="1"/>
  <c r="CS72" i="2" s="1"/>
  <c r="BC151" i="2" a="1"/>
  <c r="BC151" i="2" s="1"/>
  <c r="BC185" i="2" a="1"/>
  <c r="BC185" i="2" s="1"/>
  <c r="BC143" i="2" a="1"/>
  <c r="BC143" i="2" s="1"/>
  <c r="BC84" i="2" a="1"/>
  <c r="BC84" i="2" s="1"/>
  <c r="BC32" i="2" a="1"/>
  <c r="BC32" i="2" s="1"/>
  <c r="BC164" i="2" a="1"/>
  <c r="BC164" i="2" s="1"/>
  <c r="BC192" i="2" a="1"/>
  <c r="BC192" i="2" s="1"/>
  <c r="BC55" i="2" a="1"/>
  <c r="BC55" i="2" s="1"/>
  <c r="BC83" i="2" a="1"/>
  <c r="BC83" i="2" s="1"/>
  <c r="BC114" i="2" a="1"/>
  <c r="BC114" i="2" s="1"/>
  <c r="BC117" i="2" a="1"/>
  <c r="BC117" i="2" s="1"/>
  <c r="BC65" i="2" a="1"/>
  <c r="BC65" i="2" s="1"/>
  <c r="BC68" i="2" a="1"/>
  <c r="BC68" i="2" s="1"/>
  <c r="BC181" i="2" a="1"/>
  <c r="BC181" i="2" s="1"/>
  <c r="BC82" i="2" a="1"/>
  <c r="BC82" i="2" s="1"/>
  <c r="BC47" i="2" a="1"/>
  <c r="BC47" i="2" s="1"/>
  <c r="BC58" i="2" a="1"/>
  <c r="BC58" i="2" s="1"/>
  <c r="CS129" i="2" a="1"/>
  <c r="CS129" i="2" s="1"/>
  <c r="CS134" i="2" a="1"/>
  <c r="CS134" i="2" s="1"/>
  <c r="CS52" i="2" a="1"/>
  <c r="CS52" i="2" s="1"/>
  <c r="CS137" i="2" a="1"/>
  <c r="CS137" i="2" s="1"/>
  <c r="CS114" i="2" a="1"/>
  <c r="CS114" i="2" s="1"/>
  <c r="CS56" i="2" a="1"/>
  <c r="CS56" i="2" s="1"/>
  <c r="CS116" i="2" a="1"/>
  <c r="CS116" i="2" s="1"/>
  <c r="CS120" i="2" a="1"/>
  <c r="CS120" i="2" s="1"/>
  <c r="CS38" i="2" a="1"/>
  <c r="CS38" i="2" s="1"/>
  <c r="CS105" i="2" a="1"/>
  <c r="CS105" i="2" s="1"/>
  <c r="CS66" i="2" a="1"/>
  <c r="CS66" i="2" s="1"/>
  <c r="CS185" i="2" a="1"/>
  <c r="CS185" i="2" s="1"/>
  <c r="CS161" i="2" a="1"/>
  <c r="CS161" i="2" s="1"/>
  <c r="AH166" i="2" a="1"/>
  <c r="AH166" i="2" s="1"/>
  <c r="AH163" i="2" a="1"/>
  <c r="AH163" i="2" s="1"/>
  <c r="AH62" i="2" a="1"/>
  <c r="AH62" i="2" s="1"/>
  <c r="AH199" i="2" a="1"/>
  <c r="AH199" i="2" s="1"/>
  <c r="AH19" i="2" a="1"/>
  <c r="AH19" i="2" s="1"/>
  <c r="AH90" i="2" a="1"/>
  <c r="AH90" i="2" s="1"/>
  <c r="DN56" i="2" a="1"/>
  <c r="DN56" i="2" s="1"/>
  <c r="AH92" i="2" a="1"/>
  <c r="AH92" i="2" s="1"/>
  <c r="CS77" i="2" a="1"/>
  <c r="CS77" i="2" s="1"/>
  <c r="BC126" i="2" a="1"/>
  <c r="BC126" i="2" s="1"/>
  <c r="AH151" i="2" a="1"/>
  <c r="AH151" i="2" s="1"/>
  <c r="FR203" i="2"/>
  <c r="FS203" i="2"/>
  <c r="FD48" i="2" a="1"/>
  <c r="FD48" i="2" s="1"/>
  <c r="FD19" i="2" a="1"/>
  <c r="FD19" i="2" s="1"/>
  <c r="FD137" i="2" a="1"/>
  <c r="FD137" i="2" s="1"/>
  <c r="FD59" i="2" a="1"/>
  <c r="FD59" i="2" s="1"/>
  <c r="FD159" i="2" a="1"/>
  <c r="FD159" i="2" s="1"/>
  <c r="FD14" i="2" a="1"/>
  <c r="FD14" i="2" s="1"/>
  <c r="FD82" i="2" a="1"/>
  <c r="FD82" i="2" s="1"/>
  <c r="FD160" i="2" a="1"/>
  <c r="FD160" i="2" s="1"/>
  <c r="FD189" i="2" a="1"/>
  <c r="FD189" i="2" s="1"/>
  <c r="FD107" i="2" a="1"/>
  <c r="FD107" i="2" s="1"/>
  <c r="FD44" i="2" a="1"/>
  <c r="FD44" i="2" s="1"/>
  <c r="FD144" i="2" a="1"/>
  <c r="FD144" i="2" s="1"/>
  <c r="FD167" i="2" a="1"/>
  <c r="FD167" i="2" s="1"/>
  <c r="FD188" i="2" a="1"/>
  <c r="FD188" i="2" s="1"/>
  <c r="FD21" i="2" a="1"/>
  <c r="FD21" i="2" s="1"/>
  <c r="FD187" i="2" a="1"/>
  <c r="FD187" i="2" s="1"/>
  <c r="FD131" i="2" a="1"/>
  <c r="FD131" i="2" s="1"/>
  <c r="FD60" i="2" a="1"/>
  <c r="FD60" i="2" s="1"/>
  <c r="FD194" i="2" a="1"/>
  <c r="FD194" i="2" s="1"/>
  <c r="FD43" i="2" a="1"/>
  <c r="FD43" i="2" s="1"/>
  <c r="FD64" i="2" a="1"/>
  <c r="FD64" i="2" s="1"/>
  <c r="FY196" i="2" a="1"/>
  <c r="FY196" i="2" s="1"/>
  <c r="FY115" i="2" a="1"/>
  <c r="FY115" i="2" s="1"/>
  <c r="FY69" i="2" a="1"/>
  <c r="FY69" i="2" s="1"/>
  <c r="FY167" i="2" a="1"/>
  <c r="FY167" i="2" s="1"/>
  <c r="FY124" i="2" a="1"/>
  <c r="FY124" i="2" s="1"/>
  <c r="FY99" i="2" a="1"/>
  <c r="FY99" i="2" s="1"/>
  <c r="FY126" i="2" a="1"/>
  <c r="FY126" i="2" s="1"/>
  <c r="FY111" i="2" a="1"/>
  <c r="FY111" i="2" s="1"/>
  <c r="FY159" i="2" a="1"/>
  <c r="FY159" i="2" s="1"/>
  <c r="FY164" i="2" a="1"/>
  <c r="FY164" i="2" s="1"/>
  <c r="FY82" i="2" a="1"/>
  <c r="FY82" i="2" s="1"/>
  <c r="FY149" i="2" a="1"/>
  <c r="FY149" i="2" s="1"/>
  <c r="FY178" i="2" a="1"/>
  <c r="FY178" i="2" s="1"/>
  <c r="FY116" i="2" a="1"/>
  <c r="FY116" i="2" s="1"/>
  <c r="FY191" i="2" a="1"/>
  <c r="FY191" i="2" s="1"/>
  <c r="FY121" i="2" a="1"/>
  <c r="FY121" i="2" s="1"/>
  <c r="FY182" i="2" a="1"/>
  <c r="FY182" i="2" s="1"/>
  <c r="FY24" i="2" a="1"/>
  <c r="FY24" i="2" s="1"/>
  <c r="FY55" i="2" a="1"/>
  <c r="FY55" i="2" s="1"/>
  <c r="FY92" i="2" a="1"/>
  <c r="FY92" i="2" s="1"/>
  <c r="FY110" i="2" a="1"/>
  <c r="FY110" i="2" s="1"/>
  <c r="FY142" i="2" a="1"/>
  <c r="FY142" i="2" s="1"/>
  <c r="FY86" i="2" a="1"/>
  <c r="FY86" i="2" s="1"/>
  <c r="FY169" i="2" a="1"/>
  <c r="FY169" i="2" s="1"/>
  <c r="FY188" i="2" a="1"/>
  <c r="FY188" i="2" s="1"/>
  <c r="FY73" i="2" a="1"/>
  <c r="FY73" i="2" s="1"/>
  <c r="FY71" i="2" a="1"/>
  <c r="FY71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32" i="2" a="1"/>
  <c r="FY32" i="2" s="1"/>
  <c r="FY30" i="2" a="1"/>
  <c r="FY30" i="2" s="1"/>
  <c r="FY104" i="2" a="1"/>
  <c r="FY104" i="2" s="1"/>
  <c r="FY190" i="2" a="1"/>
  <c r="FY190" i="2" s="1"/>
  <c r="FY78" i="2" a="1"/>
  <c r="FY78" i="2" s="1"/>
  <c r="FY186" i="2" a="1"/>
  <c r="FY186" i="2" s="1"/>
  <c r="FY47" i="2" a="1"/>
  <c r="FY47" i="2" s="1"/>
  <c r="FY80" i="2" a="1"/>
  <c r="FY80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29" i="2" a="1"/>
  <c r="FY29" i="2" s="1"/>
  <c r="FY143" i="2" a="1"/>
  <c r="FY143" i="2" s="1"/>
  <c r="FY66" i="2" a="1"/>
  <c r="FY66" i="2" s="1"/>
  <c r="FY22" i="2" a="1"/>
  <c r="FY22" i="2" s="1"/>
  <c r="FY153" i="2" a="1"/>
  <c r="FY153" i="2" s="1"/>
  <c r="FY102" i="2" a="1"/>
  <c r="FY102" i="2" s="1"/>
  <c r="FY18" i="2" a="1"/>
  <c r="FY18" i="2" s="1"/>
  <c r="FY57" i="2" a="1"/>
  <c r="FY57" i="2" s="1"/>
  <c r="FY120" i="2" a="1"/>
  <c r="FY120" i="2" s="1"/>
  <c r="FY140" i="2" a="1"/>
  <c r="FY140" i="2" s="1"/>
  <c r="FY35" i="2" a="1"/>
  <c r="FY35" i="2" s="1"/>
  <c r="FY133" i="2" a="1"/>
  <c r="FY133" i="2" s="1"/>
  <c r="FY146" i="2" a="1"/>
  <c r="FY146" i="2" s="1"/>
  <c r="FY50" i="2" a="1"/>
  <c r="FY50" i="2" s="1"/>
  <c r="FY109" i="2" a="1"/>
  <c r="FY109" i="2" s="1"/>
  <c r="FY165" i="2" a="1"/>
  <c r="FY165" i="2" s="1"/>
  <c r="FY90" i="2" a="1"/>
  <c r="FY90" i="2" s="1"/>
  <c r="FY54" i="2" a="1"/>
  <c r="FY54" i="2" s="1"/>
  <c r="FY79" i="2" a="1"/>
  <c r="FY7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79" i="2" l="1"/>
  <c r="GE195" i="2"/>
  <c r="GE91" i="2"/>
  <c r="GE73" i="2"/>
  <c r="GE10" i="2"/>
  <c r="GE203" i="2"/>
  <c r="GE118" i="2"/>
  <c r="GE84" i="2"/>
  <c r="GE80" i="2"/>
  <c r="GE133" i="2"/>
  <c r="GE117" i="2"/>
  <c r="GE162" i="2"/>
  <c r="GE34" i="2"/>
  <c r="GE194" i="2"/>
  <c r="GE37" i="2"/>
  <c r="GE65" i="2"/>
  <c r="GE147" i="2"/>
  <c r="GE202" i="2"/>
  <c r="GE100" i="2"/>
  <c r="GE88" i="2"/>
  <c r="GE68" i="2"/>
  <c r="GE19" i="2"/>
  <c r="GE184" i="2"/>
  <c r="GE196" i="2"/>
  <c r="GE25" i="2"/>
  <c r="GE105" i="2"/>
  <c r="GE143" i="2"/>
  <c r="GE176" i="2"/>
  <c r="GE185" i="2"/>
  <c r="GE98" i="2"/>
  <c r="GE174" i="2"/>
  <c r="GE126" i="2"/>
  <c r="GE169" i="2"/>
  <c r="GE127" i="2"/>
  <c r="GE20" i="2"/>
  <c r="GE6" i="2"/>
  <c r="GE199" i="2"/>
  <c r="GE51" i="2"/>
  <c r="GE61" i="2"/>
  <c r="GE157" i="2"/>
  <c r="GE112" i="2"/>
  <c r="GE141" i="2"/>
  <c r="GE102" i="2"/>
  <c r="GE109" i="2"/>
  <c r="GE188" i="2"/>
  <c r="GE53" i="2"/>
  <c r="GE168" i="2"/>
  <c r="GE30" i="2"/>
  <c r="GE132" i="2"/>
  <c r="GE86" i="2"/>
  <c r="GE24" i="2"/>
  <c r="GE81" i="2"/>
  <c r="GE41" i="2"/>
  <c r="GE200" i="2"/>
  <c r="GE114" i="2"/>
  <c r="GE175" i="2"/>
  <c r="GE16" i="2"/>
  <c r="GE172" i="2"/>
  <c r="GE35" i="2"/>
  <c r="GE89" i="2"/>
  <c r="GE74" i="2"/>
  <c r="GE26" i="2"/>
  <c r="GE201" i="2"/>
  <c r="GE153" i="2"/>
  <c r="GE85" i="2"/>
  <c r="GE156" i="2"/>
  <c r="GE15" i="2"/>
  <c r="GE60" i="2"/>
  <c r="GE178" i="2"/>
  <c r="GE151" i="2"/>
  <c r="GE96" i="2"/>
  <c r="GE134" i="2"/>
  <c r="GE129" i="2"/>
  <c r="GE3" i="2"/>
  <c r="C14" i="4" s="1"/>
  <c r="E14" i="4" s="1"/>
  <c r="F14" i="4" s="1"/>
  <c r="G14" i="4" s="1"/>
  <c r="L14" i="4" s="1"/>
  <c r="GE163" i="2"/>
  <c r="GE139" i="2"/>
  <c r="GE50" i="2"/>
  <c r="GE137" i="2"/>
  <c r="GE38" i="2"/>
  <c r="GE181" i="2"/>
  <c r="GE90" i="2"/>
  <c r="GE12" i="2"/>
  <c r="GE66" i="2"/>
  <c r="GE107" i="2"/>
  <c r="GE145" i="2"/>
  <c r="GE93" i="2"/>
  <c r="GE140" i="2"/>
  <c r="GE103" i="2"/>
  <c r="GE119" i="2"/>
  <c r="GE75" i="2"/>
  <c r="GE135" i="2"/>
  <c r="GE158" i="2"/>
  <c r="GE150" i="2"/>
  <c r="GE110" i="2"/>
  <c r="GE95" i="2"/>
  <c r="GE183" i="2"/>
  <c r="GE44" i="2"/>
  <c r="GE46" i="2"/>
  <c r="GE149" i="2"/>
  <c r="GE108" i="2"/>
  <c r="GE104" i="2"/>
  <c r="GE11" i="2"/>
  <c r="GE130" i="2"/>
  <c r="GE159" i="2"/>
  <c r="GE62" i="2"/>
  <c r="GE39" i="2"/>
  <c r="GE160" i="2"/>
  <c r="GE47" i="2"/>
  <c r="GE76" i="2"/>
  <c r="GE115" i="2"/>
  <c r="GE64" i="2"/>
  <c r="GE40" i="2"/>
  <c r="GE8" i="2"/>
  <c r="GE191" i="2"/>
  <c r="GE7" i="2"/>
  <c r="GE171" i="2"/>
  <c r="GE177" i="2"/>
  <c r="GE43" i="2"/>
  <c r="GE77" i="2"/>
  <c r="GE113" i="2"/>
  <c r="GE121" i="2"/>
  <c r="GE49" i="2"/>
  <c r="GE192" i="2"/>
  <c r="GE92" i="2"/>
  <c r="GE28" i="2"/>
  <c r="GE54" i="2"/>
  <c r="GE106" i="2"/>
  <c r="GE189" i="2"/>
  <c r="GE97" i="2"/>
  <c r="GE59" i="2"/>
  <c r="GE166" i="2"/>
  <c r="GE190" i="2"/>
  <c r="GE67" i="2"/>
  <c r="GE13" i="2"/>
  <c r="GE164" i="2"/>
  <c r="GE42" i="2"/>
  <c r="GE32" i="2"/>
  <c r="GE155" i="2"/>
  <c r="GE116" i="2"/>
  <c r="GE101" i="2"/>
  <c r="GE187" i="2"/>
  <c r="GE22" i="2"/>
  <c r="GE120" i="2"/>
  <c r="GE23" i="2"/>
  <c r="GE138" i="2"/>
  <c r="GE27" i="2"/>
  <c r="GE87" i="2"/>
  <c r="GE197" i="2"/>
  <c r="GE161" i="2"/>
  <c r="GE124" i="2"/>
  <c r="GE123" i="2"/>
  <c r="GE131" i="2"/>
  <c r="GE48" i="2"/>
  <c r="GE4" i="2"/>
  <c r="GE63" i="2"/>
  <c r="GE55" i="2"/>
  <c r="GE128" i="2"/>
  <c r="GE148" i="2"/>
  <c r="GE33" i="2"/>
  <c r="GE142" i="2"/>
  <c r="GE83" i="2"/>
  <c r="GE186" i="2"/>
  <c r="GE144" i="2"/>
  <c r="GE78" i="2"/>
  <c r="GE173" i="2"/>
  <c r="GE198" i="2"/>
  <c r="GE179" i="2"/>
  <c r="GE111" i="2"/>
  <c r="GE193" i="2"/>
  <c r="GE69" i="2"/>
  <c r="GE122" i="2"/>
  <c r="GE56" i="2"/>
  <c r="GE57" i="2"/>
  <c r="GE70" i="2"/>
  <c r="GE125" i="2"/>
  <c r="GE5" i="2"/>
  <c r="GE31" i="2"/>
  <c r="GE18" i="2"/>
  <c r="GE182" i="2"/>
  <c r="GE82" i="2"/>
  <c r="GE17" i="2"/>
  <c r="GE170" i="2"/>
  <c r="GE52" i="2"/>
  <c r="GE36" i="2"/>
  <c r="GE99" i="2"/>
  <c r="GE94" i="2"/>
  <c r="GE9" i="2"/>
  <c r="GE21" i="2"/>
  <c r="GE165" i="2"/>
  <c r="GE14" i="2"/>
  <c r="GE167" i="2"/>
  <c r="GE152" i="2"/>
  <c r="GE29" i="2"/>
  <c r="GE72" i="2"/>
  <c r="GE58" i="2"/>
  <c r="GE71" i="2"/>
  <c r="GE136" i="2"/>
  <c r="GE180" i="2"/>
  <c r="GE154" i="2"/>
  <c r="GE45" i="2"/>
  <c r="GE146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0" i="2" l="1"/>
  <c r="CD48" i="2"/>
  <c r="CD103" i="2"/>
  <c r="CD117" i="2"/>
  <c r="CD146" i="2"/>
  <c r="CD12" i="2"/>
  <c r="CD51" i="2"/>
  <c r="CD106" i="2"/>
  <c r="CD143" i="2"/>
  <c r="CD134" i="2"/>
  <c r="CD148" i="2"/>
  <c r="CD54" i="2"/>
  <c r="CD52" i="2"/>
  <c r="CD111" i="2"/>
  <c r="CD10" i="2"/>
  <c r="CD38" i="2"/>
  <c r="CD85" i="2"/>
  <c r="CD7" i="2"/>
  <c r="CD57" i="2"/>
  <c r="CD83" i="2"/>
  <c r="CD169" i="2"/>
  <c r="CD81" i="2"/>
  <c r="CD182" i="2"/>
  <c r="CD149" i="2"/>
  <c r="CD153" i="2"/>
  <c r="CD77" i="2"/>
  <c r="CD88" i="2"/>
  <c r="CD201" i="2"/>
  <c r="CD107" i="2"/>
  <c r="CD181" i="2"/>
  <c r="CD44" i="2"/>
  <c r="CD23" i="2"/>
  <c r="CD39" i="2"/>
  <c r="CD138" i="2"/>
  <c r="CD63" i="2"/>
  <c r="CD36" i="2"/>
  <c r="CD4" i="2"/>
  <c r="CD19" i="2"/>
  <c r="CD58" i="2"/>
  <c r="CD3" i="2"/>
  <c r="C9" i="4" s="1"/>
  <c r="E9" i="4" s="1"/>
  <c r="F9" i="4" s="1"/>
  <c r="G9" i="4" s="1"/>
  <c r="L9" i="4" s="1"/>
  <c r="CD73" i="2"/>
  <c r="CD91" i="2"/>
  <c r="CD195" i="2"/>
  <c r="CD200" i="2"/>
  <c r="CD108" i="2"/>
  <c r="CD24" i="2"/>
  <c r="CD165" i="2"/>
  <c r="CD37" i="2"/>
  <c r="CD97" i="2"/>
  <c r="CD21" i="2"/>
  <c r="CD155" i="2"/>
  <c r="CD193" i="2"/>
  <c r="CD189" i="2"/>
  <c r="CD121" i="2"/>
  <c r="CD8" i="2"/>
  <c r="CD101" i="2"/>
  <c r="CD59" i="2"/>
  <c r="CD198" i="2"/>
  <c r="CD185" i="2"/>
  <c r="CD70" i="2"/>
  <c r="CD98" i="2"/>
  <c r="CD49" i="2"/>
  <c r="CD61" i="2"/>
  <c r="CD136" i="2"/>
  <c r="CD184" i="2"/>
  <c r="CD109" i="2"/>
  <c r="CD150" i="2"/>
  <c r="CD135" i="2"/>
  <c r="CD96" i="2"/>
  <c r="CD113" i="2"/>
  <c r="CD116" i="2"/>
  <c r="CD87" i="2"/>
  <c r="CD74" i="2"/>
  <c r="CD144" i="2"/>
  <c r="CD86" i="2"/>
  <c r="CD30" i="2"/>
  <c r="CD20" i="2"/>
  <c r="CD171" i="2"/>
  <c r="CD32" i="2"/>
  <c r="CD67" i="2"/>
  <c r="CD163" i="2"/>
  <c r="CD55" i="2"/>
  <c r="CD82" i="2"/>
  <c r="CD29" i="2"/>
  <c r="CD14" i="2"/>
  <c r="CD202" i="2"/>
  <c r="CD41" i="2"/>
  <c r="CD176" i="2"/>
  <c r="CD102" i="2"/>
  <c r="CD129" i="2"/>
  <c r="CD191" i="2"/>
  <c r="CD174" i="2"/>
  <c r="CD125" i="2"/>
  <c r="CD141" i="2"/>
  <c r="CD35" i="2"/>
  <c r="CD126" i="2"/>
  <c r="CD160" i="2"/>
  <c r="CD89" i="2"/>
  <c r="CD119" i="2"/>
  <c r="CD105" i="2"/>
  <c r="CD65" i="2"/>
  <c r="CD42" i="2"/>
  <c r="CD110" i="2"/>
  <c r="CD114" i="2"/>
  <c r="CD95" i="2"/>
  <c r="CD6" i="2"/>
  <c r="CD66" i="2"/>
  <c r="CD128" i="2"/>
  <c r="CD53" i="2"/>
  <c r="CD178" i="2"/>
  <c r="CD123" i="2"/>
  <c r="CD72" i="2"/>
  <c r="CD18" i="2"/>
  <c r="CD183" i="2"/>
  <c r="CD203" i="2"/>
  <c r="CD50" i="2"/>
  <c r="CD139" i="2"/>
  <c r="CD28" i="2"/>
  <c r="CD175" i="2"/>
  <c r="CD17" i="2"/>
  <c r="CD145" i="2"/>
  <c r="CD192" i="2"/>
  <c r="CD84" i="2"/>
  <c r="CD159" i="2"/>
  <c r="CD179" i="2"/>
  <c r="CD90" i="2"/>
  <c r="CD45" i="2"/>
  <c r="CD197" i="2"/>
  <c r="CD120" i="2"/>
  <c r="CD11" i="2"/>
  <c r="CD75" i="2"/>
  <c r="CD26" i="2"/>
  <c r="CD137" i="2"/>
  <c r="CD16" i="2"/>
  <c r="CD124" i="2"/>
  <c r="CD104" i="2"/>
  <c r="CD118" i="2"/>
  <c r="CD78" i="2"/>
  <c r="CD152" i="2"/>
  <c r="CD154" i="2"/>
  <c r="CD132" i="2"/>
  <c r="CD177" i="2"/>
  <c r="CD5" i="2"/>
  <c r="CD186" i="2"/>
  <c r="CD187" i="2"/>
  <c r="CD180" i="2"/>
  <c r="CD157" i="2"/>
  <c r="CD33" i="2"/>
  <c r="CD161" i="2"/>
  <c r="CD56" i="2"/>
  <c r="CD151" i="2"/>
  <c r="CD43" i="2"/>
  <c r="CD79" i="2"/>
  <c r="CD22" i="2"/>
  <c r="CD131" i="2"/>
  <c r="CD99" i="2"/>
  <c r="CD93" i="2"/>
  <c r="CD31" i="2"/>
  <c r="CD130" i="2"/>
  <c r="CD100" i="2"/>
  <c r="CD80" i="2"/>
  <c r="CD140" i="2"/>
  <c r="CD122" i="2"/>
  <c r="CD156" i="2"/>
  <c r="CD127" i="2"/>
  <c r="CD167" i="2"/>
  <c r="CD112" i="2"/>
  <c r="CD34" i="2"/>
  <c r="CD9" i="2"/>
  <c r="CD199" i="2"/>
  <c r="CD27" i="2"/>
  <c r="CD76" i="2"/>
  <c r="CD172" i="2"/>
  <c r="CD168" i="2"/>
  <c r="CD133" i="2"/>
  <c r="CD142" i="2"/>
  <c r="CD25" i="2"/>
  <c r="CD194" i="2"/>
  <c r="CD170" i="2"/>
  <c r="CD62" i="2"/>
  <c r="CD190" i="2"/>
  <c r="CD46" i="2"/>
  <c r="CD94" i="2"/>
  <c r="CD13" i="2"/>
  <c r="CD147" i="2"/>
  <c r="CD173" i="2"/>
  <c r="CD162" i="2"/>
  <c r="CD92" i="2"/>
  <c r="CD115" i="2"/>
  <c r="CD15" i="2"/>
  <c r="CD40" i="2"/>
  <c r="CD68" i="2"/>
  <c r="CD188" i="2"/>
  <c r="CD158" i="2"/>
  <c r="CD69" i="2"/>
  <c r="CD166" i="2"/>
  <c r="CD71" i="2"/>
  <c r="CD164" i="2"/>
  <c r="CD64" i="2"/>
  <c r="CD47" i="2"/>
  <c r="CD196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194" i="2" l="1"/>
  <c r="CY108" i="2"/>
  <c r="CY16" i="2"/>
  <c r="CY50" i="2"/>
  <c r="CY103" i="2"/>
  <c r="CY134" i="2"/>
  <c r="CY201" i="2"/>
  <c r="CY95" i="2"/>
  <c r="CY168" i="2"/>
  <c r="CY12" i="2"/>
  <c r="CY38" i="2"/>
  <c r="CY47" i="2"/>
  <c r="CY62" i="2"/>
  <c r="CY71" i="2"/>
  <c r="CY181" i="2"/>
  <c r="CY83" i="2"/>
  <c r="CY124" i="2"/>
  <c r="CY146" i="2"/>
  <c r="CY130" i="2"/>
  <c r="CY182" i="2"/>
  <c r="CY24" i="2"/>
  <c r="CY125" i="2"/>
  <c r="CY105" i="2"/>
  <c r="CY199" i="2"/>
  <c r="CY129" i="2"/>
  <c r="CY171" i="2"/>
  <c r="CY76" i="2"/>
  <c r="CY120" i="2"/>
  <c r="CY165" i="2"/>
  <c r="CY176" i="2"/>
  <c r="CY197" i="2"/>
  <c r="CY67" i="2"/>
  <c r="CY101" i="2"/>
  <c r="CY57" i="2"/>
  <c r="CY123" i="2"/>
  <c r="CY140" i="2"/>
  <c r="CY106" i="2"/>
  <c r="CY159" i="2"/>
  <c r="CY56" i="2"/>
  <c r="CY44" i="2"/>
  <c r="CY97" i="2"/>
  <c r="CY15" i="2"/>
  <c r="CY19" i="2"/>
  <c r="CY94" i="2"/>
  <c r="CY102" i="2"/>
  <c r="CY107" i="2"/>
  <c r="CY167" i="2"/>
  <c r="CY85" i="2"/>
  <c r="CY163" i="2"/>
  <c r="CY73" i="2"/>
  <c r="CY72" i="2"/>
  <c r="CY39" i="2"/>
  <c r="CY153" i="2"/>
  <c r="CY91" i="2"/>
  <c r="CY139" i="2"/>
  <c r="CY174" i="2"/>
  <c r="CY70" i="2"/>
  <c r="CY58" i="2"/>
  <c r="CY185" i="2"/>
  <c r="CY110" i="2"/>
  <c r="CY40" i="2"/>
  <c r="CY137" i="2"/>
  <c r="CY92" i="2"/>
  <c r="CY169" i="2"/>
  <c r="CY193" i="2"/>
  <c r="CY184" i="2"/>
  <c r="CY99" i="2"/>
  <c r="CY132" i="2"/>
  <c r="CY8" i="2"/>
  <c r="CY187" i="2"/>
  <c r="CY133" i="2"/>
  <c r="CY86" i="2"/>
  <c r="CY172" i="2"/>
  <c r="CY189" i="2"/>
  <c r="CY17" i="2"/>
  <c r="CY157" i="2"/>
  <c r="CY90" i="2"/>
  <c r="CY63" i="2"/>
  <c r="CY66" i="2"/>
  <c r="CY116" i="2"/>
  <c r="CY37" i="2"/>
  <c r="CY188" i="2"/>
  <c r="CY135" i="2"/>
  <c r="CY143" i="2"/>
  <c r="CY48" i="2"/>
  <c r="CY195" i="2"/>
  <c r="CY54" i="2"/>
  <c r="CY60" i="2"/>
  <c r="CY156" i="2"/>
  <c r="CY22" i="2"/>
  <c r="CY196" i="2"/>
  <c r="CY192" i="2"/>
  <c r="CY32" i="2"/>
  <c r="CY175" i="2"/>
  <c r="CY152" i="2"/>
  <c r="CY81" i="2"/>
  <c r="CY98" i="2"/>
  <c r="CY141" i="2"/>
  <c r="CY104" i="2"/>
  <c r="CY5" i="2"/>
  <c r="CY190" i="2"/>
  <c r="CY78" i="2"/>
  <c r="CY23" i="2"/>
  <c r="CY117" i="2"/>
  <c r="CY26" i="2"/>
  <c r="CY180" i="2"/>
  <c r="CY126" i="2"/>
  <c r="CY148" i="2"/>
  <c r="CY109" i="2"/>
  <c r="CY127" i="2"/>
  <c r="CY166" i="2"/>
  <c r="CY69" i="2"/>
  <c r="CY128" i="2"/>
  <c r="CY25" i="2"/>
  <c r="CY96" i="2"/>
  <c r="CY10" i="2"/>
  <c r="CY93" i="2"/>
  <c r="CY147" i="2"/>
  <c r="CY114" i="2"/>
  <c r="CY4" i="2"/>
  <c r="CY49" i="2"/>
  <c r="CY89" i="2"/>
  <c r="CY177" i="2"/>
  <c r="CY77" i="2"/>
  <c r="CY55" i="2"/>
  <c r="CY7" i="2"/>
  <c r="CY191" i="2"/>
  <c r="CY173" i="2"/>
  <c r="CY136" i="2"/>
  <c r="CY145" i="2"/>
  <c r="CY27" i="2"/>
  <c r="CY21" i="2"/>
  <c r="CY203" i="2"/>
  <c r="CY87" i="2"/>
  <c r="CY53" i="2"/>
  <c r="CY45" i="2"/>
  <c r="CY6" i="2"/>
  <c r="CY42" i="2"/>
  <c r="CY164" i="2"/>
  <c r="CY28" i="2"/>
  <c r="CY46" i="2"/>
  <c r="CY88" i="2"/>
  <c r="CY160" i="2"/>
  <c r="CY79" i="2"/>
  <c r="CY118" i="2"/>
  <c r="CY65" i="2"/>
  <c r="CY131" i="2"/>
  <c r="CY186" i="2"/>
  <c r="CY9" i="2"/>
  <c r="CY33" i="2"/>
  <c r="CY112" i="2"/>
  <c r="CY80" i="2"/>
  <c r="CY36" i="2"/>
  <c r="CY34" i="2"/>
  <c r="CY11" i="2"/>
  <c r="CY149" i="2"/>
  <c r="CY115" i="2"/>
  <c r="CY61" i="2"/>
  <c r="CY41" i="2"/>
  <c r="CY122" i="2"/>
  <c r="CY30" i="2"/>
  <c r="CY3" i="2"/>
  <c r="C10" i="4" s="1"/>
  <c r="E10" i="4" s="1"/>
  <c r="F10" i="4" s="1"/>
  <c r="G10" i="4" s="1"/>
  <c r="L10" i="4" s="1"/>
  <c r="CY155" i="2"/>
  <c r="CY154" i="2"/>
  <c r="CY178" i="2"/>
  <c r="CY198" i="2"/>
  <c r="CY43" i="2"/>
  <c r="CY202" i="2"/>
  <c r="CY52" i="2"/>
  <c r="CY200" i="2"/>
  <c r="CY74" i="2"/>
  <c r="CY75" i="2"/>
  <c r="CY35" i="2"/>
  <c r="CY14" i="2"/>
  <c r="CY20" i="2"/>
  <c r="CY68" i="2"/>
  <c r="CY100" i="2"/>
  <c r="CY84" i="2"/>
  <c r="CY64" i="2"/>
  <c r="CY18" i="2"/>
  <c r="CY111" i="2"/>
  <c r="CY31" i="2"/>
  <c r="CY119" i="2"/>
  <c r="CY138" i="2"/>
  <c r="CY158" i="2"/>
  <c r="CY183" i="2"/>
  <c r="CY142" i="2"/>
  <c r="CY59" i="2"/>
  <c r="CY13" i="2"/>
  <c r="CY162" i="2"/>
  <c r="CY51" i="2"/>
  <c r="CY113" i="2"/>
  <c r="CY151" i="2"/>
  <c r="CY121" i="2"/>
  <c r="CY29" i="2"/>
  <c r="CY144" i="2"/>
  <c r="CY161" i="2"/>
  <c r="CY170" i="2"/>
  <c r="CY150" i="2"/>
  <c r="CY82" i="2"/>
  <c r="CY179" i="2"/>
  <c r="FJ91" i="2"/>
  <c r="FJ154" i="2"/>
  <c r="FJ90" i="2"/>
  <c r="FJ130" i="2"/>
  <c r="FJ185" i="2"/>
  <c r="FJ60" i="2"/>
  <c r="FJ22" i="2"/>
  <c r="FJ95" i="2"/>
  <c r="FJ73" i="2"/>
  <c r="FJ55" i="2"/>
  <c r="FJ200" i="2"/>
  <c r="FJ186" i="2"/>
  <c r="FJ157" i="2"/>
  <c r="FJ194" i="2"/>
  <c r="FJ199" i="2"/>
  <c r="FJ156" i="2"/>
  <c r="FJ81" i="2"/>
  <c r="FJ121" i="2"/>
  <c r="FJ197" i="2"/>
  <c r="FJ49" i="2"/>
  <c r="FJ6" i="2"/>
  <c r="FJ33" i="2"/>
  <c r="FJ75" i="2"/>
  <c r="FJ147" i="2"/>
  <c r="FJ187" i="2"/>
  <c r="FJ35" i="2"/>
  <c r="FJ15" i="2"/>
  <c r="FJ27" i="2"/>
  <c r="FJ181" i="2"/>
  <c r="FJ48" i="2"/>
  <c r="FJ83" i="2"/>
  <c r="FJ123" i="2"/>
  <c r="FJ131" i="2"/>
  <c r="FJ64" i="2"/>
  <c r="FJ150" i="2"/>
  <c r="FJ77" i="2"/>
  <c r="FJ43" i="2"/>
  <c r="FJ102" i="2"/>
  <c r="FJ3" i="2"/>
  <c r="C13" i="4" s="1"/>
  <c r="E13" i="4" s="1"/>
  <c r="F13" i="4" s="1"/>
  <c r="G13" i="4" s="1"/>
  <c r="L13" i="4" s="1"/>
  <c r="FJ111" i="2"/>
  <c r="FJ26" i="2"/>
  <c r="FJ10" i="2"/>
  <c r="FJ79" i="2"/>
  <c r="FJ4" i="2"/>
  <c r="FJ59" i="2"/>
  <c r="FJ32" i="2"/>
  <c r="FJ172" i="2"/>
  <c r="FJ108" i="2"/>
  <c r="FJ20" i="2"/>
  <c r="FJ45" i="2"/>
  <c r="FJ196" i="2"/>
  <c r="FJ84" i="2"/>
  <c r="FJ149" i="2"/>
  <c r="FJ164" i="2"/>
  <c r="FJ70" i="2"/>
  <c r="FJ148" i="2"/>
  <c r="FJ72" i="2"/>
  <c r="FJ167" i="2"/>
  <c r="FJ41" i="2"/>
  <c r="FJ113" i="2"/>
  <c r="FJ116" i="2"/>
  <c r="FJ201" i="2"/>
  <c r="FJ153" i="2"/>
  <c r="FJ175" i="2"/>
  <c r="FJ19" i="2"/>
  <c r="FJ89" i="2"/>
  <c r="FJ182" i="2"/>
  <c r="FJ21" i="2"/>
  <c r="FJ192" i="2"/>
  <c r="FJ183" i="2"/>
  <c r="FJ11" i="2"/>
  <c r="FJ18" i="2"/>
  <c r="FJ146" i="2"/>
  <c r="FJ119" i="2"/>
  <c r="FJ133" i="2"/>
  <c r="FJ155" i="2"/>
  <c r="FJ179" i="2"/>
  <c r="FJ198" i="2"/>
  <c r="FJ86" i="2"/>
  <c r="FJ109" i="2"/>
  <c r="FJ160" i="2"/>
  <c r="FJ161" i="2"/>
  <c r="FJ120" i="2"/>
  <c r="FJ37" i="2"/>
  <c r="FJ46" i="2"/>
  <c r="FJ24" i="2"/>
  <c r="FJ9" i="2"/>
  <c r="FJ85" i="2"/>
  <c r="FJ17" i="2"/>
  <c r="FJ188" i="2"/>
  <c r="FJ132" i="2"/>
  <c r="FJ180" i="2"/>
  <c r="FJ98" i="2"/>
  <c r="FJ69" i="2"/>
  <c r="FJ16" i="2"/>
  <c r="FJ63" i="2"/>
  <c r="FJ66" i="2"/>
  <c r="FJ159" i="2"/>
  <c r="FJ82" i="2"/>
  <c r="FJ124" i="2"/>
  <c r="FJ94" i="2"/>
  <c r="FJ177" i="2"/>
  <c r="FJ92" i="2"/>
  <c r="FJ138" i="2"/>
  <c r="FJ103" i="2"/>
  <c r="FJ52" i="2"/>
  <c r="FJ40" i="2"/>
  <c r="FJ112" i="2"/>
  <c r="FJ195" i="2"/>
  <c r="FJ29" i="2"/>
  <c r="FJ7" i="2"/>
  <c r="FJ71" i="2"/>
  <c r="FJ76" i="2"/>
  <c r="FJ126" i="2"/>
  <c r="FJ38" i="2"/>
  <c r="FJ39" i="2"/>
  <c r="FJ193" i="2"/>
  <c r="FJ125" i="2"/>
  <c r="FJ189" i="2"/>
  <c r="FJ184" i="2"/>
  <c r="FJ110" i="2"/>
  <c r="FJ93" i="2"/>
  <c r="FJ174" i="2"/>
  <c r="FJ30" i="2"/>
  <c r="FJ97" i="2"/>
  <c r="FJ36" i="2"/>
  <c r="FJ61" i="2"/>
  <c r="FJ28" i="2"/>
  <c r="FJ51" i="2"/>
  <c r="FJ122" i="2"/>
  <c r="FJ80" i="2"/>
  <c r="FJ78" i="2"/>
  <c r="FJ143" i="2"/>
  <c r="FJ135" i="2"/>
  <c r="FJ100" i="2"/>
  <c r="FJ191" i="2"/>
  <c r="FJ151" i="2"/>
  <c r="FJ31" i="2"/>
  <c r="FJ142" i="2"/>
  <c r="FJ152" i="2"/>
  <c r="FJ34" i="2"/>
  <c r="FJ8" i="2"/>
  <c r="FJ136" i="2"/>
  <c r="FJ74" i="2"/>
  <c r="FJ134" i="2"/>
  <c r="FJ25" i="2"/>
  <c r="FJ144" i="2"/>
  <c r="FJ56" i="2"/>
  <c r="FJ88" i="2"/>
  <c r="FJ65" i="2"/>
  <c r="FJ87" i="2"/>
  <c r="FJ145" i="2"/>
  <c r="FJ42" i="2"/>
  <c r="FJ54" i="2"/>
  <c r="FJ68" i="2"/>
  <c r="FJ178" i="2"/>
  <c r="FJ190" i="2"/>
  <c r="FJ117" i="2"/>
  <c r="FJ50" i="2"/>
  <c r="FJ118" i="2"/>
  <c r="FJ163" i="2"/>
  <c r="FJ127" i="2"/>
  <c r="FJ202" i="2"/>
  <c r="FJ115" i="2"/>
  <c r="FJ62" i="2"/>
  <c r="FJ166" i="2"/>
  <c r="FJ99" i="2"/>
  <c r="FJ105" i="2"/>
  <c r="FJ173" i="2"/>
  <c r="FJ170" i="2"/>
  <c r="FJ158" i="2"/>
  <c r="FJ13" i="2"/>
  <c r="FJ101" i="2"/>
  <c r="FJ104" i="2"/>
  <c r="FJ169" i="2"/>
  <c r="FJ107" i="2"/>
  <c r="FJ203" i="2"/>
  <c r="FJ57" i="2"/>
  <c r="FJ114" i="2"/>
  <c r="FJ168" i="2"/>
  <c r="FJ53" i="2"/>
  <c r="FJ106" i="2"/>
  <c r="FJ137" i="2"/>
  <c r="FJ162" i="2"/>
  <c r="FJ165" i="2"/>
  <c r="FJ139" i="2"/>
  <c r="FJ96" i="2"/>
  <c r="FJ12" i="2"/>
  <c r="FJ141" i="2"/>
  <c r="FJ47" i="2"/>
  <c r="FJ171" i="2"/>
  <c r="FJ67" i="2"/>
  <c r="FJ129" i="2"/>
  <c r="FJ14" i="2"/>
  <c r="FJ128" i="2"/>
  <c r="FJ23" i="2"/>
  <c r="FJ58" i="2"/>
  <c r="FJ140" i="2"/>
  <c r="FJ44" i="2"/>
  <c r="FJ5" i="2"/>
  <c r="FJ176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DT13" i="2" l="1"/>
  <c r="DT186" i="2"/>
  <c r="DT146" i="2"/>
  <c r="DT158" i="2"/>
  <c r="DT178" i="2"/>
  <c r="DT27" i="2"/>
  <c r="DT105" i="2"/>
  <c r="DT177" i="2"/>
  <c r="DT127" i="2"/>
  <c r="DT65" i="2"/>
  <c r="DT138" i="2"/>
  <c r="DT55" i="2"/>
  <c r="DT81" i="2"/>
  <c r="DT86" i="2"/>
  <c r="DT126" i="2"/>
  <c r="DT37" i="2"/>
  <c r="DT9" i="2"/>
  <c r="DT15" i="2"/>
  <c r="DT22" i="2"/>
  <c r="DT118" i="2"/>
  <c r="DT35" i="2"/>
  <c r="DT198" i="2"/>
  <c r="DT69" i="2"/>
  <c r="DT169" i="2"/>
  <c r="DT159" i="2"/>
  <c r="DT44" i="2"/>
  <c r="DT136" i="2"/>
  <c r="DT4" i="2"/>
  <c r="DT10" i="2"/>
  <c r="DT112" i="2"/>
  <c r="DT151" i="2"/>
  <c r="DT117" i="2"/>
  <c r="DT171" i="2"/>
  <c r="DT130" i="2"/>
  <c r="DT161" i="2"/>
  <c r="DT155" i="2"/>
  <c r="DT194" i="2"/>
  <c r="DT199" i="2"/>
  <c r="DT62" i="2"/>
  <c r="DT188" i="2"/>
  <c r="DT43" i="2"/>
  <c r="DT120" i="2"/>
  <c r="DT16" i="2"/>
  <c r="DT113" i="2"/>
  <c r="DT52" i="2"/>
  <c r="DT150" i="2"/>
  <c r="DT41" i="2"/>
  <c r="DT195" i="2"/>
  <c r="DT96" i="2"/>
  <c r="DT104" i="2"/>
  <c r="DT115" i="2"/>
  <c r="DT147" i="2"/>
  <c r="DT140" i="2"/>
  <c r="DT5" i="2"/>
  <c r="DT160" i="2"/>
  <c r="DT106" i="2"/>
  <c r="DT107" i="2"/>
  <c r="DT191" i="2"/>
  <c r="DT46" i="2"/>
  <c r="DT91" i="2"/>
  <c r="DT53" i="2"/>
  <c r="DT47" i="2"/>
  <c r="DT87" i="2"/>
  <c r="DT144" i="2"/>
  <c r="DT26" i="2"/>
  <c r="DT11" i="2"/>
  <c r="DT182" i="2"/>
  <c r="DT174" i="2"/>
  <c r="DT125" i="2"/>
  <c r="DT132" i="2"/>
  <c r="DT59" i="2"/>
  <c r="DT23" i="2"/>
  <c r="DT68" i="2"/>
  <c r="DT79" i="2"/>
  <c r="DT129" i="2"/>
  <c r="DT121" i="2"/>
  <c r="DT56" i="2"/>
  <c r="DT196" i="2"/>
  <c r="DT145" i="2"/>
  <c r="DT157" i="2"/>
  <c r="DT72" i="2"/>
  <c r="DT80" i="2"/>
  <c r="DT148" i="2"/>
  <c r="DT25" i="2"/>
  <c r="DT99" i="2"/>
  <c r="DT7" i="2"/>
  <c r="DT57" i="2"/>
  <c r="DT111" i="2"/>
  <c r="DT183" i="2"/>
  <c r="DT189" i="2"/>
  <c r="DT93" i="2"/>
  <c r="DT73" i="2"/>
  <c r="DT134" i="2"/>
  <c r="DT40" i="2"/>
  <c r="DT54" i="2"/>
  <c r="DT17" i="2"/>
  <c r="DT123" i="2"/>
  <c r="DT133" i="2"/>
  <c r="DT12" i="2"/>
  <c r="DT179" i="2"/>
  <c r="DT31" i="2"/>
  <c r="DT58" i="2"/>
  <c r="DT36" i="2"/>
  <c r="DT84" i="2"/>
  <c r="DT181" i="2"/>
  <c r="DT50" i="2"/>
  <c r="DT137" i="2"/>
  <c r="DT156" i="2"/>
  <c r="DT74" i="2"/>
  <c r="DT142" i="2"/>
  <c r="DT63" i="2"/>
  <c r="DT149" i="2"/>
  <c r="DT70" i="2"/>
  <c r="DT166" i="2"/>
  <c r="DT128" i="2"/>
  <c r="DT170" i="2"/>
  <c r="DT75" i="2"/>
  <c r="DT24" i="2"/>
  <c r="DT201" i="2"/>
  <c r="DT94" i="2"/>
  <c r="DT76" i="2"/>
  <c r="DT42" i="2"/>
  <c r="DT154" i="2"/>
  <c r="DT71" i="2"/>
  <c r="DT67" i="2"/>
  <c r="DT110" i="2"/>
  <c r="DT197" i="2"/>
  <c r="DT18" i="2"/>
  <c r="DT60" i="2"/>
  <c r="DT28" i="2"/>
  <c r="DT92" i="2"/>
  <c r="DT200" i="2"/>
  <c r="DT45" i="2"/>
  <c r="DT48" i="2"/>
  <c r="DT95" i="2"/>
  <c r="DT103" i="2"/>
  <c r="DT187" i="2"/>
  <c r="DT49" i="2"/>
  <c r="DT193" i="2"/>
  <c r="DT203" i="2"/>
  <c r="DT85" i="2"/>
  <c r="DT20" i="2"/>
  <c r="DT32" i="2"/>
  <c r="DT131" i="2"/>
  <c r="DT162" i="2"/>
  <c r="DT192" i="2"/>
  <c r="DT30" i="2"/>
  <c r="DT184" i="2"/>
  <c r="DT89" i="2"/>
  <c r="DT114" i="2"/>
  <c r="DT135" i="2"/>
  <c r="DT119" i="2"/>
  <c r="DT6" i="2"/>
  <c r="DT61" i="2"/>
  <c r="DT88" i="2"/>
  <c r="DT19" i="2"/>
  <c r="DT100" i="2"/>
  <c r="DT143" i="2"/>
  <c r="DT173" i="2"/>
  <c r="DT78" i="2"/>
  <c r="DT77" i="2"/>
  <c r="DT97" i="2"/>
  <c r="DT21" i="2"/>
  <c r="DT64" i="2"/>
  <c r="DT180" i="2"/>
  <c r="DT34" i="2"/>
  <c r="DT124" i="2"/>
  <c r="DT14" i="2"/>
  <c r="DT51" i="2"/>
  <c r="DT163" i="2"/>
  <c r="DT116" i="2"/>
  <c r="DT167" i="2"/>
  <c r="DT153" i="2"/>
  <c r="DT139" i="2"/>
  <c r="DT175" i="2"/>
  <c r="DT165" i="2"/>
  <c r="DT109" i="2"/>
  <c r="DT83" i="2"/>
  <c r="DT29" i="2"/>
  <c r="DT82" i="2"/>
  <c r="DT202" i="2"/>
  <c r="DT122" i="2"/>
  <c r="DT164" i="2"/>
  <c r="DT185" i="2"/>
  <c r="DT168" i="2"/>
  <c r="DT190" i="2"/>
  <c r="DT172" i="2"/>
  <c r="DT33" i="2"/>
  <c r="DT39" i="2"/>
  <c r="DT176" i="2"/>
  <c r="DT66" i="2"/>
  <c r="DT98" i="2"/>
  <c r="DT8" i="2"/>
  <c r="DT102" i="2"/>
  <c r="DT3" i="2"/>
  <c r="C11" i="4" s="1"/>
  <c r="E11" i="4" s="1"/>
  <c r="F11" i="4" s="1"/>
  <c r="G11" i="4" s="1"/>
  <c r="L11" i="4" s="1"/>
  <c r="DT90" i="2"/>
  <c r="DT101" i="2"/>
  <c r="DT152" i="2"/>
  <c r="DT141" i="2"/>
  <c r="DT38" i="2"/>
  <c r="DT108" i="2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20" i="2" l="1"/>
  <c r="BI43" i="2"/>
  <c r="BI93" i="2"/>
  <c r="BI4" i="2"/>
  <c r="BI180" i="2"/>
  <c r="BI23" i="2"/>
  <c r="BI194" i="2"/>
  <c r="BI15" i="2"/>
  <c r="BI30" i="2"/>
  <c r="BI106" i="2"/>
  <c r="BI86" i="2"/>
  <c r="BI148" i="2"/>
  <c r="BI121" i="2"/>
  <c r="BI34" i="2"/>
  <c r="BI8" i="2"/>
  <c r="BI66" i="2"/>
  <c r="BI19" i="2"/>
  <c r="BI16" i="2"/>
  <c r="BI198" i="2"/>
  <c r="BI17" i="2"/>
  <c r="BI146" i="2"/>
  <c r="BI123" i="2"/>
  <c r="BI5" i="2"/>
  <c r="BI10" i="2"/>
  <c r="BI161" i="2"/>
  <c r="BI80" i="2"/>
  <c r="BI137" i="2"/>
  <c r="BI159" i="2"/>
  <c r="BI85" i="2"/>
  <c r="BI74" i="2"/>
  <c r="BI196" i="2"/>
  <c r="BI40" i="2"/>
  <c r="BI118" i="2"/>
  <c r="BI111" i="2"/>
  <c r="BI108" i="2"/>
  <c r="BI202" i="2"/>
  <c r="BI50" i="2"/>
  <c r="BI179" i="2"/>
  <c r="BI84" i="2"/>
  <c r="BI31" i="2"/>
  <c r="BI90" i="2"/>
  <c r="BI41" i="2"/>
  <c r="BI166" i="2"/>
  <c r="BI78" i="2"/>
  <c r="BI151" i="2"/>
  <c r="BI133" i="2"/>
  <c r="BI190" i="2"/>
  <c r="BI197" i="2"/>
  <c r="BI170" i="2"/>
  <c r="BI126" i="2"/>
  <c r="BI191" i="2"/>
  <c r="BI47" i="2"/>
  <c r="BI96" i="2"/>
  <c r="BI177" i="2"/>
  <c r="BI79" i="2"/>
  <c r="BI67" i="2"/>
  <c r="BI176" i="2"/>
  <c r="BI172" i="2"/>
  <c r="BI201" i="2"/>
  <c r="BI164" i="2"/>
  <c r="BI117" i="2"/>
  <c r="BI94" i="2"/>
  <c r="BI9" i="2"/>
  <c r="BI141" i="2"/>
  <c r="BI73" i="2"/>
  <c r="BI13" i="2"/>
  <c r="BI163" i="2"/>
  <c r="BI24" i="2"/>
  <c r="BI114" i="2"/>
  <c r="BI184" i="2"/>
  <c r="BI37" i="2"/>
  <c r="BI38" i="2"/>
  <c r="BI160" i="2"/>
  <c r="BI178" i="2"/>
  <c r="BI70" i="2"/>
  <c r="BI187" i="2"/>
  <c r="BI150" i="2"/>
  <c r="BI119" i="2"/>
  <c r="BI45" i="2"/>
  <c r="BI109" i="2"/>
  <c r="BI149" i="2"/>
  <c r="BI107" i="2"/>
  <c r="BI154" i="2"/>
  <c r="BI49" i="2"/>
  <c r="BI59" i="2"/>
  <c r="BI112" i="2"/>
  <c r="BI27" i="2"/>
  <c r="BI124" i="2"/>
  <c r="BI136" i="2"/>
  <c r="BI39" i="2"/>
  <c r="BI144" i="2"/>
  <c r="BI55" i="2"/>
  <c r="BI46" i="2"/>
  <c r="BI3" i="2"/>
  <c r="C8" i="4" s="1"/>
  <c r="E8" i="4" s="1"/>
  <c r="F8" i="4" s="1"/>
  <c r="G8" i="4" s="1"/>
  <c r="L8" i="4" s="1"/>
  <c r="BI165" i="2"/>
  <c r="BI105" i="2"/>
  <c r="BI169" i="2"/>
  <c r="BI99" i="2"/>
  <c r="BI21" i="2"/>
  <c r="BI83" i="2"/>
  <c r="BI139" i="2"/>
  <c r="BI152" i="2"/>
  <c r="BI22" i="2"/>
  <c r="BI35" i="2"/>
  <c r="BI134" i="2"/>
  <c r="BI58" i="2"/>
  <c r="BI48" i="2"/>
  <c r="BI130" i="2"/>
  <c r="BI195" i="2"/>
  <c r="BI162" i="2"/>
  <c r="BI65" i="2"/>
  <c r="BI156" i="2"/>
  <c r="BI113" i="2"/>
  <c r="BI140" i="2"/>
  <c r="BI127" i="2"/>
  <c r="BI168" i="2"/>
  <c r="BI142" i="2"/>
  <c r="BI125" i="2"/>
  <c r="BI25" i="2"/>
  <c r="BI145" i="2"/>
  <c r="BI60" i="2"/>
  <c r="BI76" i="2"/>
  <c r="BI32" i="2"/>
  <c r="BI18" i="2"/>
  <c r="BI128" i="2"/>
  <c r="BI157" i="2"/>
  <c r="BI63" i="2"/>
  <c r="BI199" i="2"/>
  <c r="BI42" i="2"/>
  <c r="BI81" i="2"/>
  <c r="BI181" i="2"/>
  <c r="BI102" i="2"/>
  <c r="BI57" i="2"/>
  <c r="BI143" i="2"/>
  <c r="BI132" i="2"/>
  <c r="BI158" i="2"/>
  <c r="BI110" i="2"/>
  <c r="BI104" i="2"/>
  <c r="BI69" i="2"/>
  <c r="BI6" i="2"/>
  <c r="BI183" i="2"/>
  <c r="BI75" i="2"/>
  <c r="BI135" i="2"/>
  <c r="BI97" i="2"/>
  <c r="BI29" i="2"/>
  <c r="BI174" i="2"/>
  <c r="BI11" i="2"/>
  <c r="BI28" i="2"/>
  <c r="BI193" i="2"/>
  <c r="BI92" i="2"/>
  <c r="BI100" i="2"/>
  <c r="BI53" i="2"/>
  <c r="BI171" i="2"/>
  <c r="BI64" i="2"/>
  <c r="BI98" i="2"/>
  <c r="BI62" i="2"/>
  <c r="BI155" i="2"/>
  <c r="BI115" i="2"/>
  <c r="BI147" i="2"/>
  <c r="BI72" i="2"/>
  <c r="BI88" i="2"/>
  <c r="BI61" i="2"/>
  <c r="BI192" i="2"/>
  <c r="BI138" i="2"/>
  <c r="BI103" i="2"/>
  <c r="BI87" i="2"/>
  <c r="BI89" i="2"/>
  <c r="BI56" i="2"/>
  <c r="BI120" i="2"/>
  <c r="BI173" i="2"/>
  <c r="BI167" i="2"/>
  <c r="BI122" i="2"/>
  <c r="BI14" i="2"/>
  <c r="BI153" i="2"/>
  <c r="BI36" i="2"/>
  <c r="BI116" i="2"/>
  <c r="BI51" i="2"/>
  <c r="BI77" i="2"/>
  <c r="BI12" i="2"/>
  <c r="BI54" i="2"/>
  <c r="BI200" i="2"/>
  <c r="BI82" i="2"/>
  <c r="BI91" i="2"/>
  <c r="BI175" i="2"/>
  <c r="BI68" i="2"/>
  <c r="BI186" i="2"/>
  <c r="BI203" i="2"/>
  <c r="BI101" i="2"/>
  <c r="BI189" i="2"/>
  <c r="BI182" i="2"/>
  <c r="BI185" i="2"/>
  <c r="BI7" i="2"/>
  <c r="BI33" i="2"/>
  <c r="BI44" i="2"/>
  <c r="BI95" i="2"/>
  <c r="BI26" i="2"/>
  <c r="BI129" i="2"/>
  <c r="BI52" i="2"/>
  <c r="BI131" i="2"/>
  <c r="BI188" i="2"/>
  <c r="BI71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<sst xmlns="http://schemas.openxmlformats.org/spreadsheetml/2006/main" count="1170" uniqueCount="324">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</sst>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584.32575150478135</c:v>
                </c:pt>
                <c:pt idx="82">
                  <c:v>596.73945494670397</c:v>
                </c:pt>
                <c:pt idx="83">
                  <c:v>609.14778887966042</c:v>
                </c:pt>
                <c:pt idx="84">
                  <c:v>621.55087805639857</c:v>
                </c:pt>
                <c:pt idx="85">
                  <c:v>633.94884184664011</c:v>
                </c:pt>
                <c:pt idx="86">
                  <c:v>555.1959476117446</c:v>
                </c:pt>
                <c:pt idx="87">
                  <c:v>566.33749757672854</c:v>
                </c:pt>
                <c:pt idx="88">
                  <c:v>577.47446592353504</c:v>
                </c:pt>
                <c:pt idx="89">
                  <c:v>588.60695345087686</c:v>
                </c:pt>
                <c:pt idx="90">
                  <c:v>599.73505683441101</c:v>
                </c:pt>
                <c:pt idx="91">
                  <c:v>610.85886887038021</c:v>
                </c:pt>
                <c:pt idx="92">
                  <c:v>621.97847870058933</c:v>
                </c:pt>
                <c:pt idx="93">
                  <c:v>633.09397202046159</c:v>
                </c:pt>
                <c:pt idx="94">
                  <c:v>644.20543127172971</c:v>
                </c:pt>
                <c:pt idx="95">
                  <c:v>655.31293582114586</c:v>
                </c:pt>
                <c:pt idx="96">
                  <c:v>575.54723712647126</c:v>
                </c:pt>
                <c:pt idx="97">
                  <c:v>585.61018050264568</c:v>
                </c:pt>
                <c:pt idx="98">
                  <c:v>595.66952141128706</c:v>
                </c:pt>
                <c:pt idx="99">
                  <c:v>605.72532925827056</c:v>
                </c:pt>
                <c:pt idx="100">
                  <c:v>615.77767095740785</c:v>
                </c:pt>
                <c:pt idx="101">
                  <c:v>625.82661106001262</c:v>
                </c:pt>
                <c:pt idx="102">
                  <c:v>635.8722118757147</c:v>
                </c:pt>
                <c:pt idx="103">
                  <c:v>645.91453358524484</c:v>
                </c:pt>
                <c:pt idx="104">
                  <c:v>655.9536343458409</c:v>
                </c:pt>
                <c:pt idx="105">
                  <c:v>665.98957038987123</c:v>
                </c:pt>
                <c:pt idx="106">
                  <c:v>586.89455079472862</c:v>
                </c:pt>
                <c:pt idx="107">
                  <c:v>595.4555299089252</c:v>
                </c:pt>
                <c:pt idx="108">
                  <c:v>604.01394898353021</c:v>
                </c:pt>
                <c:pt idx="109">
                  <c:v>612.56984940724124</c:v>
                </c:pt>
                <c:pt idx="110">
                  <c:v>621.12327131831091</c:v>
                </c:pt>
                <c:pt idx="111">
                  <c:v>629.6742536593955</c:v>
                </c:pt>
                <c:pt idx="112">
                  <c:v>638.2228342292683</c:v>
                </c:pt>
                <c:pt idx="113">
                  <c:v>646.76904973162016</c:v>
                </c:pt>
                <c:pt idx="114">
                  <c:v>655.31293582114574</c:v>
                </c:pt>
                <c:pt idx="115">
                  <c:v>663.85452714710425</c:v>
                </c:pt>
                <c:pt idx="116">
                  <c:v>592.03144782908828</c:v>
                </c:pt>
                <c:pt idx="117">
                  <c:v>599.30713279218196</c:v>
                </c:pt>
                <c:pt idx="118">
                  <c:v>606.58098171901713</c:v>
                </c:pt>
                <c:pt idx="119">
                  <c:v>613.85301973416642</c:v>
                </c:pt>
                <c:pt idx="120">
                  <c:v>621.1232713183108</c:v>
                </c:pt>
                <c:pt idx="121">
                  <c:v>628.39176033224737</c:v>
                </c:pt>
                <c:pt idx="122">
                  <c:v>635.65851003972955</c:v>
                </c:pt>
                <c:pt idx="123">
                  <c:v>642.92354312920872</c:v>
                </c:pt>
                <c:pt idx="124">
                  <c:v>650.18688173454223</c:v>
                </c:pt>
                <c:pt idx="125">
                  <c:v>657.44854745472685</c:v>
                </c:pt>
                <c:pt idx="126">
                  <c:v>593.31552677912566</c:v>
                </c:pt>
                <c:pt idx="127">
                  <c:v>599.73505683440999</c:v>
                </c:pt>
                <c:pt idx="128">
                  <c:v>606.15315862414161</c:v>
                </c:pt>
                <c:pt idx="129">
                  <c:v>612.56984940724067</c:v>
                </c:pt>
                <c:pt idx="130">
                  <c:v>618.9851460514908</c:v>
                </c:pt>
                <c:pt idx="131">
                  <c:v>625.39906504645353</c:v>
                </c:pt>
                <c:pt idx="132">
                  <c:v>631.81162251582543</c:v>
                </c:pt>
                <c:pt idx="133">
                  <c:v>638.22283422926773</c:v>
                </c:pt>
                <c:pt idx="134">
                  <c:v>644.63271561373642</c:v>
                </c:pt>
                <c:pt idx="135">
                  <c:v>651.04128176433585</c:v>
                </c:pt>
                <c:pt idx="136">
                  <c:v>594.31421485880117</c:v>
                </c:pt>
                <c:pt idx="137">
                  <c:v>599.59241619255545</c:v>
                </c:pt>
                <c:pt idx="138">
                  <c:v>604.86965169329517</c:v>
                </c:pt>
                <c:pt idx="139">
                  <c:v>610.14593097892123</c:v>
                </c:pt>
                <c:pt idx="140">
                  <c:v>615.42126348737179</c:v>
                </c:pt>
                <c:pt idx="141">
                  <c:v>620.69565848153582</c:v>
                </c:pt>
                <c:pt idx="142">
                  <c:v>625.9691250539928</c:v>
                </c:pt>
                <c:pt idx="143">
                  <c:v>631.24167213158387</c:v>
                </c:pt>
                <c:pt idx="144">
                  <c:v>636.51330847982263</c:v>
                </c:pt>
                <c:pt idx="145">
                  <c:v>641.78404270715203</c:v>
                </c:pt>
                <c:pt idx="146">
                  <c:v>647.05388326905359</c:v>
                </c:pt>
                <c:pt idx="147">
                  <c:v>652.32283847201654</c:v>
                </c:pt>
                <c:pt idx="148">
                  <c:v>657.59091647737216</c:v>
                </c:pt>
                <c:pt idx="149">
                  <c:v>662.858125304998</c:v>
                </c:pt>
                <c:pt idx="150">
                  <c:v>668.12447283689914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90528"/>
        <c:axId val="1404680736"/>
      </c:scatterChart>
      <c:valAx>
        <c:axId val="140469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0736"/>
        <c:crosses val="autoZero"/>
        <c:crossBetween val="midCat"/>
      </c:valAx>
      <c:valAx>
        <c:axId val="140468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9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89440"/>
        <c:axId val="1404693248"/>
      </c:scatterChart>
      <c:valAx>
        <c:axId val="1404689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93248"/>
        <c:crosses val="autoZero"/>
        <c:crossBetween val="midCat"/>
      </c:valAx>
      <c:valAx>
        <c:axId val="140469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9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86176"/>
        <c:axId val="1404681824"/>
      </c:scatterChart>
      <c:valAx>
        <c:axId val="1404686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1824"/>
        <c:crosses val="autoZero"/>
        <c:crossBetween val="midCat"/>
      </c:valAx>
      <c:valAx>
        <c:axId val="140468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196.09298269939748</c:v>
                </c:pt>
                <c:pt idx="17">
                  <c:v>222.87958017562786</c:v>
                </c:pt>
                <c:pt idx="18">
                  <c:v>249.59230205465977</c:v>
                </c:pt>
                <c:pt idx="19">
                  <c:v>276.24016575603616</c:v>
                </c:pt>
                <c:pt idx="20">
                  <c:v>302.83030487228274</c:v>
                </c:pt>
                <c:pt idx="21">
                  <c:v>208.55295085965795</c:v>
                </c:pt>
                <c:pt idx="22">
                  <c:v>234.55138491384025</c:v>
                </c:pt>
                <c:pt idx="23">
                  <c:v>260.48403592293704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336.46208765640489</c:v>
                </c:pt>
                <c:pt idx="27">
                  <c:v>360.70519760433905</c:v>
                </c:pt>
                <c:pt idx="28">
                  <c:v>384.91268544829819</c:v>
                </c:pt>
                <c:pt idx="29">
                  <c:v>409.0871046234933</c:v>
                </c:pt>
                <c:pt idx="30">
                  <c:v>433.23068233058711</c:v>
                </c:pt>
                <c:pt idx="31">
                  <c:v>291.97612129761006</c:v>
                </c:pt>
                <c:pt idx="32">
                  <c:v>314.7973047559463</c:v>
                </c:pt>
                <c:pt idx="33">
                  <c:v>337.58182519139035</c:v>
                </c:pt>
                <c:pt idx="34">
                  <c:v>360.3325035031516</c:v>
                </c:pt>
                <c:pt idx="35">
                  <c:v>383.05177541071203</c:v>
                </c:pt>
                <c:pt idx="36">
                  <c:v>403.13942078264904</c:v>
                </c:pt>
                <c:pt idx="37">
                  <c:v>423.20542522399984</c:v>
                </c:pt>
                <c:pt idx="38">
                  <c:v>443.25095855050768</c:v>
                </c:pt>
                <c:pt idx="39">
                  <c:v>463.27707619868079</c:v>
                </c:pt>
                <c:pt idx="40">
                  <c:v>483.28473497109491</c:v>
                </c:pt>
                <c:pt idx="41">
                  <c:v>351.0123838279564</c:v>
                </c:pt>
                <c:pt idx="42">
                  <c:v>369.27485695721401</c:v>
                </c:pt>
                <c:pt idx="43">
                  <c:v>387.51763127886665</c:v>
                </c:pt>
                <c:pt idx="44">
                  <c:v>405.74176424723129</c:v>
                </c:pt>
                <c:pt idx="45">
                  <c:v>423.94821060760893</c:v>
                </c:pt>
                <c:pt idx="46">
                  <c:v>440.28249935825124</c:v>
                </c:pt>
                <c:pt idx="47">
                  <c:v>456.60380000846527</c:v>
                </c:pt>
                <c:pt idx="48">
                  <c:v>472.91264200880113</c:v>
                </c:pt>
                <c:pt idx="49">
                  <c:v>489.2095153284111</c:v>
                </c:pt>
                <c:pt idx="50">
                  <c:v>505.49487464351972</c:v>
                </c:pt>
                <c:pt idx="51">
                  <c:v>391.98236961231737</c:v>
                </c:pt>
                <c:pt idx="52">
                  <c:v>406.48522456571527</c:v>
                </c:pt>
                <c:pt idx="53">
                  <c:v>420.97690043878237</c:v>
                </c:pt>
                <c:pt idx="54">
                  <c:v>435.45783620208505</c:v>
                </c:pt>
                <c:pt idx="55">
                  <c:v>449.92843925372966</c:v>
                </c:pt>
                <c:pt idx="56">
                  <c:v>462.53570293273202</c:v>
                </c:pt>
                <c:pt idx="57">
                  <c:v>475.13563719240079</c:v>
                </c:pt>
                <c:pt idx="58">
                  <c:v>487.72846377041839</c:v>
                </c:pt>
                <c:pt idx="59">
                  <c:v>500.31439202156156</c:v>
                </c:pt>
                <c:pt idx="60">
                  <c:v>512.89361990989039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444.36402075569373</c:v>
                </c:pt>
                <c:pt idx="64">
                  <c:v>455.49138558575584</c:v>
                </c:pt>
                <c:pt idx="65">
                  <c:v>466.61294333655451</c:v>
                </c:pt>
                <c:pt idx="66">
                  <c:v>476.24705171707643</c:v>
                </c:pt>
                <c:pt idx="67">
                  <c:v>485.87701503548487</c:v>
                </c:pt>
                <c:pt idx="68">
                  <c:v>495.5029270444781</c:v>
                </c:pt>
                <c:pt idx="69">
                  <c:v>505.1248775564427</c:v>
                </c:pt>
                <c:pt idx="70">
                  <c:v>514.74295268257515</c:v>
                </c:pt>
                <c:pt idx="71">
                  <c:v>3.9806453659427267E-12</c:v>
                </c:pt>
                <c:pt idx="72">
                  <c:v>3.9806453659427267E-12</c:v>
                </c:pt>
                <c:pt idx="73">
                  <c:v>3.9806453659427267E-12</c:v>
                </c:pt>
                <c:pt idx="74">
                  <c:v>3.9806453659427267E-12</c:v>
                </c:pt>
                <c:pt idx="75">
                  <c:v>3.9806453659427267E-12</c:v>
                </c:pt>
                <c:pt idx="76">
                  <c:v>3.9806453659427267E-12</c:v>
                </c:pt>
                <c:pt idx="77">
                  <c:v>3.9806453659427267E-12</c:v>
                </c:pt>
                <c:pt idx="78">
                  <c:v>3.9806453659427267E-12</c:v>
                </c:pt>
                <c:pt idx="79">
                  <c:v>3.9806453659427267E-12</c:v>
                </c:pt>
                <c:pt idx="80">
                  <c:v>3.9806453659427267E-12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79104"/>
        <c:axId val="1404683456"/>
      </c:scatterChart>
      <c:valAx>
        <c:axId val="1404679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3456"/>
        <c:crosses val="autoZero"/>
        <c:crossBetween val="midCat"/>
      </c:valAx>
      <c:valAx>
        <c:axId val="140468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79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2.0684330728021769</c:v>
                </c:pt>
                <c:pt idx="2">
                  <c:v>2.7590496313537063</c:v>
                </c:pt>
                <c:pt idx="3">
                  <c:v>3.6812120981905476</c:v>
                </c:pt>
                <c:pt idx="4">
                  <c:v>4.9128552071550606</c:v>
                </c:pt>
                <c:pt idx="5">
                  <c:v>6.5582407600445798</c:v>
                </c:pt>
                <c:pt idx="6">
                  <c:v>8.756881069622386</c:v>
                </c:pt>
                <c:pt idx="7">
                  <c:v>11.695496307166485</c:v>
                </c:pt>
                <c:pt idx="8">
                  <c:v>15.624040167594378</c:v>
                </c:pt>
                <c:pt idx="9">
                  <c:v>20.877181851743149</c:v>
                </c:pt>
                <c:pt idx="10">
                  <c:v>27.903107095246028</c:v>
                </c:pt>
                <c:pt idx="11">
                  <c:v>37.302138438058996</c:v>
                </c:pt>
                <c:pt idx="12">
                  <c:v>49.878531025355976</c:v>
                </c:pt>
                <c:pt idx="13">
                  <c:v>66.709950091234006</c:v>
                </c:pt>
                <c:pt idx="14">
                  <c:v>89.240680897624785</c:v>
                </c:pt>
                <c:pt idx="15">
                  <c:v>119.40669706000294</c:v>
                </c:pt>
                <c:pt idx="16">
                  <c:v>105.79904430461862</c:v>
                </c:pt>
                <c:pt idx="17">
                  <c:v>122.74026329997572</c:v>
                </c:pt>
                <c:pt idx="18">
                  <c:v>139.62456719612632</c:v>
                </c:pt>
                <c:pt idx="19">
                  <c:v>156.45981769420112</c:v>
                </c:pt>
                <c:pt idx="20">
                  <c:v>173.25204101823155</c:v>
                </c:pt>
                <c:pt idx="21">
                  <c:v>151.63320228659748</c:v>
                </c:pt>
                <c:pt idx="22">
                  <c:v>174.32132141191724</c:v>
                </c:pt>
                <c:pt idx="23">
                  <c:v>196.94000437851321</c:v>
                </c:pt>
                <c:pt idx="24">
                  <c:v>219.49835224983087</c:v>
                </c:pt>
                <c:pt idx="25">
                  <c:v>242.00343878561242</c:v>
                </c:pt>
                <c:pt idx="26">
                  <c:v>264.46091294052366</c:v>
                </c:pt>
                <c:pt idx="27">
                  <c:v>286.87538518437117</c:v>
                </c:pt>
                <c:pt idx="28">
                  <c:v>237.26562218934134</c:v>
                </c:pt>
                <c:pt idx="29">
                  <c:v>257.72291679052336</c:v>
                </c:pt>
                <c:pt idx="30">
                  <c:v>278.14350387065394</c:v>
                </c:pt>
                <c:pt idx="31">
                  <c:v>298.53045664156326</c:v>
                </c:pt>
                <c:pt idx="32">
                  <c:v>318.8863942330795</c:v>
                </c:pt>
                <c:pt idx="33">
                  <c:v>255.25114341789333</c:v>
                </c:pt>
                <c:pt idx="34">
                  <c:v>272.07335962430449</c:v>
                </c:pt>
                <c:pt idx="35">
                  <c:v>288.87219164153919</c:v>
                </c:pt>
                <c:pt idx="36">
                  <c:v>305.64919059784063</c:v>
                </c:pt>
                <c:pt idx="37">
                  <c:v>322.40572341754518</c:v>
                </c:pt>
                <c:pt idx="38">
                  <c:v>339.14300333428974</c:v>
                </c:pt>
                <c:pt idx="39">
                  <c:v>355.86211406226988</c:v>
                </c:pt>
                <c:pt idx="40">
                  <c:v>372.56402918570967</c:v>
                </c:pt>
                <c:pt idx="41">
                  <c:v>389.2496278887823</c:v>
                </c:pt>
                <c:pt idx="42">
                  <c:v>405.91970784708354</c:v>
                </c:pt>
                <c:pt idx="43">
                  <c:v>422.57499589071375</c:v>
                </c:pt>
                <c:pt idx="44">
                  <c:v>439.21615689856282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92160"/>
        <c:axId val="1404679648"/>
      </c:scatterChart>
      <c:valAx>
        <c:axId val="1404692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79648"/>
        <c:crosses val="autoZero"/>
        <c:crossBetween val="midCat"/>
      </c:valAx>
      <c:valAx>
        <c:axId val="140467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92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106.595922899923</c:v>
                </c:pt>
                <c:pt idx="22">
                  <c:v>126.66372945155246</c:v>
                </c:pt>
                <c:pt idx="23">
                  <c:v>146.65432993091889</c:v>
                </c:pt>
                <c:pt idx="24">
                  <c:v>166.57974956981329</c:v>
                </c:pt>
                <c:pt idx="25">
                  <c:v>186.44889028681465</c:v>
                </c:pt>
                <c:pt idx="26">
                  <c:v>205.47668575959185</c:v>
                </c:pt>
                <c:pt idx="27">
                  <c:v>224.46374350828043</c:v>
                </c:pt>
                <c:pt idx="28">
                  <c:v>243.41399447605218</c:v>
                </c:pt>
                <c:pt idx="29">
                  <c:v>262.33070707949565</c:v>
                </c:pt>
                <c:pt idx="30">
                  <c:v>281.21663963435122</c:v>
                </c:pt>
                <c:pt idx="31">
                  <c:v>209.87882372311779</c:v>
                </c:pt>
                <c:pt idx="32">
                  <c:v>226.92928209637023</c:v>
                </c:pt>
                <c:pt idx="33">
                  <c:v>243.95041558309245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292.75438923139654</c:v>
                </c:pt>
                <c:pt idx="37">
                  <c:v>307.5782714772098</c:v>
                </c:pt>
                <c:pt idx="38">
                  <c:v>322.38628533250755</c:v>
                </c:pt>
                <c:pt idx="39">
                  <c:v>337.17926231862225</c:v>
                </c:pt>
                <c:pt idx="40">
                  <c:v>351.95795503306766</c:v>
                </c:pt>
                <c:pt idx="41">
                  <c:v>276.96986127985076</c:v>
                </c:pt>
                <c:pt idx="42">
                  <c:v>289.86306359345843</c:v>
                </c:pt>
                <c:pt idx="43">
                  <c:v>302.74345277160899</c:v>
                </c:pt>
                <c:pt idx="44">
                  <c:v>315.61165089864329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373.03800762204258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81280"/>
        <c:axId val="1404691616"/>
      </c:scatterChart>
      <c:valAx>
        <c:axId val="140468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91616"/>
        <c:crosses val="autoZero"/>
        <c:crossBetween val="midCat"/>
      </c:valAx>
      <c:valAx>
        <c:axId val="140469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92704"/>
        <c:axId val="1404694336"/>
      </c:scatterChart>
      <c:valAx>
        <c:axId val="1404692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94336"/>
        <c:crosses val="autoZero"/>
        <c:crossBetween val="midCat"/>
      </c:valAx>
      <c:valAx>
        <c:axId val="140469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92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88352"/>
        <c:axId val="1404684000"/>
      </c:scatterChart>
      <c:valAx>
        <c:axId val="1404688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4000"/>
        <c:crosses val="autoZero"/>
        <c:crossBetween val="midCat"/>
      </c:valAx>
      <c:valAx>
        <c:axId val="140468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8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84544"/>
        <c:axId val="1404686720"/>
      </c:scatterChart>
      <c:valAx>
        <c:axId val="1404684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6720"/>
        <c:crosses val="autoZero"/>
        <c:crossBetween val="midCat"/>
      </c:valAx>
      <c:valAx>
        <c:axId val="140468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4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4687808"/>
        <c:axId val="1404687264"/>
      </c:scatterChart>
      <c:valAx>
        <c:axId val="1404687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7264"/>
        <c:crosses val="autoZero"/>
        <c:crossBetween val="midCat"/>
      </c:valAx>
      <c:valAx>
        <c:axId val="14046872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04687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93" zoomScale="87" zoomScaleNormal="40" workbookViewId="0">
      <selection activeCell="C138" sqref="C138:D13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1.786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0.17</v>
      </c>
      <c r="D9" s="36">
        <f t="shared" ref="D9:D18" si="0">C9*$C$5</f>
        <v>0.30362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0.17</v>
      </c>
      <c r="D10" s="36">
        <f t="shared" si="0"/>
        <v>0.30362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13</v>
      </c>
      <c r="C11" s="35">
        <v>0.22</v>
      </c>
      <c r="D11" s="36">
        <f t="shared" si="0"/>
        <v>0.39291999999999999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36</v>
      </c>
      <c r="C12" s="35">
        <v>0.24</v>
      </c>
      <c r="D12" s="36">
        <f t="shared" si="0"/>
        <v>0.42863999999999997</v>
      </c>
      <c r="E12" s="37">
        <v>44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8</v>
      </c>
      <c r="C13" s="35">
        <v>0.2</v>
      </c>
      <c r="D13" s="36">
        <f t="shared" si="0"/>
        <v>0.35720000000000002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1</v>
      </c>
      <c r="D19" s="41">
        <f>SUM(D9:D18)</f>
        <v>1.7859999999999998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53">
        <v>42</v>
      </c>
      <c r="C36" s="53"/>
      <c r="D36" s="5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53">
        <v>70</v>
      </c>
      <c r="C37" s="53">
        <v>1</v>
      </c>
      <c r="D37" s="5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53">
        <v>97</v>
      </c>
      <c r="C38" s="53"/>
      <c r="D38" s="5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53">
        <v>137</v>
      </c>
      <c r="C39" s="53">
        <v>2</v>
      </c>
      <c r="D39" s="5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53">
        <v>137</v>
      </c>
      <c r="C40" s="53"/>
      <c r="D40" s="5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53">
        <v>179</v>
      </c>
      <c r="C41" s="53">
        <v>3</v>
      </c>
      <c r="D41" s="5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53">
        <v>178</v>
      </c>
      <c r="C42" s="53"/>
      <c r="D42" s="5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218</v>
      </c>
      <c r="C43" s="53">
        <v>4</v>
      </c>
      <c r="D43" s="5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214</v>
      </c>
      <c r="C44" s="53"/>
      <c r="D44" s="5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250</v>
      </c>
      <c r="C45" s="53">
        <v>5</v>
      </c>
      <c r="D45" s="5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242</v>
      </c>
      <c r="C46" s="53"/>
      <c r="D46" s="5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273</v>
      </c>
      <c r="C47" s="53">
        <v>6</v>
      </c>
      <c r="D47" s="5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261</v>
      </c>
      <c r="C48" s="53"/>
      <c r="D48" s="53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85</v>
      </c>
      <c r="B49" s="53">
        <v>290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95</v>
      </c>
      <c r="B50" s="53">
        <v>300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5.2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105</v>
      </c>
      <c r="B51" s="53">
        <v>305</v>
      </c>
      <c r="C51" s="53">
        <v>9</v>
      </c>
      <c r="D51" s="53">
        <v>41</v>
      </c>
      <c r="E51" s="54"/>
      <c r="F51" s="54"/>
      <c r="G51" s="54"/>
      <c r="H51" s="54"/>
      <c r="I51" s="52">
        <f t="shared" si="1"/>
        <v>4.7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115</v>
      </c>
      <c r="B52" s="53">
        <v>304</v>
      </c>
      <c r="C52" s="53">
        <v>10</v>
      </c>
      <c r="D52" s="53">
        <v>37</v>
      </c>
      <c r="E52" s="54"/>
      <c r="F52" s="54"/>
      <c r="G52" s="54"/>
      <c r="H52" s="54"/>
      <c r="I52" s="52">
        <f t="shared" si="1"/>
        <v>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125</v>
      </c>
      <c r="B53" s="53">
        <v>301</v>
      </c>
      <c r="C53" s="53">
        <v>11</v>
      </c>
      <c r="D53" s="53">
        <v>33</v>
      </c>
      <c r="E53" s="54"/>
      <c r="F53" s="54"/>
      <c r="G53" s="54"/>
      <c r="H53" s="54"/>
      <c r="I53" s="52">
        <f t="shared" si="1"/>
        <v>3.4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135</v>
      </c>
      <c r="B54" s="53">
        <v>298</v>
      </c>
      <c r="C54" s="53">
        <v>12</v>
      </c>
      <c r="D54" s="53">
        <v>29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2.4666666666666668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42</v>
      </c>
      <c r="C62" s="53"/>
      <c r="D62" s="5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70</v>
      </c>
      <c r="C63" s="53">
        <v>1</v>
      </c>
      <c r="D63" s="5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97</v>
      </c>
      <c r="C64" s="53"/>
      <c r="D64" s="5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137</v>
      </c>
      <c r="C65" s="53">
        <v>2</v>
      </c>
      <c r="D65" s="53"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137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179</v>
      </c>
      <c r="C67" s="53">
        <v>3</v>
      </c>
      <c r="D67" s="5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53">
        <v>178</v>
      </c>
      <c r="C68" s="53"/>
      <c r="D68" s="5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218</v>
      </c>
      <c r="C69" s="53">
        <v>4</v>
      </c>
      <c r="D69" s="5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214</v>
      </c>
      <c r="C70" s="53"/>
      <c r="D70" s="5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250</v>
      </c>
      <c r="C71" s="53">
        <v>5</v>
      </c>
      <c r="D71" s="5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242</v>
      </c>
      <c r="C72" s="53"/>
      <c r="D72" s="5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273</v>
      </c>
      <c r="C73" s="53">
        <v>6</v>
      </c>
      <c r="D73" s="5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261</v>
      </c>
      <c r="C74" s="53"/>
      <c r="D74" s="53"/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290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95</v>
      </c>
      <c r="B76" s="53">
        <v>300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5.2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105</v>
      </c>
      <c r="B77" s="53">
        <v>305</v>
      </c>
      <c r="C77" s="53">
        <v>9</v>
      </c>
      <c r="D77" s="53">
        <v>41</v>
      </c>
      <c r="E77" s="54"/>
      <c r="F77" s="54"/>
      <c r="G77" s="54"/>
      <c r="H77" s="54"/>
      <c r="I77" s="52">
        <f t="shared" si="2"/>
        <v>4.7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115</v>
      </c>
      <c r="B78" s="53">
        <v>304</v>
      </c>
      <c r="C78" s="53">
        <v>10</v>
      </c>
      <c r="D78" s="53">
        <v>37</v>
      </c>
      <c r="E78" s="54"/>
      <c r="F78" s="54"/>
      <c r="G78" s="54"/>
      <c r="H78" s="54"/>
      <c r="I78" s="52">
        <f t="shared" si="2"/>
        <v>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125</v>
      </c>
      <c r="B79" s="53">
        <v>301</v>
      </c>
      <c r="C79" s="53">
        <v>11</v>
      </c>
      <c r="D79" s="53">
        <v>33</v>
      </c>
      <c r="E79" s="54"/>
      <c r="F79" s="54"/>
      <c r="G79" s="54"/>
      <c r="H79" s="54"/>
      <c r="I79" s="52">
        <f t="shared" si="2"/>
        <v>3.4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135</v>
      </c>
      <c r="B80" s="53">
        <v>298</v>
      </c>
      <c r="C80" s="53">
        <v>12</v>
      </c>
      <c r="D80" s="53">
        <v>29</v>
      </c>
      <c r="E80" s="54"/>
      <c r="F80" s="54"/>
      <c r="G80" s="54"/>
      <c r="H80" s="54"/>
      <c r="I80" s="52">
        <f t="shared" si="2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2.4666666666666668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rouge d'Amérique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87</v>
      </c>
      <c r="C88" s="53"/>
      <c r="D88" s="63"/>
      <c r="E88" s="66"/>
      <c r="F88" s="66"/>
      <c r="G88" s="66"/>
      <c r="H88" s="66"/>
      <c r="I88" s="56">
        <f>IFERROR(B88/A88,"")</f>
        <v>5.8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158</v>
      </c>
      <c r="C89" s="53">
        <v>1</v>
      </c>
      <c r="D89" s="63">
        <v>64</v>
      </c>
      <c r="E89" s="66"/>
      <c r="F89" s="66"/>
      <c r="G89" s="66"/>
      <c r="H89" s="66">
        <v>1</v>
      </c>
      <c r="I89" s="56">
        <f t="shared" ref="I89:I107" si="3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163</v>
      </c>
      <c r="C90" s="53"/>
      <c r="D90" s="63"/>
      <c r="E90" s="66"/>
      <c r="F90" s="66"/>
      <c r="G90" s="66"/>
      <c r="H90" s="66"/>
      <c r="I90" s="56">
        <f t="shared" si="3"/>
        <v>13.8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8">
        <v>30</v>
      </c>
      <c r="B91" s="58">
        <v>228</v>
      </c>
      <c r="C91" s="58">
        <v>2</v>
      </c>
      <c r="D91" s="58">
        <v>88</v>
      </c>
      <c r="E91" s="66"/>
      <c r="F91" s="66"/>
      <c r="G91" s="66"/>
      <c r="H91" s="66">
        <v>1</v>
      </c>
      <c r="I91" s="56">
        <f t="shared" si="3"/>
        <v>13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8">
        <v>35</v>
      </c>
      <c r="B92" s="58">
        <v>201</v>
      </c>
      <c r="C92" s="58"/>
      <c r="D92" s="58"/>
      <c r="E92" s="66"/>
      <c r="F92" s="66"/>
      <c r="G92" s="66"/>
      <c r="H92" s="66"/>
      <c r="I92" s="56">
        <f t="shared" si="3"/>
        <v>12.2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8">
        <v>40</v>
      </c>
      <c r="B93" s="58">
        <v>255</v>
      </c>
      <c r="C93" s="58">
        <v>3</v>
      </c>
      <c r="D93" s="58">
        <v>81</v>
      </c>
      <c r="E93" s="66"/>
      <c r="F93" s="66"/>
      <c r="G93" s="66"/>
      <c r="H93" s="66"/>
      <c r="I93" s="56">
        <f t="shared" si="3"/>
        <v>10.8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8">
        <v>45</v>
      </c>
      <c r="B94" s="58">
        <v>223</v>
      </c>
      <c r="C94" s="58"/>
      <c r="D94" s="58"/>
      <c r="E94" s="66"/>
      <c r="F94" s="66"/>
      <c r="G94" s="66"/>
      <c r="H94" s="66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8">
        <v>50</v>
      </c>
      <c r="B95" s="58">
        <v>267</v>
      </c>
      <c r="C95" s="58">
        <v>4</v>
      </c>
      <c r="D95" s="58">
        <v>69</v>
      </c>
      <c r="E95" s="66"/>
      <c r="F95" s="66"/>
      <c r="G95" s="66"/>
      <c r="H95" s="66"/>
      <c r="I95" s="56">
        <f t="shared" si="3"/>
        <v>8.8000000000000007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8">
        <v>55</v>
      </c>
      <c r="B96" s="58">
        <v>237</v>
      </c>
      <c r="C96" s="58"/>
      <c r="D96" s="58"/>
      <c r="E96" s="66"/>
      <c r="F96" s="66"/>
      <c r="G96" s="66"/>
      <c r="H96" s="66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8">
        <v>60</v>
      </c>
      <c r="B97" s="58">
        <v>271</v>
      </c>
      <c r="C97" s="58">
        <v>5</v>
      </c>
      <c r="D97" s="58">
        <v>55</v>
      </c>
      <c r="E97" s="66"/>
      <c r="F97" s="66"/>
      <c r="G97" s="66"/>
      <c r="H97" s="66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8">
        <v>65</v>
      </c>
      <c r="B98" s="58">
        <v>246</v>
      </c>
      <c r="C98" s="58"/>
      <c r="D98" s="58"/>
      <c r="E98" s="66"/>
      <c r="F98" s="66"/>
      <c r="G98" s="66"/>
      <c r="H98" s="66"/>
      <c r="I98" s="56">
        <f t="shared" si="3"/>
        <v>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8">
        <v>70</v>
      </c>
      <c r="B99" s="58">
        <v>272</v>
      </c>
      <c r="C99" s="58">
        <v>6</v>
      </c>
      <c r="D99" s="58">
        <v>272</v>
      </c>
      <c r="E99" s="66"/>
      <c r="F99" s="66"/>
      <c r="G99" s="66"/>
      <c r="H99" s="66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8"/>
      <c r="B100" s="58"/>
      <c r="C100" s="58"/>
      <c r="D100" s="58"/>
      <c r="E100" s="67"/>
      <c r="F100" s="67"/>
      <c r="G100" s="67"/>
      <c r="H100" s="67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92"/>
      <c r="B101" s="63"/>
      <c r="C101" s="92"/>
      <c r="D101" s="63"/>
      <c r="E101" s="57"/>
      <c r="F101" s="57"/>
      <c r="G101" s="57"/>
      <c r="H101" s="57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maritime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290">
        <v>88.859000000000009</v>
      </c>
      <c r="C114" s="53">
        <v>1</v>
      </c>
      <c r="D114" s="53">
        <v>23.3155</v>
      </c>
      <c r="E114" s="54"/>
      <c r="F114" s="54"/>
      <c r="G114" s="54"/>
      <c r="H114" s="54">
        <v>1</v>
      </c>
      <c r="I114" s="56">
        <f>IFERROR(B114/A114,"")</f>
        <v>5.9239333333333342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290">
        <v>130.203</v>
      </c>
      <c r="C115" s="53">
        <v>2</v>
      </c>
      <c r="D115" s="53">
        <v>34.110500000000002</v>
      </c>
      <c r="E115" s="54"/>
      <c r="F115" s="54"/>
      <c r="G115" s="54">
        <v>0.5</v>
      </c>
      <c r="H115" s="54">
        <v>0.5</v>
      </c>
      <c r="I115" s="56">
        <f t="shared" ref="I115:I133" si="4">IF(A115&lt;&gt;0,(B115-(B114-D114))/(A115-A114),"")</f>
        <v>12.931899999999999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27</v>
      </c>
      <c r="B116" s="290">
        <v>218.36499999999998</v>
      </c>
      <c r="C116" s="53">
        <v>3</v>
      </c>
      <c r="D116" s="53">
        <v>54.518999999999998</v>
      </c>
      <c r="E116" s="54">
        <v>0.2</v>
      </c>
      <c r="F116" s="54">
        <v>0.3</v>
      </c>
      <c r="G116" s="54">
        <v>0.5</v>
      </c>
      <c r="H116" s="54"/>
      <c r="I116" s="56">
        <f t="shared" si="4"/>
        <v>17.467499999999998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32</v>
      </c>
      <c r="B117" s="290">
        <v>243.36350000000002</v>
      </c>
      <c r="C117" s="53">
        <v>4</v>
      </c>
      <c r="D117" s="53">
        <v>62.73</v>
      </c>
      <c r="E117" s="54"/>
      <c r="F117" s="54"/>
      <c r="G117" s="54"/>
      <c r="H117" s="54"/>
      <c r="I117" s="56">
        <f t="shared" si="4"/>
        <v>15.903500000000008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44</v>
      </c>
      <c r="B118" s="290">
        <v>337.78999999999996</v>
      </c>
      <c r="C118" s="53">
        <v>5</v>
      </c>
      <c r="D118" s="53">
        <v>337.78999999999996</v>
      </c>
      <c r="E118" s="54"/>
      <c r="F118" s="54"/>
      <c r="G118" s="54"/>
      <c r="H118" s="54"/>
      <c r="I118" s="56">
        <f t="shared" si="4"/>
        <v>13.096374999999995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290"/>
      <c r="C119" s="53"/>
      <c r="D119" s="5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/>
      <c r="B120" s="290"/>
      <c r="C120" s="53"/>
      <c r="D120" s="5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/>
      <c r="B121" s="290"/>
      <c r="C121" s="53"/>
      <c r="D121" s="5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/>
      <c r="B122" s="290"/>
      <c r="C122" s="53"/>
      <c r="D122" s="5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290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290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290"/>
      <c r="C125" s="53"/>
      <c r="D125" s="5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290"/>
      <c r="C126" s="53"/>
      <c r="D126" s="5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290"/>
      <c r="C127" s="53"/>
      <c r="D127" s="5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290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290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290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290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290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Châtaignier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37.4</v>
      </c>
      <c r="C140" s="53"/>
      <c r="D140" s="63"/>
      <c r="E140" s="66"/>
      <c r="F140" s="66"/>
      <c r="G140" s="66"/>
      <c r="H140" s="66"/>
      <c r="I140" s="60">
        <f>IFERROR(B140/A140,"")</f>
        <v>2.4933333333333332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v>95.1</v>
      </c>
      <c r="C141" s="53">
        <v>1</v>
      </c>
      <c r="D141" s="63">
        <v>43.1</v>
      </c>
      <c r="E141" s="66"/>
      <c r="F141" s="66"/>
      <c r="G141" s="66"/>
      <c r="H141" s="66">
        <v>1</v>
      </c>
      <c r="I141" s="60">
        <f t="shared" ref="I141:I159" si="5">IF(A141&lt;&gt;0,(B141-(B140-D140))/(A141-A140),"")</f>
        <v>11.54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v>114.5</v>
      </c>
      <c r="C142" s="53"/>
      <c r="D142" s="63"/>
      <c r="E142" s="66"/>
      <c r="F142" s="66"/>
      <c r="G142" s="66"/>
      <c r="H142" s="66"/>
      <c r="I142" s="60">
        <f t="shared" si="5"/>
        <v>12.500000000000002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8">
        <v>30</v>
      </c>
      <c r="B143" s="58">
        <v>174.5</v>
      </c>
      <c r="C143" s="58">
        <v>2</v>
      </c>
      <c r="D143" s="58">
        <v>56</v>
      </c>
      <c r="E143" s="66"/>
      <c r="F143" s="66"/>
      <c r="G143" s="66"/>
      <c r="H143" s="66">
        <v>1</v>
      </c>
      <c r="I143" s="60">
        <f t="shared" si="5"/>
        <v>12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8">
        <v>35</v>
      </c>
      <c r="B144" s="58">
        <v>172.4</v>
      </c>
      <c r="C144" s="58"/>
      <c r="D144" s="58"/>
      <c r="E144" s="66"/>
      <c r="F144" s="66"/>
      <c r="G144" s="66"/>
      <c r="H144" s="66"/>
      <c r="I144" s="60">
        <f t="shared" si="5"/>
        <v>10.780000000000001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8">
        <v>40</v>
      </c>
      <c r="B145" s="58">
        <v>219.6</v>
      </c>
      <c r="C145" s="58">
        <v>3</v>
      </c>
      <c r="D145" s="58">
        <v>56</v>
      </c>
      <c r="E145" s="66"/>
      <c r="F145" s="66"/>
      <c r="G145" s="66"/>
      <c r="H145" s="66"/>
      <c r="I145" s="60">
        <f t="shared" si="5"/>
        <v>9.4399999999999977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8">
        <v>45</v>
      </c>
      <c r="B146" s="58">
        <v>204.60000000000002</v>
      </c>
      <c r="C146" s="58"/>
      <c r="D146" s="58"/>
      <c r="E146" s="66"/>
      <c r="F146" s="66"/>
      <c r="G146" s="66"/>
      <c r="H146" s="66"/>
      <c r="I146" s="60">
        <f t="shared" si="5"/>
        <v>8.2000000000000064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50</v>
      </c>
      <c r="B147" s="58">
        <v>240.20000000000002</v>
      </c>
      <c r="C147" s="58">
        <v>4</v>
      </c>
      <c r="D147" s="58">
        <v>38.299999999999997</v>
      </c>
      <c r="E147" s="66"/>
      <c r="F147" s="66"/>
      <c r="G147" s="66"/>
      <c r="H147" s="66"/>
      <c r="I147" s="60">
        <f>IF(A147&lt;&gt;0,(B147-(B146-D146))/(A147-A146),"")</f>
        <v>7.1199999999999992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55</v>
      </c>
      <c r="B148" s="58">
        <v>232.5</v>
      </c>
      <c r="C148" s="58"/>
      <c r="D148" s="58"/>
      <c r="E148" s="66"/>
      <c r="F148" s="66"/>
      <c r="G148" s="66"/>
      <c r="H148" s="66"/>
      <c r="I148" s="60">
        <f t="shared" si="5"/>
        <v>6.119999999999993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>
        <v>60</v>
      </c>
      <c r="B149" s="58">
        <v>258.3</v>
      </c>
      <c r="C149" s="58">
        <v>5</v>
      </c>
      <c r="D149" s="58">
        <v>25.200000000000003</v>
      </c>
      <c r="E149" s="66"/>
      <c r="F149" s="66"/>
      <c r="G149" s="66"/>
      <c r="H149" s="66"/>
      <c r="I149" s="60">
        <f t="shared" si="5"/>
        <v>5.1600000000000019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>
        <v>65</v>
      </c>
      <c r="B150" s="58">
        <v>254.8</v>
      </c>
      <c r="C150" s="58"/>
      <c r="D150" s="58"/>
      <c r="E150" s="66"/>
      <c r="F150" s="66"/>
      <c r="G150" s="66"/>
      <c r="H150" s="66"/>
      <c r="I150" s="60">
        <f t="shared" si="5"/>
        <v>4.3399999999999981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>
        <v>70</v>
      </c>
      <c r="B151" s="58">
        <v>273.59999999999997</v>
      </c>
      <c r="C151" s="58">
        <v>6</v>
      </c>
      <c r="D151" s="58">
        <v>20.9</v>
      </c>
      <c r="E151" s="66"/>
      <c r="F151" s="66"/>
      <c r="G151" s="66"/>
      <c r="H151" s="66"/>
      <c r="I151" s="60">
        <f t="shared" si="5"/>
        <v>3.7599999999999909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>
        <v>75</v>
      </c>
      <c r="B152" s="58">
        <v>269.70000000000005</v>
      </c>
      <c r="C152" s="58"/>
      <c r="D152" s="58"/>
      <c r="E152" s="67"/>
      <c r="F152" s="67"/>
      <c r="G152" s="67"/>
      <c r="H152" s="67"/>
      <c r="I152" s="60">
        <f t="shared" si="5"/>
        <v>3.4000000000000172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2">
        <v>80</v>
      </c>
      <c r="B153" s="63">
        <v>284.60000000000002</v>
      </c>
      <c r="C153" s="92">
        <v>7</v>
      </c>
      <c r="D153" s="63">
        <f>B153</f>
        <v>284.60000000000002</v>
      </c>
      <c r="E153" s="57"/>
      <c r="F153" s="57"/>
      <c r="G153" s="57"/>
      <c r="H153" s="57"/>
      <c r="I153" s="60">
        <f t="shared" si="5"/>
        <v>2.9799999999999955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/>
      <c r="B154" s="53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1"/>
      <c r="B173" s="63"/>
      <c r="C173" s="63"/>
      <c r="D173" s="6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1"/>
      <c r="B174" s="63"/>
      <c r="C174" s="63"/>
      <c r="D174" s="6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1"/>
      <c r="B175" s="63"/>
      <c r="C175" s="63"/>
      <c r="D175" s="6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1"/>
      <c r="B176" s="63"/>
      <c r="C176" s="63"/>
      <c r="D176" s="6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1"/>
      <c r="B177" s="63"/>
      <c r="C177" s="63"/>
      <c r="D177" s="6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1"/>
      <c r="B178" s="63"/>
      <c r="C178" s="63"/>
      <c r="D178" s="6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1"/>
      <c r="B179" s="63"/>
      <c r="C179" s="63"/>
      <c r="D179" s="6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1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1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1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1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1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1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53"/>
      <c r="D192" s="63"/>
      <c r="E192" s="66"/>
      <c r="F192" s="66"/>
      <c r="G192" s="66"/>
      <c r="H192" s="66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53"/>
      <c r="D193" s="63"/>
      <c r="E193" s="66"/>
      <c r="F193" s="66"/>
      <c r="G193" s="66"/>
      <c r="H193" s="66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53"/>
      <c r="D194" s="63"/>
      <c r="E194" s="66"/>
      <c r="F194" s="66"/>
      <c r="G194" s="66"/>
      <c r="H194" s="66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8"/>
      <c r="B195" s="58"/>
      <c r="C195" s="58"/>
      <c r="D195" s="58"/>
      <c r="E195" s="66"/>
      <c r="F195" s="66"/>
      <c r="G195" s="66"/>
      <c r="H195" s="66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8"/>
      <c r="B196" s="58"/>
      <c r="C196" s="58"/>
      <c r="D196" s="58"/>
      <c r="E196" s="66"/>
      <c r="F196" s="66"/>
      <c r="G196" s="66"/>
      <c r="H196" s="66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8"/>
      <c r="B197" s="58"/>
      <c r="C197" s="58"/>
      <c r="D197" s="58"/>
      <c r="E197" s="66"/>
      <c r="F197" s="66"/>
      <c r="G197" s="66"/>
      <c r="H197" s="66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8"/>
      <c r="B198" s="58"/>
      <c r="C198" s="58"/>
      <c r="D198" s="58"/>
      <c r="E198" s="66"/>
      <c r="F198" s="66"/>
      <c r="G198" s="66"/>
      <c r="H198" s="66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8"/>
      <c r="B199" s="58"/>
      <c r="C199" s="58"/>
      <c r="D199" s="58"/>
      <c r="E199" s="66"/>
      <c r="F199" s="66"/>
      <c r="G199" s="66"/>
      <c r="H199" s="66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8"/>
      <c r="B200" s="58"/>
      <c r="C200" s="58"/>
      <c r="D200" s="58"/>
      <c r="E200" s="66"/>
      <c r="F200" s="66"/>
      <c r="G200" s="66"/>
      <c r="H200" s="66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8"/>
      <c r="B201" s="58"/>
      <c r="C201" s="58"/>
      <c r="D201" s="58"/>
      <c r="E201" s="66"/>
      <c r="F201" s="66"/>
      <c r="G201" s="66"/>
      <c r="H201" s="66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8"/>
      <c r="B202" s="58"/>
      <c r="C202" s="58"/>
      <c r="D202" s="58"/>
      <c r="E202" s="66"/>
      <c r="F202" s="66"/>
      <c r="G202" s="66"/>
      <c r="H202" s="66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8"/>
      <c r="B203" s="58"/>
      <c r="C203" s="58"/>
      <c r="D203" s="58"/>
      <c r="E203" s="66"/>
      <c r="F203" s="66"/>
      <c r="G203" s="66"/>
      <c r="H203" s="66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8"/>
      <c r="B204" s="58"/>
      <c r="C204" s="58"/>
      <c r="D204" s="58"/>
      <c r="E204" s="67"/>
      <c r="F204" s="67"/>
      <c r="G204" s="67"/>
      <c r="H204" s="67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92"/>
      <c r="B205" s="63"/>
      <c r="C205" s="92"/>
      <c r="D205" s="63"/>
      <c r="E205" s="57"/>
      <c r="F205" s="57"/>
      <c r="G205" s="57"/>
      <c r="H205" s="57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3" sqref="C23: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pubescent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sessile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rouge d'Amérique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Pin maritime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Châtaignier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476.8965664931755</v>
      </c>
      <c r="T3" s="62">
        <f>IF('Données projet'!E9&gt;30,$R$33-$H$33,LOOKUP('Données projet'!$E$9,$A$3:$A$203,R3:R203)-LOOKUP('Données projet'!$E$9,$A$3:$A$203,$H$3:$H$203))</f>
        <v>254.25036207346591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430.11660085503223</v>
      </c>
      <c r="AO3" s="62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346.7910845218741</v>
      </c>
      <c r="BJ3" s="62">
        <f>IF('Données projet'!E11&gt;30,$BH$33-$H$33,LOOKUP('Données projet'!$E$11,$A$3:$A$203,BH3:BH203)-LOOKUP('Données projet'!$E$11,$A$3:$A$203,$H$3:$H$203))</f>
        <v>469.89734899725369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207.59954777160192</v>
      </c>
      <c r="CE3" s="62">
        <f>IF('Données projet'!E12&gt;30,$CC$33-$H$33,LOOKUP('Données projet'!$E$12,$A$3:$A$203,CC3:CC203)-LOOKUP('Données projet'!$E$12,$A$3:$A$203,$H$3:$H$203))</f>
        <v>314.81017053732063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290.68086183422963</v>
      </c>
      <c r="CZ3" s="62">
        <f>IF('Données projet'!E13&gt;30,$CX$33-$H$33,LOOKUP('Données projet'!$E$13,$A$3:$A$203,CX3:CX203)-LOOKUP('Données projet'!$E$13,$A$3:$A$203,$H$3:$H$203))</f>
        <v>317.88330630101785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260.97628431819578</v>
      </c>
      <c r="S4" s="62">
        <f ca="1">AVERAGE(OFFSET($R$3,0,0,'Données projet'!$E$9+1,1))-AVERAGE(OFFSET($H$3,0,0,'Données projet'!$E$9+1,1))</f>
        <v>476.8965664931755</v>
      </c>
      <c r="T4" s="62">
        <f>$T$3</f>
        <v>254.25036207346591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260.65521412271448</v>
      </c>
      <c r="AN4" s="62">
        <f ca="1">AVERAGE(OFFSET($AM$3,0,0,'Données projet'!$E$10+1,1))-AVERAGE(OFFSET($H$3,0,0,'Données projet'!$E$10+1,1))</f>
        <v>430.11660085503223</v>
      </c>
      <c r="AO4" s="62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5.8</v>
      </c>
      <c r="BD4" s="13">
        <f>IF('Données projet'!$A$88&gt;35,BD3+BC4-BL3,IF(A4&lt;'Données projet'!$A$88,$BA$205^A4,IF(A4='Données projet'!$A$88,'Données projet'!$B$88,BD3+BC4-BL3)))</f>
        <v>1.3467943429205997</v>
      </c>
      <c r="BE4" s="14">
        <f>BD4*VLOOKUP('Données projet'!$B$11,Paramètres!$A$1:$I$89,3,0)*VLOOKUP('Données projet'!$B$11,Paramètres!$A$1:$I$89,5,0)</f>
        <v>1.1765595379754361</v>
      </c>
      <c r="BF4" s="14">
        <f>EXP(-1.0587+0.8836*LN(BE4)+0.284)</f>
        <v>0.53204273185561757</v>
      </c>
      <c r="BG4" s="22">
        <f t="shared" ref="BG4:BG67" si="7">(BE4+BF4)*0.475*44/12</f>
        <v>2.9758156199557515</v>
      </c>
      <c r="BH4" s="62">
        <f t="shared" ref="BH4:BH67" si="8">BG4+(AY4+AZ4)*44/12</f>
        <v>260.86470450884462</v>
      </c>
      <c r="BI4" s="62">
        <f ca="1">AVERAGE(OFFSET($BH$3,0,0,'Données projet'!$E$11+1,1))-AVERAGE(OFFSET($H$3,0,0,'Données projet'!$E$11+1,1))</f>
        <v>346.7910845218741</v>
      </c>
      <c r="BJ4" s="62">
        <f>$BJ$3</f>
        <v>469.89734899725369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5.9239333333333342</v>
      </c>
      <c r="BY4" s="13">
        <f>IF('Données projet'!$A$114&gt;35,BY3+BX4-CG3,IF(A4&lt;'Données projet'!$A$114,$BV$205^A4,IF(A4='Données projet'!$A$114,'Données projet'!$B$114,BY3+BX4-CG3)))</f>
        <v>1.3486940082496366</v>
      </c>
      <c r="BZ4" s="14">
        <f>BY4*VLOOKUP('Données projet'!$B$12,Paramètres!$A$1:$I$89,3,0)*VLOOKUP('Données projet'!$B$12,Paramètres!$A$1:$I$89,5,0)</f>
        <v>0.80651901693328276</v>
      </c>
      <c r="CA4" s="14">
        <f>EXP(-1.0587+0.8836*LN(BZ4)+0.284)</f>
        <v>0.38109805835983329</v>
      </c>
      <c r="CB4" s="22">
        <f t="shared" ref="CB4:CB67" si="10">(BZ4+CA4)*0.475*44/12</f>
        <v>2.0684330728021769</v>
      </c>
      <c r="CC4" s="62">
        <f t="shared" ref="CC4:CC67" si="11">CB4+(BT4+BU4)*44/12</f>
        <v>259.95732196169104</v>
      </c>
      <c r="CD4" s="62">
        <f ca="1">AVERAGE(OFFSET($CC$3,0,0,'Données projet'!$E$12+1,1))-AVERAGE(OFFSET($H$3,0,0,'Données projet'!$E$12+1,1))</f>
        <v>207.59954777160192</v>
      </c>
      <c r="CE4" s="62">
        <f>$CE$3</f>
        <v>314.81017053732063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2.4933333333333332</v>
      </c>
      <c r="CT4" s="13">
        <f>IF('Données projet'!$A$140&gt;35,CT3+CS4-DB3,IF(A4&lt;'Données projet'!$A$140,$CQ$205^A4,IF(A4='Données projet'!$A$140,'Données projet'!$B$140,CT3+CS4-DB3)))</f>
        <v>1.2730870686066207</v>
      </c>
      <c r="CU4" s="18">
        <f>CT4*VLOOKUP('Données projet'!$B$13,Paramètres!$A$1:$I$89,3,0)*VLOOKUP('Données projet'!$B$13,Paramètres!$A$1:$I$89,5,0)</f>
        <v>0.93342743870237421</v>
      </c>
      <c r="CV4" s="14">
        <f>EXP(-1.0587+0.8836*LN(CU4)+0.284)</f>
        <v>0.43362593613342421</v>
      </c>
      <c r="CW4" s="22">
        <f t="shared" ref="CW4:CW67" si="13">(CU4+CV4)*0.475*44/12</f>
        <v>2.3809512945056821</v>
      </c>
      <c r="CX4" s="62">
        <f t="shared" ref="CX4:CX67" si="14">CW4+(CO4+CP4)*44/12</f>
        <v>260.26984018339454</v>
      </c>
      <c r="CY4" s="62">
        <f ca="1">AVERAGE(OFFSET($CX$3,0,0,'Données projet'!$E$13+1,1))-AVERAGE(OFFSET($H$3,0,0,'Données projet'!$E$13+1,1))</f>
        <v>290.68086183422963</v>
      </c>
      <c r="CZ4" s="62">
        <f>$CZ$3</f>
        <v>317.88330630101785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262.80806344386446</v>
      </c>
      <c r="S5" s="62">
        <f ca="1">AVERAGE(OFFSET($R$3,0,0,'Données projet'!$E$9+1,1))-AVERAGE(OFFSET($H$3,0,0,'Données projet'!$E$9+1,1))</f>
        <v>476.8965664931755</v>
      </c>
      <c r="T5" s="62">
        <f t="shared" ref="T5:T68" si="34">$T$3</f>
        <v>254.25036207346591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262.42339882093205</v>
      </c>
      <c r="AN5" s="62">
        <f ca="1">AVERAGE(OFFSET($AM$3,0,0,'Données projet'!$E$10+1,1))-AVERAGE(OFFSET($H$3,0,0,'Données projet'!$E$10+1,1))</f>
        <v>430.11660085503223</v>
      </c>
      <c r="AO5" s="62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5.8</v>
      </c>
      <c r="BD5" s="13">
        <f>IF('Données projet'!$A$88&gt;35,BD4+BC5-BL4,IF(A5&lt;'Données projet'!$A$88,$BA$205^A5,IF(A5='Données projet'!$A$88,'Données projet'!$B$88,BD4+BC5-BL4)))</f>
        <v>1.81385500212293</v>
      </c>
      <c r="BE5" s="14">
        <f>BD5*VLOOKUP('Données projet'!$B$11,Paramètres!$A$1:$I$89,3,0)*VLOOKUP('Données projet'!$B$11,Paramètres!$A$1:$I$89,5,0)</f>
        <v>1.5845837298545919</v>
      </c>
      <c r="BF5" s="14">
        <f t="shared" ref="BF5:BF68" si="37">EXP(-1.0587+0.8836*LN(BE5)+0.284)</f>
        <v>0.69214506839939893</v>
      </c>
      <c r="BG5" s="22">
        <f t="shared" si="7"/>
        <v>3.9653026569590337</v>
      </c>
      <c r="BH5" s="62">
        <f t="shared" si="8"/>
        <v>263.07641376807015</v>
      </c>
      <c r="BI5" s="62">
        <f ca="1">AVERAGE(OFFSET($BH$3,0,0,'Données projet'!$E$11+1,1))-AVERAGE(OFFSET($H$3,0,0,'Données projet'!$E$11+1,1))</f>
        <v>346.7910845218741</v>
      </c>
      <c r="BJ5" s="62">
        <f t="shared" ref="BJ5:BJ68" si="38">$BJ$3</f>
        <v>469.89734899725369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5.9239333333333342</v>
      </c>
      <c r="BY5" s="13">
        <f>IF('Données projet'!$A$114&gt;35,BY4+BX5-CG4,IF(A5&lt;'Données projet'!$A$114,$BV$205^A5,IF(A5='Données projet'!$A$114,'Données projet'!$B$114,BY4+BX5-CG4)))</f>
        <v>1.8189755278884707</v>
      </c>
      <c r="BZ5" s="14">
        <f>BY5*VLOOKUP('Données projet'!$B$12,Paramètres!$A$1:$I$89,3,0)*VLOOKUP('Données projet'!$B$12,Paramètres!$A$1:$I$89,5,0)</f>
        <v>1.0877473656773056</v>
      </c>
      <c r="CA5" s="14">
        <f t="shared" ref="CA5:CA68" si="39">EXP(-1.0587+0.8836*LN(BZ5)+0.284)</f>
        <v>0.49639596332960717</v>
      </c>
      <c r="CB5" s="22">
        <f t="shared" si="10"/>
        <v>2.7590496313537063</v>
      </c>
      <c r="CC5" s="62">
        <f t="shared" si="11"/>
        <v>261.87016074246486</v>
      </c>
      <c r="CD5" s="62">
        <f ca="1">AVERAGE(OFFSET($CC$3,0,0,'Données projet'!$E$12+1,1))-AVERAGE(OFFSET($H$3,0,0,'Données projet'!$E$12+1,1))</f>
        <v>207.59954777160192</v>
      </c>
      <c r="CE5" s="62">
        <f t="shared" ref="CE5:CE68" si="40">$CE$3</f>
        <v>314.81017053732063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2.4933333333333332</v>
      </c>
      <c r="CT5" s="13">
        <f>IF('Données projet'!$A$140&gt;35,CT4+CS5-DB4,IF(A5&lt;'Données projet'!$A$140,$CQ$205^A5,IF(A5='Données projet'!$A$140,'Données projet'!$B$140,CT4+CS5-DB4)))</f>
        <v>1.6207506842533985</v>
      </c>
      <c r="CU5" s="18">
        <f>CT5*VLOOKUP('Données projet'!$B$13,Paramètres!$A$1:$I$89,3,0)*VLOOKUP('Données projet'!$B$13,Paramètres!$A$1:$I$89,5,0)</f>
        <v>1.1883344016945918</v>
      </c>
      <c r="CV5" s="14">
        <f t="shared" ref="CV5:CV68" si="41">EXP(-1.0587+0.8836*LN(CU5)+0.284)</f>
        <v>0.5367448345281679</v>
      </c>
      <c r="CW5" s="22">
        <f t="shared" si="13"/>
        <v>3.0045130030879732</v>
      </c>
      <c r="CX5" s="62">
        <f t="shared" si="14"/>
        <v>262.11562411419914</v>
      </c>
      <c r="CY5" s="62">
        <f ca="1">AVERAGE(OFFSET($CX$3,0,0,'Données projet'!$E$13+1,1))-AVERAGE(OFFSET($H$3,0,0,'Données projet'!$E$13+1,1))</f>
        <v>290.68086183422963</v>
      </c>
      <c r="CZ5" s="62">
        <f t="shared" ref="CZ5:CZ68" si="42">$CZ$3</f>
        <v>317.88330630101785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264.76063455825545</v>
      </c>
      <c r="S6" s="62">
        <f ca="1">AVERAGE(OFFSET($R$3,0,0,'Données projet'!$E$9+1,1))-AVERAGE(OFFSET($H$3,0,0,'Données projet'!$E$9+1,1))</f>
        <v>476.8965664931755</v>
      </c>
      <c r="T6" s="62">
        <f t="shared" si="34"/>
        <v>254.25036207346591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264.29973523978072</v>
      </c>
      <c r="AN6" s="62">
        <f ca="1">AVERAGE(OFFSET($AM$3,0,0,'Données projet'!$E$10+1,1))-AVERAGE(OFFSET($H$3,0,0,'Données projet'!$E$10+1,1))</f>
        <v>430.11660085503223</v>
      </c>
      <c r="AO6" s="62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5.8</v>
      </c>
      <c r="BD6" s="13">
        <f>IF('Données projet'!$A$88&gt;35,BD5+BC6-BL5,IF(A6&lt;'Données projet'!$A$88,$BA$205^A6,IF(A6='Données projet'!$A$88,'Données projet'!$B$88,BD5+BC6-BL5)))</f>
        <v>2.4428896557373947</v>
      </c>
      <c r="BE6" s="14">
        <f>BD6*VLOOKUP('Données projet'!$B$11,Paramètres!$A$1:$I$89,3,0)*VLOOKUP('Données projet'!$B$11,Paramètres!$A$1:$I$89,5,0)</f>
        <v>2.1341084032521884</v>
      </c>
      <c r="BF6" s="14">
        <f t="shared" si="37"/>
        <v>0.90042541139273424</v>
      </c>
      <c r="BG6" s="22">
        <f t="shared" si="7"/>
        <v>5.2851463938399075</v>
      </c>
      <c r="BH6" s="62">
        <f t="shared" si="8"/>
        <v>265.61847972717322</v>
      </c>
      <c r="BI6" s="62">
        <f ca="1">AVERAGE(OFFSET($BH$3,0,0,'Données projet'!$E$11+1,1))-AVERAGE(OFFSET($H$3,0,0,'Données projet'!$E$11+1,1))</f>
        <v>346.7910845218741</v>
      </c>
      <c r="BJ6" s="62">
        <f t="shared" si="38"/>
        <v>469.89734899725369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5.9239333333333342</v>
      </c>
      <c r="BY6" s="13">
        <f>IF('Données projet'!$A$114&gt;35,BY5+BX6-CG5,IF(A6&lt;'Données projet'!$A$114,$BV$205^A6,IF(A6='Données projet'!$A$114,'Données projet'!$B$114,BY5+BX6-CG5)))</f>
        <v>2.4532413956159003</v>
      </c>
      <c r="BZ6" s="14">
        <f>BY6*VLOOKUP('Données projet'!$B$12,Paramètres!$A$1:$I$89,3,0)*VLOOKUP('Données projet'!$B$12,Paramètres!$A$1:$I$89,5,0)</f>
        <v>1.4670383545783083</v>
      </c>
      <c r="CA6" s="14">
        <f t="shared" si="39"/>
        <v>0.64657624725358487</v>
      </c>
      <c r="CB6" s="22">
        <f t="shared" si="10"/>
        <v>3.6812120981905476</v>
      </c>
      <c r="CC6" s="62">
        <f t="shared" si="11"/>
        <v>264.01454543152386</v>
      </c>
      <c r="CD6" s="62">
        <f ca="1">AVERAGE(OFFSET($CC$3,0,0,'Données projet'!$E$12+1,1))-AVERAGE(OFFSET($H$3,0,0,'Données projet'!$E$12+1,1))</f>
        <v>207.59954777160192</v>
      </c>
      <c r="CE6" s="62">
        <f t="shared" si="40"/>
        <v>314.81017053732063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2.4933333333333332</v>
      </c>
      <c r="CT6" s="13">
        <f>IF('Données projet'!$A$140&gt;35,CT5+CS6-DB5,IF(A6&lt;'Données projet'!$A$140,$CQ$205^A6,IF(A6='Données projet'!$A$140,'Données projet'!$B$140,CT5+CS6-DB5)))</f>
        <v>2.0633567375583337</v>
      </c>
      <c r="CU6" s="18">
        <f>CT6*VLOOKUP('Données projet'!$B$13,Paramètres!$A$1:$I$89,3,0)*VLOOKUP('Données projet'!$B$13,Paramètres!$A$1:$I$89,5,0)</f>
        <v>1.5128531599777704</v>
      </c>
      <c r="CV6" s="14">
        <f t="shared" si="41"/>
        <v>0.66438603733339674</v>
      </c>
      <c r="CW6" s="22">
        <f t="shared" si="13"/>
        <v>3.7920249353169493</v>
      </c>
      <c r="CX6" s="62">
        <f t="shared" si="14"/>
        <v>264.12535826865025</v>
      </c>
      <c r="CY6" s="62">
        <f ca="1">AVERAGE(OFFSET($CX$3,0,0,'Données projet'!$E$13+1,1))-AVERAGE(OFFSET($H$3,0,0,'Données projet'!$E$13+1,1))</f>
        <v>290.68086183422963</v>
      </c>
      <c r="CZ6" s="62">
        <f t="shared" si="42"/>
        <v>317.88330630101785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266.8580173405054</v>
      </c>
      <c r="S7" s="62">
        <f ca="1">AVERAGE(OFFSET($R$3,0,0,'Données projet'!$E$9+1,1))-AVERAGE(OFFSET($H$3,0,0,'Données projet'!$E$9+1,1))</f>
        <v>476.8965664931755</v>
      </c>
      <c r="T7" s="62">
        <f t="shared" si="34"/>
        <v>254.25036207346591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266.30572241486152</v>
      </c>
      <c r="AN7" s="62">
        <f ca="1">AVERAGE(OFFSET($AM$3,0,0,'Données projet'!$E$10+1,1))-AVERAGE(OFFSET($H$3,0,0,'Données projet'!$E$10+1,1))</f>
        <v>430.11660085503223</v>
      </c>
      <c r="AO7" s="62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5.8</v>
      </c>
      <c r="BD7" s="13">
        <f>IF('Données projet'!$A$88&gt;35,BD6+BC7-BL6,IF(A7&lt;'Données projet'!$A$88,$BA$205^A7,IF(A7='Données projet'!$A$88,'Données projet'!$B$88,BD6+BC7-BL6)))</f>
        <v>3.2900699687263746</v>
      </c>
      <c r="BE7" s="14">
        <f>BD7*VLOOKUP('Données projet'!$B$11,Paramètres!$A$1:$I$89,3,0)*VLOOKUP('Données projet'!$B$11,Paramètres!$A$1:$I$89,5,0)</f>
        <v>2.874205124679361</v>
      </c>
      <c r="BF7" s="14">
        <f t="shared" si="37"/>
        <v>1.1713814899478936</v>
      </c>
      <c r="BG7" s="22">
        <f t="shared" si="7"/>
        <v>7.0460633538091342</v>
      </c>
      <c r="BH7" s="62">
        <f t="shared" si="8"/>
        <v>268.60161890936467</v>
      </c>
      <c r="BI7" s="62">
        <f ca="1">AVERAGE(OFFSET($BH$3,0,0,'Données projet'!$E$11+1,1))-AVERAGE(OFFSET($H$3,0,0,'Données projet'!$E$11+1,1))</f>
        <v>346.7910845218741</v>
      </c>
      <c r="BJ7" s="62">
        <f t="shared" si="38"/>
        <v>469.89734899725369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5.9239333333333342</v>
      </c>
      <c r="BY7" s="13">
        <f>IF('Données projet'!$A$114&gt;35,BY6+BX7-CG6,IF(A7&lt;'Données projet'!$A$114,$BV$205^A7,IF(A7='Données projet'!$A$114,'Données projet'!$B$114,BY6+BX7-CG6)))</f>
        <v>3.3086719710571408</v>
      </c>
      <c r="BZ7" s="14">
        <f>BY7*VLOOKUP('Données projet'!$B$12,Paramètres!$A$1:$I$89,3,0)*VLOOKUP('Données projet'!$B$12,Paramètres!$A$1:$I$89,5,0)</f>
        <v>1.9785858386921704</v>
      </c>
      <c r="CA7" s="14">
        <f t="shared" si="39"/>
        <v>0.84219227067915603</v>
      </c>
      <c r="CB7" s="22">
        <f t="shared" si="10"/>
        <v>4.9128552071550606</v>
      </c>
      <c r="CC7" s="62">
        <f t="shared" si="11"/>
        <v>266.46841076271062</v>
      </c>
      <c r="CD7" s="62">
        <f ca="1">AVERAGE(OFFSET($CC$3,0,0,'Données projet'!$E$12+1,1))-AVERAGE(OFFSET($H$3,0,0,'Données projet'!$E$12+1,1))</f>
        <v>207.59954777160192</v>
      </c>
      <c r="CE7" s="62">
        <f t="shared" si="40"/>
        <v>314.81017053732063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2.4933333333333332</v>
      </c>
      <c r="CT7" s="13">
        <f>IF('Données projet'!$A$140&gt;35,CT6+CS7-DB6,IF(A7&lt;'Données projet'!$A$140,$CQ$205^A7,IF(A7='Données projet'!$A$140,'Données projet'!$B$140,CT6+CS7-DB6)))</f>
        <v>2.6268327805078595</v>
      </c>
      <c r="CU7" s="18">
        <f>CT7*VLOOKUP('Données projet'!$B$13,Paramètres!$A$1:$I$89,3,0)*VLOOKUP('Données projet'!$B$13,Paramètres!$A$1:$I$89,5,0)</f>
        <v>1.9259937946683627</v>
      </c>
      <c r="CV7" s="14">
        <f t="shared" si="41"/>
        <v>0.82238109844429064</v>
      </c>
      <c r="CW7" s="22">
        <f t="shared" si="13"/>
        <v>4.7867529388378705</v>
      </c>
      <c r="CX7" s="62">
        <f t="shared" si="14"/>
        <v>266.34230849439342</v>
      </c>
      <c r="CY7" s="62">
        <f ca="1">AVERAGE(OFFSET($CX$3,0,0,'Données projet'!$E$13+1,1))-AVERAGE(OFFSET($H$3,0,0,'Données projet'!$E$13+1,1))</f>
        <v>290.68086183422963</v>
      </c>
      <c r="CZ7" s="62">
        <f t="shared" si="42"/>
        <v>317.88330630101785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269.12902329365244</v>
      </c>
      <c r="S8" s="62">
        <f ca="1">AVERAGE(OFFSET($R$3,0,0,'Données projet'!$E$9+1,1))-AVERAGE(OFFSET($H$3,0,0,'Données projet'!$E$9+1,1))</f>
        <v>476.8965664931755</v>
      </c>
      <c r="T8" s="62">
        <f t="shared" si="34"/>
        <v>254.25036207346591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268.46714702955143</v>
      </c>
      <c r="AN8" s="62">
        <f ca="1">AVERAGE(OFFSET($AM$3,0,0,'Données projet'!$E$10+1,1))-AVERAGE(OFFSET($H$3,0,0,'Données projet'!$E$10+1,1))</f>
        <v>430.11660085503223</v>
      </c>
      <c r="AO8" s="62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5.8</v>
      </c>
      <c r="BD8" s="13">
        <f>IF('Données projet'!$A$88&gt;35,BD7+BC8-BL7,IF(A8&lt;'Données projet'!$A$88,$BA$205^A8,IF(A8='Données projet'!$A$88,'Données projet'!$B$88,BD7+BC8-BL7)))</f>
        <v>4.4310476216936356</v>
      </c>
      <c r="BE8" s="14">
        <f>BD8*VLOOKUP('Données projet'!$B$11,Paramètres!$A$1:$I$89,3,0)*VLOOKUP('Données projet'!$B$11,Paramètres!$A$1:$I$89,5,0)</f>
        <v>3.8709632023115605</v>
      </c>
      <c r="BF8" s="14">
        <f t="shared" si="37"/>
        <v>1.5238736908481918</v>
      </c>
      <c r="BG8" s="22">
        <f t="shared" si="7"/>
        <v>9.3960075889199022</v>
      </c>
      <c r="BH8" s="62">
        <f t="shared" si="8"/>
        <v>272.1737853666977</v>
      </c>
      <c r="BI8" s="62">
        <f ca="1">AVERAGE(OFFSET($BH$3,0,0,'Données projet'!$E$11+1,1))-AVERAGE(OFFSET($H$3,0,0,'Données projet'!$E$11+1,1))</f>
        <v>346.7910845218741</v>
      </c>
      <c r="BJ8" s="62">
        <f t="shared" si="38"/>
        <v>469.89734899725369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5.9239333333333342</v>
      </c>
      <c r="BY8" s="13">
        <f>IF('Données projet'!$A$114&gt;35,BY7+BX8-CG7,IF(A8&lt;'Données projet'!$A$114,$BV$205^A8,IF(A8='Données projet'!$A$114,'Données projet'!$B$114,BY7+BX8-CG7)))</f>
        <v>4.4623860626282807</v>
      </c>
      <c r="BZ8" s="14">
        <f>BY8*VLOOKUP('Données projet'!$B$12,Paramètres!$A$1:$I$89,3,0)*VLOOKUP('Données projet'!$B$12,Paramètres!$A$1:$I$89,5,0)</f>
        <v>2.6685068654517123</v>
      </c>
      <c r="CA8" s="14">
        <f t="shared" si="39"/>
        <v>1.0969902216552236</v>
      </c>
      <c r="CB8" s="22">
        <f t="shared" si="10"/>
        <v>6.5582407600445798</v>
      </c>
      <c r="CC8" s="62">
        <f t="shared" si="11"/>
        <v>269.33601853782233</v>
      </c>
      <c r="CD8" s="62">
        <f ca="1">AVERAGE(OFFSET($CC$3,0,0,'Données projet'!$E$12+1,1))-AVERAGE(OFFSET($H$3,0,0,'Données projet'!$E$12+1,1))</f>
        <v>207.59954777160192</v>
      </c>
      <c r="CE8" s="62">
        <f t="shared" si="40"/>
        <v>314.81017053732063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2.4933333333333332</v>
      </c>
      <c r="CT8" s="13">
        <f>IF('Données projet'!$A$140&gt;35,CT7+CS8-DB7,IF(A8&lt;'Données projet'!$A$140,$CQ$205^A8,IF(A8='Données projet'!$A$140,'Données projet'!$B$140,CT7+CS8-DB7)))</f>
        <v>3.3441868442565297</v>
      </c>
      <c r="CU8" s="18">
        <f>CT8*VLOOKUP('Données projet'!$B$13,Paramètres!$A$1:$I$89,3,0)*VLOOKUP('Données projet'!$B$13,Paramètres!$A$1:$I$89,5,0)</f>
        <v>2.4519577942088877</v>
      </c>
      <c r="CV8" s="14">
        <f t="shared" si="41"/>
        <v>1.017948350920953</v>
      </c>
      <c r="CW8" s="22">
        <f t="shared" si="13"/>
        <v>6.0434198694344721</v>
      </c>
      <c r="CX8" s="62">
        <f t="shared" si="14"/>
        <v>268.82119764721222</v>
      </c>
      <c r="CY8" s="62">
        <f ca="1">AVERAGE(OFFSET($CX$3,0,0,'Données projet'!$E$13+1,1))-AVERAGE(OFFSET($H$3,0,0,'Données projet'!$E$13+1,1))</f>
        <v>290.68086183422963</v>
      </c>
      <c r="CZ8" s="62">
        <f t="shared" si="42"/>
        <v>317.88330630101785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271.60821456387049</v>
      </c>
      <c r="S9" s="62">
        <f ca="1">AVERAGE(OFFSET($R$3,0,0,'Données projet'!$E$9+1,1))-AVERAGE(OFFSET($H$3,0,0,'Données projet'!$E$9+1,1))</f>
        <v>476.8965664931755</v>
      </c>
      <c r="T9" s="62">
        <f t="shared" si="34"/>
        <v>254.25036207346591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270.81494110736412</v>
      </c>
      <c r="AN9" s="62">
        <f ca="1">AVERAGE(OFFSET($AM$3,0,0,'Données projet'!$E$10+1,1))-AVERAGE(OFFSET($H$3,0,0,'Données projet'!$E$10+1,1))</f>
        <v>430.11660085503223</v>
      </c>
      <c r="AO9" s="62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5.8</v>
      </c>
      <c r="BD9" s="13">
        <f>IF('Données projet'!$A$88&gt;35,BD8+BC9-BL8,IF(A9&lt;'Données projet'!$A$88,$BA$205^A9,IF(A9='Données projet'!$A$88,'Données projet'!$B$88,BD8+BC9-BL8)))</f>
        <v>5.9677098701087665</v>
      </c>
      <c r="BE9" s="14">
        <f>BD9*VLOOKUP('Données projet'!$B$11,Paramètres!$A$1:$I$89,3,0)*VLOOKUP('Données projet'!$B$11,Paramètres!$A$1:$I$89,5,0)</f>
        <v>5.2133913425270189</v>
      </c>
      <c r="BF9" s="14">
        <f t="shared" si="37"/>
        <v>1.9824378698032765</v>
      </c>
      <c r="BG9" s="22">
        <f t="shared" si="7"/>
        <v>12.53273587814193</v>
      </c>
      <c r="BH9" s="62">
        <f t="shared" si="8"/>
        <v>276.53273587814192</v>
      </c>
      <c r="BI9" s="62">
        <f ca="1">AVERAGE(OFFSET($BH$3,0,0,'Données projet'!$E$11+1,1))-AVERAGE(OFFSET($H$3,0,0,'Données projet'!$E$11+1,1))</f>
        <v>346.7910845218741</v>
      </c>
      <c r="BJ9" s="62">
        <f t="shared" si="38"/>
        <v>469.89734899725369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5.9239333333333342</v>
      </c>
      <c r="BY9" s="13">
        <f>IF('Données projet'!$A$114&gt;35,BY8+BX9-CG8,IF(A9&lt;'Données projet'!$A$114,$BV$205^A9,IF(A9='Données projet'!$A$114,'Données projet'!$B$114,BY8+BX9-CG8)))</f>
        <v>6.0183933451634495</v>
      </c>
      <c r="BZ9" s="14">
        <f>BY9*VLOOKUP('Données projet'!$B$12,Paramètres!$A$1:$I$89,3,0)*VLOOKUP('Données projet'!$B$12,Paramètres!$A$1:$I$89,5,0)</f>
        <v>3.5989992204077432</v>
      </c>
      <c r="CA9" s="14">
        <f t="shared" si="39"/>
        <v>1.4288750779400385</v>
      </c>
      <c r="CB9" s="22">
        <f t="shared" si="10"/>
        <v>8.756881069622386</v>
      </c>
      <c r="CC9" s="62">
        <f t="shared" si="11"/>
        <v>272.75688106962241</v>
      </c>
      <c r="CD9" s="62">
        <f ca="1">AVERAGE(OFFSET($CC$3,0,0,'Données projet'!$E$12+1,1))-AVERAGE(OFFSET($H$3,0,0,'Données projet'!$E$12+1,1))</f>
        <v>207.59954777160192</v>
      </c>
      <c r="CE9" s="62">
        <f t="shared" si="40"/>
        <v>314.81017053732063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2.4933333333333332</v>
      </c>
      <c r="CT9" s="13">
        <f>IF('Données projet'!$A$140&gt;35,CT8+CS9-DB8,IF(A9&lt;'Données projet'!$A$140,$CQ$205^A9,IF(A9='Données projet'!$A$140,'Données projet'!$B$140,CT8+CS9-DB8)))</f>
        <v>4.2574410264273705</v>
      </c>
      <c r="CU9" s="18">
        <f>CT9*VLOOKUP('Données projet'!$B$13,Paramètres!$A$1:$I$89,3,0)*VLOOKUP('Données projet'!$B$13,Paramètres!$A$1:$I$89,5,0)</f>
        <v>3.1215557605765478</v>
      </c>
      <c r="CV9" s="14">
        <f t="shared" si="41"/>
        <v>1.2600226915512978</v>
      </c>
      <c r="CW9" s="22">
        <f t="shared" si="13"/>
        <v>7.6312491374559963</v>
      </c>
      <c r="CX9" s="62">
        <f t="shared" si="14"/>
        <v>271.631249137456</v>
      </c>
      <c r="CY9" s="62">
        <f ca="1">AVERAGE(OFFSET($CX$3,0,0,'Données projet'!$E$13+1,1))-AVERAGE(OFFSET($H$3,0,0,'Données projet'!$E$13+1,1))</f>
        <v>290.68086183422963</v>
      </c>
      <c r="CZ9" s="62">
        <f t="shared" si="42"/>
        <v>317.88330630101785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274.33705514539406</v>
      </c>
      <c r="S10" s="62">
        <f ca="1">AVERAGE(OFFSET($R$3,0,0,'Données projet'!$E$9+1,1))-AVERAGE(OFFSET($H$3,0,0,'Données projet'!$E$9+1,1))</f>
        <v>476.8965664931755</v>
      </c>
      <c r="T10" s="62">
        <f t="shared" si="34"/>
        <v>254.25036207346591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273.38621175408076</v>
      </c>
      <c r="AN10" s="62">
        <f ca="1">AVERAGE(OFFSET($AM$3,0,0,'Données projet'!$E$10+1,1))-AVERAGE(OFFSET($H$3,0,0,'Données projet'!$E$10+1,1))</f>
        <v>430.11660085503223</v>
      </c>
      <c r="AO10" s="62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5.8</v>
      </c>
      <c r="BD10" s="13">
        <f>IF('Données projet'!$A$88&gt;35,BD9+BC10-BL9,IF(A10&lt;'Données projet'!$A$88,$BA$205^A10,IF(A10='Données projet'!$A$88,'Données projet'!$B$88,BD9+BC10-BL9)))</f>
        <v>8.0372778932539148</v>
      </c>
      <c r="BE10" s="14">
        <f>BD10*VLOOKUP('Données projet'!$B$11,Paramètres!$A$1:$I$89,3,0)*VLOOKUP('Données projet'!$B$11,Paramètres!$A$1:$I$89,5,0)</f>
        <v>7.0213659675466209</v>
      </c>
      <c r="BF10" s="14">
        <f t="shared" si="37"/>
        <v>2.5789932139603198</v>
      </c>
      <c r="BG10" s="22">
        <f t="shared" si="7"/>
        <v>16.72062557445792</v>
      </c>
      <c r="BH10" s="62">
        <f t="shared" si="8"/>
        <v>281.94284779668016</v>
      </c>
      <c r="BI10" s="62">
        <f ca="1">AVERAGE(OFFSET($BH$3,0,0,'Données projet'!$E$11+1,1))-AVERAGE(OFFSET($H$3,0,0,'Données projet'!$E$11+1,1))</f>
        <v>346.7910845218741</v>
      </c>
      <c r="BJ10" s="62">
        <f t="shared" si="38"/>
        <v>469.89734899725369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5.9239333333333342</v>
      </c>
      <c r="BY10" s="13">
        <f>IF('Données projet'!$A$114&gt;35,BY9+BX10-CG9,IF(A10&lt;'Données projet'!$A$114,$BV$205^A10,IF(A10='Données projet'!$A$114,'Données projet'!$B$114,BY9+BX10-CG9)))</f>
        <v>8.1169710439114322</v>
      </c>
      <c r="BZ10" s="14">
        <f>BY10*VLOOKUP('Données projet'!$B$12,Paramètres!$A$1:$I$89,3,0)*VLOOKUP('Données projet'!$B$12,Paramètres!$A$1:$I$89,5,0)</f>
        <v>4.8539486842590369</v>
      </c>
      <c r="CA10" s="14">
        <f t="shared" si="39"/>
        <v>1.8611688126786579</v>
      </c>
      <c r="CB10" s="22">
        <f t="shared" si="10"/>
        <v>11.695496307166485</v>
      </c>
      <c r="CC10" s="62">
        <f t="shared" si="11"/>
        <v>276.91771852938871</v>
      </c>
      <c r="CD10" s="62">
        <f ca="1">AVERAGE(OFFSET($CC$3,0,0,'Données projet'!$E$12+1,1))-AVERAGE(OFFSET($H$3,0,0,'Données projet'!$E$12+1,1))</f>
        <v>207.59954777160192</v>
      </c>
      <c r="CE10" s="62">
        <f t="shared" si="40"/>
        <v>314.81017053732063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2.4933333333333332</v>
      </c>
      <c r="CT10" s="13">
        <f>IF('Données projet'!$A$140&gt;35,CT9+CS10-DB9,IF(A10&lt;'Données projet'!$A$140,$CQ$205^A10,IF(A10='Données projet'!$A$140,'Données projet'!$B$140,CT9+CS10-DB9)))</f>
        <v>5.4200931160999835</v>
      </c>
      <c r="CU10" s="18">
        <f>CT10*VLOOKUP('Données projet'!$B$13,Paramètres!$A$1:$I$89,3,0)*VLOOKUP('Données projet'!$B$13,Paramètres!$A$1:$I$89,5,0)</f>
        <v>3.974012272724508</v>
      </c>
      <c r="CV10" s="14">
        <f t="shared" si="41"/>
        <v>1.5596637901989818</v>
      </c>
      <c r="CW10" s="22">
        <f t="shared" si="13"/>
        <v>9.6378191429250784</v>
      </c>
      <c r="CX10" s="62">
        <f t="shared" si="14"/>
        <v>274.86004136514731</v>
      </c>
      <c r="CY10" s="62">
        <f ca="1">AVERAGE(OFFSET($CX$3,0,0,'Données projet'!$E$13+1,1))-AVERAGE(OFFSET($H$3,0,0,'Données projet'!$E$13+1,1))</f>
        <v>290.68086183422963</v>
      </c>
      <c r="CZ10" s="62">
        <f t="shared" si="42"/>
        <v>317.88330630101785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277.36529317093459</v>
      </c>
      <c r="S11" s="62">
        <f ca="1">AVERAGE(OFFSET($R$3,0,0,'Données projet'!$E$9+1,1))-AVERAGE(OFFSET($H$3,0,0,'Données projet'!$E$9+1,1))</f>
        <v>476.8965664931755</v>
      </c>
      <c r="T11" s="62">
        <f t="shared" si="34"/>
        <v>254.25036207346591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276.22547755046565</v>
      </c>
      <c r="AN11" s="62">
        <f ca="1">AVERAGE(OFFSET($AM$3,0,0,'Données projet'!$E$10+1,1))-AVERAGE(OFFSET($H$3,0,0,'Données projet'!$E$10+1,1))</f>
        <v>430.11660085503223</v>
      </c>
      <c r="AO11" s="62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5.8</v>
      </c>
      <c r="BD11" s="13">
        <f>IF('Données projet'!$A$88&gt;35,BD10+BC11-BL10,IF(A11&lt;'Données projet'!$A$88,$BA$205^A11,IF(A11='Données projet'!$A$88,'Données projet'!$B$88,BD10+BC11-BL10)))</f>
        <v>10.824560399115168</v>
      </c>
      <c r="BE11" s="14">
        <f>BD11*VLOOKUP('Données projet'!$B$11,Paramètres!$A$1:$I$89,3,0)*VLOOKUP('Données projet'!$B$11,Paramètres!$A$1:$I$89,5,0)</f>
        <v>9.4563359646670122</v>
      </c>
      <c r="BF11" s="14">
        <f t="shared" si="37"/>
        <v>3.3550640345230081</v>
      </c>
      <c r="BG11" s="22">
        <f t="shared" si="7"/>
        <v>22.313188331922618</v>
      </c>
      <c r="BH11" s="62">
        <f t="shared" si="8"/>
        <v>288.75763277636707</v>
      </c>
      <c r="BI11" s="62">
        <f ca="1">AVERAGE(OFFSET($BH$3,0,0,'Données projet'!$E$11+1,1))-AVERAGE(OFFSET($H$3,0,0,'Données projet'!$E$11+1,1))</f>
        <v>346.7910845218741</v>
      </c>
      <c r="BJ11" s="62">
        <f t="shared" si="38"/>
        <v>469.89734899725369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5.9239333333333342</v>
      </c>
      <c r="BY11" s="13">
        <f>IF('Données projet'!$A$114&gt;35,BY10+BX11-CG10,IF(A11&lt;'Données projet'!$A$114,$BV$205^A11,IF(A11='Données projet'!$A$114,'Données projet'!$B$114,BY10+BX11-CG10)))</f>
        <v>10.947310212059145</v>
      </c>
      <c r="BZ11" s="14">
        <f>BY11*VLOOKUP('Données projet'!$B$12,Paramètres!$A$1:$I$89,3,0)*VLOOKUP('Données projet'!$B$12,Paramètres!$A$1:$I$89,5,0)</f>
        <v>6.5464915068113694</v>
      </c>
      <c r="CA11" s="14">
        <f t="shared" si="39"/>
        <v>2.4242492592715283</v>
      </c>
      <c r="CB11" s="22">
        <f t="shared" si="10"/>
        <v>15.624040167594378</v>
      </c>
      <c r="CC11" s="62">
        <f t="shared" si="11"/>
        <v>282.06848461203884</v>
      </c>
      <c r="CD11" s="62">
        <f ca="1">AVERAGE(OFFSET($CC$3,0,0,'Données projet'!$E$12+1,1))-AVERAGE(OFFSET($H$3,0,0,'Données projet'!$E$12+1,1))</f>
        <v>207.59954777160192</v>
      </c>
      <c r="CE11" s="62">
        <f t="shared" si="40"/>
        <v>314.81017053732063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2.4933333333333332</v>
      </c>
      <c r="CT11" s="13">
        <f>IF('Données projet'!$A$140&gt;35,CT10+CS11-DB10,IF(A11&lt;'Données projet'!$A$140,$CQ$205^A11,IF(A11='Données projet'!$A$140,'Données projet'!$B$140,CT10+CS11-DB10)))</f>
        <v>6.9002504567506522</v>
      </c>
      <c r="CU11" s="18">
        <f>CT11*VLOOKUP('Données projet'!$B$13,Paramètres!$A$1:$I$89,3,0)*VLOOKUP('Données projet'!$B$13,Paramètres!$A$1:$I$89,5,0)</f>
        <v>5.0592636348895788</v>
      </c>
      <c r="CV11" s="14">
        <f t="shared" si="41"/>
        <v>1.9305613738296874</v>
      </c>
      <c r="CW11" s="22">
        <f t="shared" si="13"/>
        <v>12.173945223519388</v>
      </c>
      <c r="CX11" s="62">
        <f t="shared" si="14"/>
        <v>278.61838966796387</v>
      </c>
      <c r="CY11" s="62">
        <f ca="1">AVERAGE(OFFSET($CX$3,0,0,'Données projet'!$E$13+1,1))-AVERAGE(OFFSET($H$3,0,0,'Données projet'!$E$13+1,1))</f>
        <v>290.68086183422963</v>
      </c>
      <c r="CZ11" s="62">
        <f t="shared" si="42"/>
        <v>317.88330630101785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280.75262079014198</v>
      </c>
      <c r="S12" s="62">
        <f ca="1">AVERAGE(OFFSET($R$3,0,0,'Données projet'!$E$9+1,1))-AVERAGE(OFFSET($H$3,0,0,'Données projet'!$E$9+1,1))</f>
        <v>476.8965664931755</v>
      </c>
      <c r="T12" s="62">
        <f t="shared" si="34"/>
        <v>254.25036207346591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279.38615317116773</v>
      </c>
      <c r="AN12" s="62">
        <f ca="1">AVERAGE(OFFSET($AM$3,0,0,'Données projet'!$E$10+1,1))-AVERAGE(OFFSET($H$3,0,0,'Données projet'!$E$10+1,1))</f>
        <v>430.11660085503223</v>
      </c>
      <c r="AO12" s="62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5.8</v>
      </c>
      <c r="BD12" s="13">
        <f>IF('Données projet'!$A$88&gt;35,BD11+BC12-BL11,IF(A12&lt;'Données projet'!$A$88,$BA$205^A12,IF(A12='Données projet'!$A$88,'Données projet'!$B$88,BD11+BC12-BL11)))</f>
        <v>14.578456710130657</v>
      </c>
      <c r="BE12" s="14">
        <f>BD12*VLOOKUP('Données projet'!$B$11,Paramètres!$A$1:$I$89,3,0)*VLOOKUP('Données projet'!$B$11,Paramètres!$A$1:$I$89,5,0)</f>
        <v>12.735739781970144</v>
      </c>
      <c r="BF12" s="14">
        <f t="shared" si="37"/>
        <v>4.364670141362768</v>
      </c>
      <c r="BG12" s="22">
        <f t="shared" si="7"/>
        <v>29.783213949804821</v>
      </c>
      <c r="BH12" s="62">
        <f t="shared" si="8"/>
        <v>297.44988061647149</v>
      </c>
      <c r="BI12" s="62">
        <f ca="1">AVERAGE(OFFSET($BH$3,0,0,'Données projet'!$E$11+1,1))-AVERAGE(OFFSET($H$3,0,0,'Données projet'!$E$11+1,1))</f>
        <v>346.7910845218741</v>
      </c>
      <c r="BJ12" s="62">
        <f t="shared" si="38"/>
        <v>469.89734899725369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5.9239333333333342</v>
      </c>
      <c r="BY12" s="13">
        <f>IF('Données projet'!$A$114&gt;35,BY11+BX12-CG11,IF(A12&lt;'Données projet'!$A$114,$BV$205^A12,IF(A12='Données projet'!$A$114,'Données projet'!$B$114,BY11+BX12-CG11)))</f>
        <v>14.764571689454227</v>
      </c>
      <c r="BZ12" s="14">
        <f>BY12*VLOOKUP('Données projet'!$B$12,Paramètres!$A$1:$I$89,3,0)*VLOOKUP('Données projet'!$B$12,Paramètres!$A$1:$I$89,5,0)</f>
        <v>8.8292138702936285</v>
      </c>
      <c r="CA12" s="14">
        <f t="shared" si="39"/>
        <v>3.1576848005636822</v>
      </c>
      <c r="CB12" s="22">
        <f t="shared" si="10"/>
        <v>20.877181851743149</v>
      </c>
      <c r="CC12" s="62">
        <f t="shared" si="11"/>
        <v>288.54384851840985</v>
      </c>
      <c r="CD12" s="62">
        <f ca="1">AVERAGE(OFFSET($CC$3,0,0,'Données projet'!$E$12+1,1))-AVERAGE(OFFSET($H$3,0,0,'Données projet'!$E$12+1,1))</f>
        <v>207.59954777160192</v>
      </c>
      <c r="CE12" s="62">
        <f t="shared" si="40"/>
        <v>314.81017053732063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2.4933333333333332</v>
      </c>
      <c r="CT12" s="13">
        <f>IF('Données projet'!$A$140&gt;35,CT11+CS12-DB11,IF(A12&lt;'Données projet'!$A$140,$CQ$205^A12,IF(A12='Données projet'!$A$140,'Données projet'!$B$140,CT11+CS12-DB11)))</f>
        <v>8.784619626636184</v>
      </c>
      <c r="CU12" s="18">
        <f>CT12*VLOOKUP('Données projet'!$B$13,Paramètres!$A$1:$I$89,3,0)*VLOOKUP('Données projet'!$B$13,Paramètres!$A$1:$I$89,5,0)</f>
        <v>6.4408831102496507</v>
      </c>
      <c r="CV12" s="14">
        <f t="shared" si="41"/>
        <v>2.3896606701676846</v>
      </c>
      <c r="CW12" s="22">
        <f t="shared" si="13"/>
        <v>15.379863750893525</v>
      </c>
      <c r="CX12" s="62">
        <f t="shared" si="14"/>
        <v>283.04653041756023</v>
      </c>
      <c r="CY12" s="62">
        <f ca="1">AVERAGE(OFFSET($CX$3,0,0,'Données projet'!$E$13+1,1))-AVERAGE(OFFSET($H$3,0,0,'Données projet'!$E$13+1,1))</f>
        <v>290.68086183422963</v>
      </c>
      <c r="CZ12" s="62">
        <f t="shared" si="42"/>
        <v>317.88330630101785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284.57066751792433</v>
      </c>
      <c r="S13" s="62">
        <f ca="1">AVERAGE(OFFSET($R$3,0,0,'Données projet'!$E$9+1,1))-AVERAGE(OFFSET($H$3,0,0,'Données projet'!$E$9+1,1))</f>
        <v>476.8965664931755</v>
      </c>
      <c r="T13" s="62">
        <f t="shared" si="34"/>
        <v>254.25036207346591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282.93233218914207</v>
      </c>
      <c r="AN13" s="62">
        <f ca="1">AVERAGE(OFFSET($AM$3,0,0,'Données projet'!$E$10+1,1))-AVERAGE(OFFSET($H$3,0,0,'Données projet'!$E$10+1,1))</f>
        <v>430.11660085503223</v>
      </c>
      <c r="AO13" s="62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5.8</v>
      </c>
      <c r="BD13" s="13">
        <f>IF('Données projet'!$A$88&gt;35,BD12+BC13-BL12,IF(A13&lt;'Données projet'!$A$88,$BA$205^A13,IF(A13='Données projet'!$A$88,'Données projet'!$B$88,BD12+BC13-BL12)))</f>
        <v>19.634183025716826</v>
      </c>
      <c r="BE13" s="14">
        <f>BD13*VLOOKUP('Données projet'!$B$11,Paramètres!$A$1:$I$89,3,0)*VLOOKUP('Données projet'!$B$11,Paramètres!$A$1:$I$89,5,0)</f>
        <v>17.152422291266223</v>
      </c>
      <c r="BF13" s="14">
        <f t="shared" si="37"/>
        <v>5.678086989362658</v>
      </c>
      <c r="BG13" s="22">
        <f t="shared" si="7"/>
        <v>39.763136997095295</v>
      </c>
      <c r="BH13" s="62">
        <f t="shared" si="8"/>
        <v>308.65202588598413</v>
      </c>
      <c r="BI13" s="62">
        <f ca="1">AVERAGE(OFFSET($BH$3,0,0,'Données projet'!$E$11+1,1))-AVERAGE(OFFSET($H$3,0,0,'Données projet'!$E$11+1,1))</f>
        <v>346.7910845218741</v>
      </c>
      <c r="BJ13" s="62">
        <f t="shared" si="38"/>
        <v>469.89734899725369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5.9239333333333342</v>
      </c>
      <c r="BY13" s="13">
        <f>IF('Données projet'!$A$114&gt;35,BY12+BX13-CG12,IF(A13&lt;'Données projet'!$A$114,$BV$205^A13,IF(A13='Données projet'!$A$114,'Données projet'!$B$114,BY12+BX13-CG12)))</f>
        <v>19.91288937193913</v>
      </c>
      <c r="BZ13" s="14">
        <f>BY13*VLOOKUP('Données projet'!$B$12,Paramètres!$A$1:$I$89,3,0)*VLOOKUP('Données projet'!$B$12,Paramètres!$A$1:$I$89,5,0)</f>
        <v>11.907907844419601</v>
      </c>
      <c r="CA13" s="14">
        <f t="shared" si="39"/>
        <v>4.1130148896929528</v>
      </c>
      <c r="CB13" s="22">
        <f t="shared" si="10"/>
        <v>27.903107095246028</v>
      </c>
      <c r="CC13" s="62">
        <f t="shared" si="11"/>
        <v>296.79199598413487</v>
      </c>
      <c r="CD13" s="62">
        <f ca="1">AVERAGE(OFFSET($CC$3,0,0,'Données projet'!$E$12+1,1))-AVERAGE(OFFSET($H$3,0,0,'Données projet'!$E$12+1,1))</f>
        <v>207.59954777160192</v>
      </c>
      <c r="CE13" s="62">
        <f t="shared" si="40"/>
        <v>314.81017053732063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2.4933333333333332</v>
      </c>
      <c r="CT13" s="13">
        <f>IF('Données projet'!$A$140&gt;35,CT12+CS13-DB12,IF(A13&lt;'Données projet'!$A$140,$CQ$205^A13,IF(A13='Données projet'!$A$140,'Données projet'!$B$140,CT12+CS13-DB12)))</f>
        <v>11.183585649298445</v>
      </c>
      <c r="CU13" s="18">
        <f>CT13*VLOOKUP('Données projet'!$B$13,Paramètres!$A$1:$I$89,3,0)*VLOOKUP('Données projet'!$B$13,Paramètres!$A$1:$I$89,5,0)</f>
        <v>8.1998049980656198</v>
      </c>
      <c r="CV13" s="14">
        <f t="shared" si="41"/>
        <v>2.9579365856773014</v>
      </c>
      <c r="CW13" s="22">
        <f t="shared" si="13"/>
        <v>19.433066591685588</v>
      </c>
      <c r="CX13" s="62">
        <f t="shared" si="14"/>
        <v>288.32195548057445</v>
      </c>
      <c r="CY13" s="62">
        <f ca="1">AVERAGE(OFFSET($CX$3,0,0,'Données projet'!$E$13+1,1))-AVERAGE(OFFSET($H$3,0,0,'Données projet'!$E$13+1,1))</f>
        <v>290.68086183422963</v>
      </c>
      <c r="CZ13" s="62">
        <f t="shared" si="42"/>
        <v>317.88330630101785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288.90539420934834</v>
      </c>
      <c r="S14" s="62">
        <f ca="1">AVERAGE(OFFSET($R$3,0,0,'Données projet'!$E$9+1,1))-AVERAGE(OFFSET($H$3,0,0,'Données projet'!$E$9+1,1))</f>
        <v>476.8965664931755</v>
      </c>
      <c r="T14" s="62">
        <f t="shared" si="34"/>
        <v>254.25036207346591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286.94092810276993</v>
      </c>
      <c r="AN14" s="62">
        <f ca="1">AVERAGE(OFFSET($AM$3,0,0,'Données projet'!$E$10+1,1))-AVERAGE(OFFSET($H$3,0,0,'Données projet'!$E$10+1,1))</f>
        <v>430.11660085503223</v>
      </c>
      <c r="AO14" s="62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5.8</v>
      </c>
      <c r="BD14" s="13">
        <f>IF('Données projet'!$A$88&gt;35,BD13+BC14-BL13,IF(A14&lt;'Données projet'!$A$88,$BA$205^A14,IF(A14='Données projet'!$A$88,'Données projet'!$B$88,BD13+BC14-BL13)))</f>
        <v>26.443206626903088</v>
      </c>
      <c r="BE14" s="14">
        <f>BD14*VLOOKUP('Données projet'!$B$11,Paramètres!$A$1:$I$89,3,0)*VLOOKUP('Données projet'!$B$11,Paramètres!$A$1:$I$89,5,0)</f>
        <v>23.100785309262541</v>
      </c>
      <c r="BF14" s="14">
        <f t="shared" si="37"/>
        <v>7.3867373282653306</v>
      </c>
      <c r="BG14" s="22">
        <f t="shared" si="7"/>
        <v>53.099101927027704</v>
      </c>
      <c r="BH14" s="62">
        <f t="shared" si="8"/>
        <v>323.21021303813882</v>
      </c>
      <c r="BI14" s="62">
        <f ca="1">AVERAGE(OFFSET($BH$3,0,0,'Données projet'!$E$11+1,1))-AVERAGE(OFFSET($H$3,0,0,'Données projet'!$E$11+1,1))</f>
        <v>346.7910845218741</v>
      </c>
      <c r="BJ14" s="62">
        <f t="shared" si="38"/>
        <v>469.89734899725369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5.9239333333333342</v>
      </c>
      <c r="BY14" s="13">
        <f>IF('Données projet'!$A$114&gt;35,BY13+BX14-CG13,IF(A14&lt;'Données projet'!$A$114,$BV$205^A14,IF(A14='Données projet'!$A$114,'Données projet'!$B$114,BY13+BX14-CG13)))</f>
        <v>26.856394582872174</v>
      </c>
      <c r="BZ14" s="14">
        <f>BY14*VLOOKUP('Données projet'!$B$12,Paramètres!$A$1:$I$89,3,0)*VLOOKUP('Données projet'!$B$12,Paramètres!$A$1:$I$89,5,0)</f>
        <v>16.060123960557561</v>
      </c>
      <c r="CA14" s="14">
        <f t="shared" si="39"/>
        <v>5.35737179335191</v>
      </c>
      <c r="CB14" s="22">
        <f t="shared" si="10"/>
        <v>37.302138438058996</v>
      </c>
      <c r="CC14" s="62">
        <f t="shared" si="11"/>
        <v>307.41324954917013</v>
      </c>
      <c r="CD14" s="62">
        <f ca="1">AVERAGE(OFFSET($CC$3,0,0,'Données projet'!$E$12+1,1))-AVERAGE(OFFSET($H$3,0,0,'Données projet'!$E$12+1,1))</f>
        <v>207.59954777160192</v>
      </c>
      <c r="CE14" s="62">
        <f t="shared" si="40"/>
        <v>314.81017053732063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2.4933333333333332</v>
      </c>
      <c r="CT14" s="13">
        <f>IF('Données projet'!$A$140&gt;35,CT13+CS14-DB13,IF(A14&lt;'Données projet'!$A$140,$CQ$205^A14,IF(A14='Données projet'!$A$140,'Données projet'!$B$140,CT13+CS14-DB13)))</f>
        <v>14.237678270776428</v>
      </c>
      <c r="CU14" s="18">
        <f>CT14*VLOOKUP('Données projet'!$B$13,Paramètres!$A$1:$I$89,3,0)*VLOOKUP('Données projet'!$B$13,Paramètres!$A$1:$I$89,5,0)</f>
        <v>10.439065708133278</v>
      </c>
      <c r="CV14" s="14">
        <f t="shared" si="41"/>
        <v>3.6613519878009879</v>
      </c>
      <c r="CW14" s="22">
        <f t="shared" si="13"/>
        <v>24.558227487085514</v>
      </c>
      <c r="CX14" s="62">
        <f t="shared" si="14"/>
        <v>294.66933859819665</v>
      </c>
      <c r="CY14" s="62">
        <f ca="1">AVERAGE(OFFSET($CX$3,0,0,'Données projet'!$E$13+1,1))-AVERAGE(OFFSET($H$3,0,0,'Données projet'!$E$13+1,1))</f>
        <v>290.68086183422963</v>
      </c>
      <c r="CZ14" s="62">
        <f t="shared" si="42"/>
        <v>317.88330630101785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293.85996837222763</v>
      </c>
      <c r="S15" s="62">
        <f ca="1">AVERAGE(OFFSET($R$3,0,0,'Données projet'!$E$9+1,1))-AVERAGE(OFFSET($H$3,0,0,'Données projet'!$E$9+1,1))</f>
        <v>476.8965664931755</v>
      </c>
      <c r="T15" s="62">
        <f t="shared" si="34"/>
        <v>254.25036207346591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291.50424573777804</v>
      </c>
      <c r="AN15" s="62">
        <f ca="1">AVERAGE(OFFSET($AM$3,0,0,'Données projet'!$E$10+1,1))-AVERAGE(OFFSET($H$3,0,0,'Données projet'!$E$10+1,1))</f>
        <v>430.11660085503223</v>
      </c>
      <c r="AO15" s="62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5.8</v>
      </c>
      <c r="BD15" s="13">
        <f>IF('Données projet'!$A$88&gt;35,BD14+BC15-BL14,IF(A15&lt;'Données projet'!$A$88,$BA$205^A15,IF(A15='Données projet'!$A$88,'Données projet'!$B$88,BD14+BC15-BL14)))</f>
        <v>35.613561093793592</v>
      </c>
      <c r="BE15" s="14">
        <f>BD15*VLOOKUP('Données projet'!$B$11,Paramètres!$A$1:$I$89,3,0)*VLOOKUP('Données projet'!$B$11,Paramètres!$A$1:$I$89,5,0)</f>
        <v>31.112006971538086</v>
      </c>
      <c r="BF15" s="14">
        <f t="shared" si="37"/>
        <v>9.6095548481396289</v>
      </c>
      <c r="BG15" s="22">
        <f t="shared" si="7"/>
        <v>70.9233868359387</v>
      </c>
      <c r="BH15" s="62">
        <f t="shared" si="8"/>
        <v>342.256720169272</v>
      </c>
      <c r="BI15" s="62">
        <f ca="1">AVERAGE(OFFSET($BH$3,0,0,'Données projet'!$E$11+1,1))-AVERAGE(OFFSET($H$3,0,0,'Données projet'!$E$11+1,1))</f>
        <v>346.7910845218741</v>
      </c>
      <c r="BJ15" s="62">
        <f t="shared" si="38"/>
        <v>469.89734899725369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5.9239333333333342</v>
      </c>
      <c r="BY15" s="13">
        <f>IF('Données projet'!$A$114&gt;35,BY14+BX15-CG14,IF(A15&lt;'Données projet'!$A$114,$BV$205^A15,IF(A15='Données projet'!$A$114,'Données projet'!$B$114,BY14+BX15-CG14)))</f>
        <v>36.221058457107695</v>
      </c>
      <c r="BZ15" s="14">
        <f>BY15*VLOOKUP('Données projet'!$B$12,Paramètres!$A$1:$I$89,3,0)*VLOOKUP('Données projet'!$B$12,Paramètres!$A$1:$I$89,5,0)</f>
        <v>21.660192957350404</v>
      </c>
      <c r="CA15" s="14">
        <f t="shared" si="39"/>
        <v>6.9781980619927424</v>
      </c>
      <c r="CB15" s="22">
        <f t="shared" si="10"/>
        <v>49.878531025355976</v>
      </c>
      <c r="CC15" s="62">
        <f t="shared" si="11"/>
        <v>321.2118643586893</v>
      </c>
      <c r="CD15" s="62">
        <f ca="1">AVERAGE(OFFSET($CC$3,0,0,'Données projet'!$E$12+1,1))-AVERAGE(OFFSET($H$3,0,0,'Données projet'!$E$12+1,1))</f>
        <v>207.59954777160192</v>
      </c>
      <c r="CE15" s="62">
        <f t="shared" si="40"/>
        <v>314.81017053732063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2.4933333333333332</v>
      </c>
      <c r="CT15" s="13">
        <f>IF('Données projet'!$A$140&gt;35,CT14+CS15-DB14,IF(A15&lt;'Données projet'!$A$140,$CQ$205^A15,IF(A15='Données projet'!$A$140,'Données projet'!$B$140,CT14+CS15-DB14)))</f>
        <v>18.125804093506943</v>
      </c>
      <c r="CU15" s="18">
        <f>CT15*VLOOKUP('Données projet'!$B$13,Paramètres!$A$1:$I$89,3,0)*VLOOKUP('Données projet'!$B$13,Paramètres!$A$1:$I$89,5,0)</f>
        <v>13.28983956135929</v>
      </c>
      <c r="CV15" s="14">
        <f t="shared" si="41"/>
        <v>4.5320438725716254</v>
      </c>
      <c r="CW15" s="22">
        <f t="shared" si="13"/>
        <v>31.039780314096337</v>
      </c>
      <c r="CX15" s="62">
        <f t="shared" si="14"/>
        <v>302.37311364742965</v>
      </c>
      <c r="CY15" s="62">
        <f ca="1">AVERAGE(OFFSET($CX$3,0,0,'Données projet'!$E$13+1,1))-AVERAGE(OFFSET($H$3,0,0,'Données projet'!$E$13+1,1))</f>
        <v>290.68086183422963</v>
      </c>
      <c r="CZ15" s="62">
        <f t="shared" si="42"/>
        <v>317.88330630101785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299.55821782408742</v>
      </c>
      <c r="S16" s="62">
        <f ca="1">AVERAGE(OFFSET($R$3,0,0,'Données projet'!$E$9+1,1))-AVERAGE(OFFSET($H$3,0,0,'Données projet'!$E$9+1,1))</f>
        <v>476.8965664931755</v>
      </c>
      <c r="T16" s="62">
        <f t="shared" si="34"/>
        <v>254.25036207346591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296.73306974060051</v>
      </c>
      <c r="AN16" s="62">
        <f ca="1">AVERAGE(OFFSET($AM$3,0,0,'Données projet'!$E$10+1,1))-AVERAGE(OFFSET($H$3,0,0,'Données projet'!$E$10+1,1))</f>
        <v>430.11660085503223</v>
      </c>
      <c r="AO16" s="62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5.8</v>
      </c>
      <c r="BD16" s="13">
        <f>IF('Données projet'!$A$88&gt;35,BD15+BC16-BL15,IF(A16&lt;'Données projet'!$A$88,$BA$205^A16,IF(A16='Données projet'!$A$88,'Données projet'!$B$88,BD15+BC16-BL15)))</f>
        <v>47.964142612378375</v>
      </c>
      <c r="BE16" s="14">
        <f>BD16*VLOOKUP('Données projet'!$B$11,Paramètres!$A$1:$I$89,3,0)*VLOOKUP('Données projet'!$B$11,Paramètres!$A$1:$I$89,5,0)</f>
        <v>41.901474986173753</v>
      </c>
      <c r="BF16" s="14">
        <f t="shared" si="37"/>
        <v>12.501262773491545</v>
      </c>
      <c r="BG16" s="22">
        <f t="shared" si="7"/>
        <v>94.751434931417066</v>
      </c>
      <c r="BH16" s="62">
        <f t="shared" si="8"/>
        <v>367.30699048697261</v>
      </c>
      <c r="BI16" s="62">
        <f ca="1">AVERAGE(OFFSET($BH$3,0,0,'Données projet'!$E$11+1,1))-AVERAGE(OFFSET($H$3,0,0,'Données projet'!$E$11+1,1))</f>
        <v>346.7910845218741</v>
      </c>
      <c r="BJ16" s="62">
        <f t="shared" si="38"/>
        <v>469.89734899725369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5.9239333333333342</v>
      </c>
      <c r="BY16" s="13">
        <f>IF('Données projet'!$A$114&gt;35,BY15+BX16-CG15,IF(A16&lt;'Données projet'!$A$114,$BV$205^A16,IF(A16='Données projet'!$A$114,'Données projet'!$B$114,BY15+BX16-CG15)))</f>
        <v>48.851124513560976</v>
      </c>
      <c r="BZ16" s="14">
        <f>BY16*VLOOKUP('Données projet'!$B$12,Paramètres!$A$1:$I$89,3,0)*VLOOKUP('Données projet'!$B$12,Paramètres!$A$1:$I$89,5,0)</f>
        <v>29.212972459109466</v>
      </c>
      <c r="CA16" s="14">
        <f t="shared" si="39"/>
        <v>9.0893912296373287</v>
      </c>
      <c r="CB16" s="22">
        <f t="shared" si="10"/>
        <v>66.709950091234006</v>
      </c>
      <c r="CC16" s="62">
        <f t="shared" si="11"/>
        <v>339.26550564678956</v>
      </c>
      <c r="CD16" s="62">
        <f ca="1">AVERAGE(OFFSET($CC$3,0,0,'Données projet'!$E$12+1,1))-AVERAGE(OFFSET($H$3,0,0,'Données projet'!$E$12+1,1))</f>
        <v>207.59954777160192</v>
      </c>
      <c r="CE16" s="62">
        <f t="shared" si="40"/>
        <v>314.81017053732063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2.4933333333333332</v>
      </c>
      <c r="CT16" s="13">
        <f>IF('Données projet'!$A$140&gt;35,CT15+CS16-DB15,IF(A16&lt;'Données projet'!$A$140,$CQ$205^A16,IF(A16='Données projet'!$A$140,'Données projet'!$B$140,CT15+CS16-DB15)))</f>
        <v>23.075726799540639</v>
      </c>
      <c r="CU16" s="18">
        <f>CT16*VLOOKUP('Données projet'!$B$13,Paramètres!$A$1:$I$89,3,0)*VLOOKUP('Données projet'!$B$13,Paramètres!$A$1:$I$89,5,0)</f>
        <v>16.919122889423196</v>
      </c>
      <c r="CV16" s="14">
        <f t="shared" si="41"/>
        <v>5.6097916101341596</v>
      </c>
      <c r="CW16" s="22">
        <f t="shared" si="13"/>
        <v>39.237859420062392</v>
      </c>
      <c r="CX16" s="62">
        <f t="shared" si="14"/>
        <v>311.79341497561791</v>
      </c>
      <c r="CY16" s="62">
        <f ca="1">AVERAGE(OFFSET($CX$3,0,0,'Données projet'!$E$13+1,1))-AVERAGE(OFFSET($H$3,0,0,'Données projet'!$E$13+1,1))</f>
        <v>290.68086183422963</v>
      </c>
      <c r="CZ16" s="62">
        <f t="shared" si="42"/>
        <v>317.88330630101785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306.14877929230755</v>
      </c>
      <c r="S17" s="62">
        <f ca="1">AVERAGE(OFFSET($R$3,0,0,'Données projet'!$E$9+1,1))-AVERAGE(OFFSET($H$3,0,0,'Données projet'!$E$9+1,1))</f>
        <v>476.8965664931755</v>
      </c>
      <c r="T17" s="62">
        <f t="shared" si="34"/>
        <v>254.25036207346591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302.76037439017989</v>
      </c>
      <c r="AN17" s="62">
        <f ca="1">AVERAGE(OFFSET($AM$3,0,0,'Données projet'!$E$10+1,1))-AVERAGE(OFFSET($H$3,0,0,'Données projet'!$E$10+1,1))</f>
        <v>430.11660085503223</v>
      </c>
      <c r="AO17" s="62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5.8</v>
      </c>
      <c r="BD17" s="13">
        <f>IF('Données projet'!$A$88&gt;35,BD16+BC17-BL16,IF(A17&lt;'Données projet'!$A$88,$BA$205^A17,IF(A17='Données projet'!$A$88,'Données projet'!$B$88,BD16+BC17-BL16)))</f>
        <v>64.597835933388069</v>
      </c>
      <c r="BE17" s="14">
        <f>BD17*VLOOKUP('Données projet'!$B$11,Paramètres!$A$1:$I$89,3,0)*VLOOKUP('Données projet'!$B$11,Paramètres!$A$1:$I$89,5,0)</f>
        <v>56.432669471407827</v>
      </c>
      <c r="BF17" s="14">
        <f t="shared" si="37"/>
        <v>16.263143652501352</v>
      </c>
      <c r="BG17" s="22">
        <f t="shared" si="7"/>
        <v>126.61187452414181</v>
      </c>
      <c r="BH17" s="62">
        <f t="shared" si="8"/>
        <v>400.38965230191957</v>
      </c>
      <c r="BI17" s="62">
        <f ca="1">AVERAGE(OFFSET($BH$3,0,0,'Données projet'!$E$11+1,1))-AVERAGE(OFFSET($H$3,0,0,'Données projet'!$E$11+1,1))</f>
        <v>346.7910845218741</v>
      </c>
      <c r="BJ17" s="62">
        <f t="shared" si="38"/>
        <v>469.89734899725369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5.9239333333333342</v>
      </c>
      <c r="BY17" s="13">
        <f>IF('Données projet'!$A$114&gt;35,BY16+BX17-CG16,IF(A17&lt;'Données projet'!$A$114,$BV$205^A17,IF(A17='Données projet'!$A$114,'Données projet'!$B$114,BY16+BX17-CG16)))</f>
        <v>65.885218927696627</v>
      </c>
      <c r="BZ17" s="14">
        <f>BY17*VLOOKUP('Données projet'!$B$12,Paramètres!$A$1:$I$89,3,0)*VLOOKUP('Données projet'!$B$12,Paramètres!$A$1:$I$89,5,0)</f>
        <v>39.399360918762582</v>
      </c>
      <c r="CA17" s="14">
        <f t="shared" si="39"/>
        <v>11.839307539203803</v>
      </c>
      <c r="CB17" s="22">
        <f t="shared" si="10"/>
        <v>89.240680897624785</v>
      </c>
      <c r="CC17" s="62">
        <f t="shared" si="11"/>
        <v>363.01845867540254</v>
      </c>
      <c r="CD17" s="62">
        <f ca="1">AVERAGE(OFFSET($CC$3,0,0,'Données projet'!$E$12+1,1))-AVERAGE(OFFSET($H$3,0,0,'Données projet'!$E$12+1,1))</f>
        <v>207.59954777160192</v>
      </c>
      <c r="CE17" s="62">
        <f t="shared" si="40"/>
        <v>314.81017053732063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2.4933333333333332</v>
      </c>
      <c r="CT17" s="13">
        <f>IF('Données projet'!$A$140&gt;35,CT16+CS17-DB16,IF(A17&lt;'Données projet'!$A$140,$CQ$205^A17,IF(A17='Données projet'!$A$140,'Données projet'!$B$140,CT16+CS17-DB16)))</f>
        <v>29.37740938719443</v>
      </c>
      <c r="CU17" s="18">
        <f>CT17*VLOOKUP('Données projet'!$B$13,Paramètres!$A$1:$I$89,3,0)*VLOOKUP('Données projet'!$B$13,Paramètres!$A$1:$I$89,5,0)</f>
        <v>21.539516562690956</v>
      </c>
      <c r="CV17" s="14">
        <f t="shared" si="41"/>
        <v>6.9438343480277602</v>
      </c>
      <c r="CW17" s="22">
        <f t="shared" si="13"/>
        <v>49.608502836168434</v>
      </c>
      <c r="CX17" s="62">
        <f t="shared" si="14"/>
        <v>323.38628061394621</v>
      </c>
      <c r="CY17" s="62">
        <f ca="1">AVERAGE(OFFSET($CX$3,0,0,'Données projet'!$E$13+1,1))-AVERAGE(OFFSET($H$3,0,0,'Données projet'!$E$13+1,1))</f>
        <v>290.68086183422963</v>
      </c>
      <c r="CZ17" s="62">
        <f t="shared" si="42"/>
        <v>317.88330630101785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313.81008211298388</v>
      </c>
      <c r="S18" s="62">
        <f ca="1">AVERAGE(OFFSET($R$3,0,0,'Données projet'!$E$9+1,1))-AVERAGE(OFFSET($H$3,0,0,'Données projet'!$E$9+1,1))</f>
        <v>476.8965664931755</v>
      </c>
      <c r="T18" s="62">
        <f t="shared" si="34"/>
        <v>254.25036207346591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309.74578000827665</v>
      </c>
      <c r="AN18" s="62">
        <f ca="1">AVERAGE(OFFSET($AM$3,0,0,'Données projet'!$E$10+1,1))-AVERAGE(OFFSET($H$3,0,0,'Données projet'!$E$10+1,1))</f>
        <v>430.11660085503223</v>
      </c>
      <c r="AO18" s="62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87</v>
      </c>
      <c r="BB18" s="13">
        <f>VLOOKUP(A18,'Données projet'!$A$87:$I$107,9,0)</f>
        <v>5.8</v>
      </c>
      <c r="BC18" s="13">
        <f t="array" ref="BC18">INDEX(BB:BB,MIN(IF(ISNUMBER(BB18:BB214),ROW(BB18:BB214),"")))</f>
        <v>5.8</v>
      </c>
      <c r="BD18" s="13">
        <f>IF('Données projet'!$A$88&gt;35,BD17+BC18-BL17,IF(A18&lt;'Données projet'!$A$88,$BA$205^A18,IF(A18='Données projet'!$A$88,'Données projet'!$B$88,BD17+BC18-BL17)))</f>
        <v>87</v>
      </c>
      <c r="BE18" s="14">
        <f>BD18*VLOOKUP('Données projet'!$B$11,Paramètres!$A$1:$I$89,3,0)*VLOOKUP('Données projet'!$B$11,Paramètres!$A$1:$I$89,5,0)</f>
        <v>76.003200000000007</v>
      </c>
      <c r="BF18" s="14">
        <f t="shared" si="37"/>
        <v>21.157049992000456</v>
      </c>
      <c r="BG18" s="22">
        <f t="shared" si="7"/>
        <v>169.22076873606747</v>
      </c>
      <c r="BH18" s="62">
        <f t="shared" si="8"/>
        <v>444.2207687360675</v>
      </c>
      <c r="BI18" s="62">
        <f ca="1">AVERAGE(OFFSET($BH$3,0,0,'Données projet'!$E$11+1,1))-AVERAGE(OFFSET($H$3,0,0,'Données projet'!$E$11+1,1))</f>
        <v>346.7910845218741</v>
      </c>
      <c r="BJ18" s="62">
        <f t="shared" si="38"/>
        <v>469.89734899725369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88.859000000000009</v>
      </c>
      <c r="BW18" s="13">
        <f>VLOOKUP(A18,'Données projet'!$A$113:$I$133,9,0)</f>
        <v>5.9239333333333342</v>
      </c>
      <c r="BX18" s="13">
        <f t="array" ref="BX18">INDEX(BW:BW,MIN(IF(ISNUMBER(BW18:BW214),ROW(BW18:BW214),"")))</f>
        <v>5.9239333333333342</v>
      </c>
      <c r="BY18" s="13">
        <f>IF('Données projet'!$A$114&gt;35,BY17+BX18-CG17,IF(A18&lt;'Données projet'!$A$114,$BV$205^A18,IF(A18='Données projet'!$A$114,'Données projet'!$B$114,BY17+BX18-CG17)))</f>
        <v>88.859000000000009</v>
      </c>
      <c r="BZ18" s="14">
        <f>BY18*VLOOKUP('Données projet'!$B$12,Paramètres!$A$1:$I$89,3,0)*VLOOKUP('Données projet'!$B$12,Paramètres!$A$1:$I$89,5,0)</f>
        <v>53.137682000000012</v>
      </c>
      <c r="CA18" s="14">
        <f t="shared" si="39"/>
        <v>15.421187125360523</v>
      </c>
      <c r="CB18" s="22">
        <f t="shared" si="10"/>
        <v>119.40669706000294</v>
      </c>
      <c r="CC18" s="62">
        <f t="shared" si="11"/>
        <v>394.40669706000295</v>
      </c>
      <c r="CD18" s="62">
        <f ca="1">AVERAGE(OFFSET($CC$3,0,0,'Données projet'!$E$12+1,1))-AVERAGE(OFFSET($H$3,0,0,'Données projet'!$E$12+1,1))</f>
        <v>207.59954777160192</v>
      </c>
      <c r="CE18" s="62">
        <f t="shared" si="40"/>
        <v>314.81017053732063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23.3155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37.4</v>
      </c>
      <c r="CR18" s="13">
        <f>VLOOKUP(A18,'Données projet'!$A$139:$I$159,9,0)</f>
        <v>2.4933333333333332</v>
      </c>
      <c r="CS18" s="13">
        <f t="array" ref="CS18">INDEX(CR:CR,MIN(IF(ISNUMBER(CR18:CR214),ROW(CR18:CR214),"")))</f>
        <v>2.4933333333333332</v>
      </c>
      <c r="CT18" s="13">
        <f>IF('Données projet'!$A$140&gt;35,CT17+CS18-DB17,IF(A18&lt;'Données projet'!$A$140,$CQ$205^A18,IF(A18='Données projet'!$A$140,'Données projet'!$B$140,CT17+CS18-DB17)))</f>
        <v>37.4</v>
      </c>
      <c r="CU18" s="18">
        <f>CT18*VLOOKUP('Données projet'!$B$13,Paramètres!$A$1:$I$89,3,0)*VLOOKUP('Données projet'!$B$13,Paramètres!$A$1:$I$89,5,0)</f>
        <v>27.421679999999999</v>
      </c>
      <c r="CV18" s="14">
        <f t="shared" si="41"/>
        <v>8.5951206040783781</v>
      </c>
      <c r="CW18" s="22">
        <f t="shared" si="13"/>
        <v>62.729261052103169</v>
      </c>
      <c r="CX18" s="62">
        <f t="shared" si="14"/>
        <v>337.7292610521032</v>
      </c>
      <c r="CY18" s="62">
        <f ca="1">AVERAGE(OFFSET($CX$3,0,0,'Données projet'!$E$13+1,1))-AVERAGE(OFFSET($H$3,0,0,'Données projet'!$E$13+1,1))</f>
        <v>290.68086183422963</v>
      </c>
      <c r="CZ18" s="62">
        <f t="shared" si="42"/>
        <v>317.88330630101785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322.75633550905911</v>
      </c>
      <c r="S19" s="62">
        <f ca="1">AVERAGE(OFFSET($R$3,0,0,'Données projet'!$E$9+1,1))-AVERAGE(OFFSET($H$3,0,0,'Données projet'!$E$9+1,1))</f>
        <v>476.8965664931755</v>
      </c>
      <c r="T19" s="62">
        <f t="shared" si="34"/>
        <v>254.25036207346591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317.88090656215792</v>
      </c>
      <c r="AN19" s="62">
        <f ca="1">AVERAGE(OFFSET($AM$3,0,0,'Données projet'!$E$10+1,1))-AVERAGE(OFFSET($H$3,0,0,'Données projet'!$E$10+1,1))</f>
        <v>430.11660085503223</v>
      </c>
      <c r="AO19" s="62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14.2</v>
      </c>
      <c r="BD19" s="13">
        <f>IF('Données projet'!$A$88&gt;35,BD18+BC19-BL18,IF(A19&lt;'Données projet'!$A$88,$BA$205^A19,IF(A19='Données projet'!$A$88,'Données projet'!$B$88,BD18+BC19-BL18)))</f>
        <v>101.2</v>
      </c>
      <c r="BE19" s="14">
        <f>BD19*VLOOKUP('Données projet'!$B$11,Paramètres!$A$1:$I$89,3,0)*VLOOKUP('Données projet'!$B$11,Paramètres!$A$1:$I$89,5,0)</f>
        <v>88.408320000000003</v>
      </c>
      <c r="BF19" s="14">
        <f t="shared" si="37"/>
        <v>24.18095236329042</v>
      </c>
      <c r="BG19" s="22">
        <f t="shared" si="7"/>
        <v>196.09298269939748</v>
      </c>
      <c r="BH19" s="62">
        <f t="shared" si="8"/>
        <v>472.31520492161974</v>
      </c>
      <c r="BI19" s="62">
        <f ca="1">AVERAGE(OFFSET($BH$3,0,0,'Données projet'!$E$11+1,1))-AVERAGE(OFFSET($H$3,0,0,'Données projet'!$E$11+1,1))</f>
        <v>346.7910845218741</v>
      </c>
      <c r="BJ19" s="62">
        <f t="shared" si="38"/>
        <v>469.89734899725369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12.931899999999999</v>
      </c>
      <c r="BY19" s="13">
        <f>IF('Données projet'!$A$114&gt;35,BY18+BX19-CG18,IF(A19&lt;'Données projet'!$A$114,$BV$205^A19,IF(A19='Données projet'!$A$114,'Données projet'!$B$114,BY18+BX19-CG18)))</f>
        <v>78.475400000000008</v>
      </c>
      <c r="BZ19" s="14">
        <f>BY19*VLOOKUP('Données projet'!$B$12,Paramètres!$A$1:$I$89,3,0)*VLOOKUP('Données projet'!$B$12,Paramètres!$A$1:$I$89,5,0)</f>
        <v>46.928289200000009</v>
      </c>
      <c r="CA19" s="14">
        <f t="shared" si="39"/>
        <v>13.817573558632697</v>
      </c>
      <c r="CB19" s="22">
        <f t="shared" si="10"/>
        <v>105.79904430461862</v>
      </c>
      <c r="CC19" s="62">
        <f t="shared" si="11"/>
        <v>382.02126652684086</v>
      </c>
      <c r="CD19" s="62">
        <f ca="1">AVERAGE(OFFSET($CC$3,0,0,'Données projet'!$E$12+1,1))-AVERAGE(OFFSET($H$3,0,0,'Données projet'!$E$12+1,1))</f>
        <v>207.59954777160192</v>
      </c>
      <c r="CE19" s="62">
        <f t="shared" si="40"/>
        <v>314.81017053732063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11.54</v>
      </c>
      <c r="CT19" s="13">
        <f>IF('Données projet'!$A$140&gt;35,CT18+CS19-DB18,IF(A19&lt;'Données projet'!$A$140,$CQ$205^A19,IF(A19='Données projet'!$A$140,'Données projet'!$B$140,CT18+CS19-DB18)))</f>
        <v>48.94</v>
      </c>
      <c r="CU19" s="18">
        <f>CT19*VLOOKUP('Données projet'!$B$13,Paramètres!$A$1:$I$89,3,0)*VLOOKUP('Données projet'!$B$13,Paramètres!$A$1:$I$89,5,0)</f>
        <v>35.882807999999997</v>
      </c>
      <c r="CV19" s="14">
        <f t="shared" si="41"/>
        <v>10.900582514018076</v>
      </c>
      <c r="CW19" s="22">
        <f t="shared" si="13"/>
        <v>81.481071811914816</v>
      </c>
      <c r="CX19" s="62">
        <f t="shared" si="14"/>
        <v>357.70329403413706</v>
      </c>
      <c r="CY19" s="62">
        <f ca="1">AVERAGE(OFFSET($CX$3,0,0,'Données projet'!$E$13+1,1))-AVERAGE(OFFSET($H$3,0,0,'Données projet'!$E$13+1,1))</f>
        <v>290.68086183422963</v>
      </c>
      <c r="CZ19" s="62">
        <f t="shared" si="42"/>
        <v>317.88330630101785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333.24472198839982</v>
      </c>
      <c r="S20" s="62">
        <f ca="1">AVERAGE(OFFSET($R$3,0,0,'Données projet'!$E$9+1,1))-AVERAGE(OFFSET($H$3,0,0,'Données projet'!$E$9+1,1))</f>
        <v>476.8965664931755</v>
      </c>
      <c r="T20" s="62">
        <f t="shared" si="34"/>
        <v>254.25036207346591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327.39580549186149</v>
      </c>
      <c r="AN20" s="62">
        <f ca="1">AVERAGE(OFFSET($AM$3,0,0,'Données projet'!$E$10+1,1))-AVERAGE(OFFSET($H$3,0,0,'Données projet'!$E$10+1,1))</f>
        <v>430.11660085503223</v>
      </c>
      <c r="AO20" s="62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14.2</v>
      </c>
      <c r="BD20" s="13">
        <f>IF('Données projet'!$A$88&gt;35,BD19+BC20-BL19,IF(A20&lt;'Données projet'!$A$88,$BA$205^A20,IF(A20='Données projet'!$A$88,'Données projet'!$B$88,BD19+BC20-BL19)))</f>
        <v>115.4</v>
      </c>
      <c r="BE20" s="14">
        <f>BD20*VLOOKUP('Données projet'!$B$11,Paramètres!$A$1:$I$89,3,0)*VLOOKUP('Données projet'!$B$11,Paramètres!$A$1:$I$89,5,0)</f>
        <v>100.81344000000001</v>
      </c>
      <c r="BF20" s="14">
        <f t="shared" si="37"/>
        <v>27.155696942944218</v>
      </c>
      <c r="BG20" s="22">
        <f t="shared" si="7"/>
        <v>222.87958017562786</v>
      </c>
      <c r="BH20" s="62">
        <f t="shared" si="8"/>
        <v>500.32402462007235</v>
      </c>
      <c r="BI20" s="62">
        <f ca="1">AVERAGE(OFFSET($BH$3,0,0,'Données projet'!$E$11+1,1))-AVERAGE(OFFSET($H$3,0,0,'Données projet'!$E$11+1,1))</f>
        <v>346.7910845218741</v>
      </c>
      <c r="BJ20" s="62">
        <f t="shared" si="38"/>
        <v>469.89734899725369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12.931899999999999</v>
      </c>
      <c r="BY20" s="13">
        <f>IF('Données projet'!$A$114&gt;35,BY19+BX20-CG19,IF(A20&lt;'Données projet'!$A$114,$BV$205^A20,IF(A20='Données projet'!$A$114,'Données projet'!$B$114,BY19+BX20-CG19)))</f>
        <v>91.407300000000006</v>
      </c>
      <c r="BZ20" s="14">
        <f>BY20*VLOOKUP('Données projet'!$B$12,Paramètres!$A$1:$I$89,3,0)*VLOOKUP('Données projet'!$B$12,Paramètres!$A$1:$I$89,5,0)</f>
        <v>54.661565400000008</v>
      </c>
      <c r="CA20" s="14">
        <f t="shared" si="39"/>
        <v>15.811313049746822</v>
      </c>
      <c r="CB20" s="22">
        <f t="shared" si="10"/>
        <v>122.74026329997572</v>
      </c>
      <c r="CC20" s="62">
        <f t="shared" si="11"/>
        <v>400.18470774442017</v>
      </c>
      <c r="CD20" s="62">
        <f ca="1">AVERAGE(OFFSET($CC$3,0,0,'Données projet'!$E$12+1,1))-AVERAGE(OFFSET($H$3,0,0,'Données projet'!$E$12+1,1))</f>
        <v>207.59954777160192</v>
      </c>
      <c r="CE20" s="62">
        <f t="shared" si="40"/>
        <v>314.81017053732063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11.54</v>
      </c>
      <c r="CT20" s="13">
        <f>IF('Données projet'!$A$140&gt;35,CT19+CS20-DB19,IF(A20&lt;'Données projet'!$A$140,$CQ$205^A20,IF(A20='Données projet'!$A$140,'Données projet'!$B$140,CT19+CS20-DB19)))</f>
        <v>60.48</v>
      </c>
      <c r="CU20" s="18">
        <f>CT20*VLOOKUP('Données projet'!$B$13,Paramètres!$A$1:$I$89,3,0)*VLOOKUP('Données projet'!$B$13,Paramètres!$A$1:$I$89,5,0)</f>
        <v>44.343935999999992</v>
      </c>
      <c r="CV20" s="14">
        <f t="shared" si="41"/>
        <v>13.143008787151626</v>
      </c>
      <c r="CW20" s="22">
        <f t="shared" si="13"/>
        <v>100.12309550428905</v>
      </c>
      <c r="CX20" s="62">
        <f t="shared" si="14"/>
        <v>377.5675399487335</v>
      </c>
      <c r="CY20" s="62">
        <f ca="1">AVERAGE(OFFSET($CX$3,0,0,'Données projet'!$E$13+1,1))-AVERAGE(OFFSET($H$3,0,0,'Données projet'!$E$13+1,1))</f>
        <v>290.68086183422963</v>
      </c>
      <c r="CZ20" s="62">
        <f t="shared" si="42"/>
        <v>317.88330630101785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345.58404036091088</v>
      </c>
      <c r="S21" s="62">
        <f ca="1">AVERAGE(OFFSET($R$3,0,0,'Données projet'!$E$9+1,1))-AVERAGE(OFFSET($H$3,0,0,'Données projet'!$E$9+1,1))</f>
        <v>476.8965664931755</v>
      </c>
      <c r="T21" s="62">
        <f t="shared" si="34"/>
        <v>254.25036207346591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338.56668739624723</v>
      </c>
      <c r="AN21" s="62">
        <f ca="1">AVERAGE(OFFSET($AM$3,0,0,'Données projet'!$E$10+1,1))-AVERAGE(OFFSET($H$3,0,0,'Données projet'!$E$10+1,1))</f>
        <v>430.11660085503223</v>
      </c>
      <c r="AO21" s="62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14.2</v>
      </c>
      <c r="BD21" s="13">
        <f>IF('Données projet'!$A$88&gt;35,BD20+BC21-BL20,IF(A21&lt;'Données projet'!$A$88,$BA$205^A21,IF(A21='Données projet'!$A$88,'Données projet'!$B$88,BD20+BC21-BL20)))</f>
        <v>129.6</v>
      </c>
      <c r="BE21" s="14">
        <f>BD21*VLOOKUP('Données projet'!$B$11,Paramètres!$A$1:$I$89,3,0)*VLOOKUP('Données projet'!$B$11,Paramètres!$A$1:$I$89,5,0)</f>
        <v>113.21856000000001</v>
      </c>
      <c r="BF21" s="14">
        <f t="shared" si="37"/>
        <v>30.088024911766389</v>
      </c>
      <c r="BG21" s="22">
        <f t="shared" si="7"/>
        <v>249.59230205465977</v>
      </c>
      <c r="BH21" s="62">
        <f t="shared" si="8"/>
        <v>528.25896872132648</v>
      </c>
      <c r="BI21" s="62">
        <f ca="1">AVERAGE(OFFSET($BH$3,0,0,'Données projet'!$E$11+1,1))-AVERAGE(OFFSET($H$3,0,0,'Données projet'!$E$11+1,1))</f>
        <v>346.7910845218741</v>
      </c>
      <c r="BJ21" s="62">
        <f t="shared" si="38"/>
        <v>469.89734899725369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12.931899999999999</v>
      </c>
      <c r="BY21" s="13">
        <f>IF('Données projet'!$A$114&gt;35,BY20+BX21-CG20,IF(A21&lt;'Données projet'!$A$114,$BV$205^A21,IF(A21='Données projet'!$A$114,'Données projet'!$B$114,BY20+BX21-CG20)))</f>
        <v>104.33920000000001</v>
      </c>
      <c r="BZ21" s="14">
        <f>BY21*VLOOKUP('Données projet'!$B$12,Paramètres!$A$1:$I$89,3,0)*VLOOKUP('Données projet'!$B$12,Paramètres!$A$1:$I$89,5,0)</f>
        <v>62.394841600000014</v>
      </c>
      <c r="CA21" s="14">
        <f t="shared" si="39"/>
        <v>17.772374015000743</v>
      </c>
      <c r="CB21" s="22">
        <f t="shared" si="10"/>
        <v>139.62456719612632</v>
      </c>
      <c r="CC21" s="62">
        <f t="shared" si="11"/>
        <v>418.29123386279298</v>
      </c>
      <c r="CD21" s="62">
        <f ca="1">AVERAGE(OFFSET($CC$3,0,0,'Données projet'!$E$12+1,1))-AVERAGE(OFFSET($H$3,0,0,'Données projet'!$E$12+1,1))</f>
        <v>207.59954777160192</v>
      </c>
      <c r="CE21" s="62">
        <f t="shared" si="40"/>
        <v>314.81017053732063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11.54</v>
      </c>
      <c r="CT21" s="13">
        <f>IF('Données projet'!$A$140&gt;35,CT20+CS21-DB20,IF(A21&lt;'Données projet'!$A$140,$CQ$205^A21,IF(A21='Données projet'!$A$140,'Données projet'!$B$140,CT20+CS21-DB20)))</f>
        <v>72.02</v>
      </c>
      <c r="CU21" s="18">
        <f>CT21*VLOOKUP('Données projet'!$B$13,Paramètres!$A$1:$I$89,3,0)*VLOOKUP('Données projet'!$B$13,Paramètres!$A$1:$I$89,5,0)</f>
        <v>52.805063999999994</v>
      </c>
      <c r="CV21" s="14">
        <f t="shared" si="41"/>
        <v>15.335862338225963</v>
      </c>
      <c r="CW21" s="22">
        <f t="shared" si="13"/>
        <v>118.67878003907686</v>
      </c>
      <c r="CX21" s="62">
        <f t="shared" si="14"/>
        <v>397.34544670574354</v>
      </c>
      <c r="CY21" s="62">
        <f ca="1">AVERAGE(OFFSET($CX$3,0,0,'Données projet'!$E$13+1,1))-AVERAGE(OFFSET($H$3,0,0,'Données projet'!$E$13+1,1))</f>
        <v>290.68086183422963</v>
      </c>
      <c r="CZ21" s="62">
        <f t="shared" si="42"/>
        <v>317.88330630101785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360.14509112992164</v>
      </c>
      <c r="S22" s="62">
        <f ca="1">AVERAGE(OFFSET($R$3,0,0,'Données projet'!$E$9+1,1))-AVERAGE(OFFSET($H$3,0,0,'Données projet'!$E$9+1,1))</f>
        <v>476.8965664931755</v>
      </c>
      <c r="T22" s="62">
        <f t="shared" si="34"/>
        <v>254.25036207346591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351.72520722798015</v>
      </c>
      <c r="AN22" s="62">
        <f ca="1">AVERAGE(OFFSET($AM$3,0,0,'Données projet'!$E$10+1,1))-AVERAGE(OFFSET($H$3,0,0,'Données projet'!$E$10+1,1))</f>
        <v>430.11660085503223</v>
      </c>
      <c r="AO22" s="62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14.2</v>
      </c>
      <c r="BD22" s="13">
        <f>IF('Données projet'!$A$88&gt;35,BD21+BC22-BL21,IF(A22&lt;'Données projet'!$A$88,$BA$205^A22,IF(A22='Données projet'!$A$88,'Données projet'!$B$88,BD21+BC22-BL21)))</f>
        <v>143.79999999999998</v>
      </c>
      <c r="BE22" s="14">
        <f>BD22*VLOOKUP('Données projet'!$B$11,Paramètres!$A$1:$I$89,3,0)*VLOOKUP('Données projet'!$B$11,Paramètres!$A$1:$I$89,5,0)</f>
        <v>125.62367999999999</v>
      </c>
      <c r="BF22" s="14">
        <f t="shared" si="37"/>
        <v>32.983113735523155</v>
      </c>
      <c r="BG22" s="22">
        <f t="shared" si="7"/>
        <v>276.24016575603616</v>
      </c>
      <c r="BH22" s="62">
        <f t="shared" si="8"/>
        <v>556.12905464492496</v>
      </c>
      <c r="BI22" s="62">
        <f ca="1">AVERAGE(OFFSET($BH$3,0,0,'Données projet'!$E$11+1,1))-AVERAGE(OFFSET($H$3,0,0,'Données projet'!$E$11+1,1))</f>
        <v>346.7910845218741</v>
      </c>
      <c r="BJ22" s="62">
        <f t="shared" si="38"/>
        <v>469.89734899725369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12.931899999999999</v>
      </c>
      <c r="BY22" s="13">
        <f>IF('Données projet'!$A$114&gt;35,BY21+BX22-CG21,IF(A22&lt;'Données projet'!$A$114,$BV$205^A22,IF(A22='Données projet'!$A$114,'Données projet'!$B$114,BY21+BX22-CG21)))</f>
        <v>117.2711</v>
      </c>
      <c r="BZ22" s="14">
        <f>BY22*VLOOKUP('Données projet'!$B$12,Paramètres!$A$1:$I$89,3,0)*VLOOKUP('Données projet'!$B$12,Paramètres!$A$1:$I$89,5,0)</f>
        <v>70.128117800000012</v>
      </c>
      <c r="CA22" s="14">
        <f t="shared" si="39"/>
        <v>19.705270349780527</v>
      </c>
      <c r="CB22" s="22">
        <f t="shared" si="10"/>
        <v>156.45981769420112</v>
      </c>
      <c r="CC22" s="62">
        <f t="shared" si="11"/>
        <v>436.34870658309001</v>
      </c>
      <c r="CD22" s="62">
        <f ca="1">AVERAGE(OFFSET($CC$3,0,0,'Données projet'!$E$12+1,1))-AVERAGE(OFFSET($H$3,0,0,'Données projet'!$E$12+1,1))</f>
        <v>207.59954777160192</v>
      </c>
      <c r="CE22" s="62">
        <f t="shared" si="40"/>
        <v>314.81017053732063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11.54</v>
      </c>
      <c r="CT22" s="13">
        <f>IF('Données projet'!$A$140&gt;35,CT21+CS22-DB21,IF(A22&lt;'Données projet'!$A$140,$CQ$205^A22,IF(A22='Données projet'!$A$140,'Données projet'!$B$140,CT21+CS22-DB21)))</f>
        <v>83.56</v>
      </c>
      <c r="CU22" s="18">
        <f>CT22*VLOOKUP('Données projet'!$B$13,Paramètres!$A$1:$I$89,3,0)*VLOOKUP('Données projet'!$B$13,Paramètres!$A$1:$I$89,5,0)</f>
        <v>61.266191999999997</v>
      </c>
      <c r="CV22" s="14">
        <f t="shared" si="41"/>
        <v>17.488011941198707</v>
      </c>
      <c r="CW22" s="22">
        <f t="shared" si="13"/>
        <v>137.16357186425441</v>
      </c>
      <c r="CX22" s="62">
        <f t="shared" si="14"/>
        <v>417.05246075314324</v>
      </c>
      <c r="CY22" s="62">
        <f ca="1">AVERAGE(OFFSET($CX$3,0,0,'Données projet'!$E$13+1,1))-AVERAGE(OFFSET($H$3,0,0,'Données projet'!$E$13+1,1))</f>
        <v>290.68086183422963</v>
      </c>
      <c r="CZ22" s="62">
        <f t="shared" si="42"/>
        <v>317.88330630101785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377.37315625071483</v>
      </c>
      <c r="S23" s="62">
        <f ca="1">AVERAGE(OFFSET($R$3,0,0,'Données projet'!$E$9+1,1))-AVERAGE(OFFSET($H$3,0,0,'Données projet'!$E$9+1,1))</f>
        <v>476.8965664931755</v>
      </c>
      <c r="T23" s="62">
        <f t="shared" si="34"/>
        <v>254.25036207346591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367.26962158162712</v>
      </c>
      <c r="AN23" s="62">
        <f ca="1">AVERAGE(OFFSET($AM$3,0,0,'Données projet'!$E$10+1,1))-AVERAGE(OFFSET($H$3,0,0,'Données projet'!$E$10+1,1))</f>
        <v>430.11660085503223</v>
      </c>
      <c r="AO23" s="62">
        <f t="shared" si="36"/>
        <v>231.36959598460686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158</v>
      </c>
      <c r="BB23" s="13">
        <f>VLOOKUP(A23,'Données projet'!$A$87:$I$107,9,0)</f>
        <v>14.2</v>
      </c>
      <c r="BC23" s="13">
        <f t="array" ref="BC23">INDEX(BB:BB,MIN(IF(ISNUMBER(BB23:BB219),ROW(BB23:BB219),"")))</f>
        <v>14.2</v>
      </c>
      <c r="BD23" s="13">
        <f>IF('Données projet'!$A$88&gt;35,BD22+BC23-BL22,IF(A23&lt;'Données projet'!$A$88,$BA$205^A23,IF(A23='Données projet'!$A$88,'Données projet'!$B$88,BD22+BC23-BL22)))</f>
        <v>157.99999999999997</v>
      </c>
      <c r="BE23" s="14">
        <f>BD23*VLOOKUP('Données projet'!$B$11,Paramètres!$A$1:$I$89,3,0)*VLOOKUP('Données projet'!$B$11,Paramètres!$A$1:$I$89,5,0)</f>
        <v>138.02879999999999</v>
      </c>
      <c r="BF23" s="14">
        <f t="shared" si="37"/>
        <v>35.845059256813073</v>
      </c>
      <c r="BG23" s="22">
        <f t="shared" si="7"/>
        <v>302.83030487228274</v>
      </c>
      <c r="BH23" s="62">
        <f t="shared" si="8"/>
        <v>583.94141598339388</v>
      </c>
      <c r="BI23" s="62">
        <f ca="1">AVERAGE(OFFSET($BH$3,0,0,'Données projet'!$E$11+1,1))-AVERAGE(OFFSET($H$3,0,0,'Données projet'!$E$11+1,1))</f>
        <v>346.7910845218741</v>
      </c>
      <c r="BJ23" s="62">
        <f t="shared" si="38"/>
        <v>469.89734899725369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64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130.203</v>
      </c>
      <c r="BW23" s="13">
        <f>VLOOKUP(A23,'Données projet'!$A$113:$I$133,9,0)</f>
        <v>12.931899999999999</v>
      </c>
      <c r="BX23" s="13">
        <f t="array" ref="BX23">INDEX(BW:BW,MIN(IF(ISNUMBER(BW23:BW219),ROW(BW23:BW219),"")))</f>
        <v>12.931899999999999</v>
      </c>
      <c r="BY23" s="13">
        <f>IF('Données projet'!$A$114&gt;35,BY22+BX23-CG22,IF(A23&lt;'Données projet'!$A$114,$BV$205^A23,IF(A23='Données projet'!$A$114,'Données projet'!$B$114,BY22+BX23-CG22)))</f>
        <v>130.203</v>
      </c>
      <c r="BZ23" s="14">
        <f>BY23*VLOOKUP('Données projet'!$B$12,Paramètres!$A$1:$I$89,3,0)*VLOOKUP('Données projet'!$B$12,Paramètres!$A$1:$I$89,5,0)</f>
        <v>77.861394000000004</v>
      </c>
      <c r="CA23" s="14">
        <f t="shared" si="39"/>
        <v>21.613462087022899</v>
      </c>
      <c r="CB23" s="22">
        <f t="shared" si="10"/>
        <v>173.25204101823155</v>
      </c>
      <c r="CC23" s="62">
        <f t="shared" si="11"/>
        <v>454.36315212934267</v>
      </c>
      <c r="CD23" s="62">
        <f ca="1">AVERAGE(OFFSET($CC$3,0,0,'Données projet'!$E$12+1,1))-AVERAGE(OFFSET($H$3,0,0,'Données projet'!$E$12+1,1))</f>
        <v>207.59954777160192</v>
      </c>
      <c r="CE23" s="62">
        <f t="shared" si="40"/>
        <v>314.81017053732063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34.110500000000002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0.5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11.547681925648178</v>
      </c>
      <c r="CN23" s="24">
        <f t="shared" si="12"/>
        <v>11.547681925648178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95.1</v>
      </c>
      <c r="CR23" s="13">
        <f>VLOOKUP(A23,'Données projet'!$A$139:$I$159,9,0)</f>
        <v>11.54</v>
      </c>
      <c r="CS23" s="13">
        <f t="array" ref="CS23">INDEX(CR:CR,MIN(IF(ISNUMBER(CR23:CR219),ROW(CR23:CR219),"")))</f>
        <v>11.54</v>
      </c>
      <c r="CT23" s="13">
        <f>IF('Données projet'!$A$140&gt;35,CT22+CS23-DB22,IF(A23&lt;'Données projet'!$A$140,$CQ$205^A23,IF(A23='Données projet'!$A$140,'Données projet'!$B$140,CT22+CS23-DB22)))</f>
        <v>95.1</v>
      </c>
      <c r="CU23" s="18">
        <f>CT23*VLOOKUP('Données projet'!$B$13,Paramètres!$A$1:$I$89,3,0)*VLOOKUP('Données projet'!$B$13,Paramètres!$A$1:$I$89,5,0)</f>
        <v>69.727319999999992</v>
      </c>
      <c r="CV23" s="14">
        <f t="shared" si="41"/>
        <v>19.605726142453484</v>
      </c>
      <c r="CW23" s="22">
        <f t="shared" si="13"/>
        <v>155.58838869810646</v>
      </c>
      <c r="CX23" s="62">
        <f t="shared" si="14"/>
        <v>436.69949980921763</v>
      </c>
      <c r="CY23" s="62">
        <f ca="1">AVERAGE(OFFSET($CX$3,0,0,'Données projet'!$E$13+1,1))-AVERAGE(OFFSET($H$3,0,0,'Données projet'!$E$13+1,1))</f>
        <v>290.68086183422963</v>
      </c>
      <c r="CZ23" s="62">
        <f t="shared" si="42"/>
        <v>317.88330630101785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43.1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391.06825607785231</v>
      </c>
      <c r="S24" s="62">
        <f ca="1">AVERAGE(OFFSET($R$3,0,0,'Données projet'!$E$9+1,1))-AVERAGE(OFFSET($H$3,0,0,'Données projet'!$E$9+1,1))</f>
        <v>476.8965664931755</v>
      </c>
      <c r="T24" s="62">
        <f t="shared" si="34"/>
        <v>254.25036207346591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379.65226125630295</v>
      </c>
      <c r="AN24" s="62">
        <f ca="1">AVERAGE(OFFSET($AM$3,0,0,'Données projet'!$E$10+1,1))-AVERAGE(OFFSET($H$3,0,0,'Données projet'!$E$10+1,1))</f>
        <v>430.11660085503223</v>
      </c>
      <c r="AO24" s="62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13.8</v>
      </c>
      <c r="BD24" s="13">
        <f>IF('Données projet'!$A$88&gt;35,BD23+BC24-BL23,IF(A24&lt;'Données projet'!$A$88,$BA$205^A24,IF(A24='Données projet'!$A$88,'Données projet'!$B$88,BD23+BC24-BL23)))</f>
        <v>107.79999999999998</v>
      </c>
      <c r="BE24" s="14">
        <f>BD24*VLOOKUP('Données projet'!$B$11,Paramètres!$A$1:$I$89,3,0)*VLOOKUP('Données projet'!$B$11,Paramètres!$A$1:$I$89,5,0)</f>
        <v>94.174079999999989</v>
      </c>
      <c r="BF24" s="14">
        <f t="shared" si="37"/>
        <v>25.569241067746205</v>
      </c>
      <c r="BG24" s="22">
        <f t="shared" si="7"/>
        <v>208.55295085965795</v>
      </c>
      <c r="BH24" s="62">
        <f t="shared" si="8"/>
        <v>490.8862841929913</v>
      </c>
      <c r="BI24" s="62">
        <f ca="1">AVERAGE(OFFSET($BH$3,0,0,'Données projet'!$E$11+1,1))-AVERAGE(OFFSET($H$3,0,0,'Données projet'!$E$11+1,1))</f>
        <v>346.7910845218741</v>
      </c>
      <c r="BJ24" s="62">
        <f t="shared" si="38"/>
        <v>469.89734899725369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17.467499999999998</v>
      </c>
      <c r="BY24" s="13">
        <f>IF('Données projet'!$A$114&gt;35,BY23+BX24-CG23,IF(A24&lt;'Données projet'!$A$114,$BV$205^A24,IF(A24='Données projet'!$A$114,'Données projet'!$B$114,BY23+BX24-CG23)))</f>
        <v>113.56</v>
      </c>
      <c r="BZ24" s="14">
        <f>BY24*VLOOKUP('Données projet'!$B$12,Paramètres!$A$1:$I$89,3,0)*VLOOKUP('Données projet'!$B$12,Paramètres!$A$1:$I$89,5,0)</f>
        <v>67.908879999999996</v>
      </c>
      <c r="CA24" s="14">
        <f t="shared" si="39"/>
        <v>19.153245714792821</v>
      </c>
      <c r="CB24" s="22">
        <f t="shared" si="10"/>
        <v>151.63320228659748</v>
      </c>
      <c r="CC24" s="62">
        <f t="shared" si="11"/>
        <v>433.96653561993082</v>
      </c>
      <c r="CD24" s="62">
        <f ca="1">AVERAGE(OFFSET($CC$3,0,0,'Données projet'!$E$12+1,1))-AVERAGE(OFFSET($H$3,0,0,'Données projet'!$E$12+1,1))</f>
        <v>207.59954777160192</v>
      </c>
      <c r="CE24" s="62">
        <f t="shared" si="40"/>
        <v>314.81017053732063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8.1654441966111566</v>
      </c>
      <c r="CN24" s="24">
        <f t="shared" si="12"/>
        <v>8.1654441966111566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12.500000000000002</v>
      </c>
      <c r="CT24" s="13">
        <f>IF('Données projet'!$A$140&gt;35,CT23+CS24-DB23,IF(A24&lt;'Données projet'!$A$140,$CQ$205^A24,IF(A24='Données projet'!$A$140,'Données projet'!$B$140,CT23+CS24-DB23)))</f>
        <v>64.5</v>
      </c>
      <c r="CU24" s="18">
        <f>CT24*VLOOKUP('Données projet'!$B$13,Paramètres!$A$1:$I$89,3,0)*VLOOKUP('Données projet'!$B$13,Paramètres!$A$1:$I$89,5,0)</f>
        <v>47.291399999999996</v>
      </c>
      <c r="CV24" s="14">
        <f t="shared" si="41"/>
        <v>13.91200070808976</v>
      </c>
      <c r="CW24" s="22">
        <f t="shared" si="13"/>
        <v>106.595922899923</v>
      </c>
      <c r="CX24" s="62">
        <f t="shared" si="14"/>
        <v>388.9292562332563</v>
      </c>
      <c r="CY24" s="62">
        <f ca="1">AVERAGE(OFFSET($CX$3,0,0,'Données projet'!$E$13+1,1))-AVERAGE(OFFSET($H$3,0,0,'Données projet'!$E$13+1,1))</f>
        <v>290.68086183422963</v>
      </c>
      <c r="CZ24" s="62">
        <f t="shared" si="42"/>
        <v>317.88330630101785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404.72813945687091</v>
      </c>
      <c r="S25" s="62">
        <f ca="1">AVERAGE(OFFSET($R$3,0,0,'Données projet'!$E$9+1,1))-AVERAGE(OFFSET($H$3,0,0,'Données projet'!$E$9+1,1))</f>
        <v>476.8965664931755</v>
      </c>
      <c r="T25" s="62">
        <f t="shared" si="34"/>
        <v>254.25036207346591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392.00305746847613</v>
      </c>
      <c r="AN25" s="62">
        <f ca="1">AVERAGE(OFFSET($AM$3,0,0,'Données projet'!$E$10+1,1))-AVERAGE(OFFSET($H$3,0,0,'Données projet'!$E$10+1,1))</f>
        <v>430.11660085503223</v>
      </c>
      <c r="AO25" s="62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13.8</v>
      </c>
      <c r="BD25" s="13">
        <f>IF('Données projet'!$A$88&gt;35,BD24+BC25-BL24,IF(A25&lt;'Données projet'!$A$88,$BA$205^A25,IF(A25='Données projet'!$A$88,'Données projet'!$B$88,BD24+BC25-BL24)))</f>
        <v>121.59999999999998</v>
      </c>
      <c r="BE25" s="14">
        <f>BD25*VLOOKUP('Données projet'!$B$11,Paramètres!$A$1:$I$89,3,0)*VLOOKUP('Données projet'!$B$11,Paramètres!$A$1:$I$89,5,0)</f>
        <v>106.22975999999998</v>
      </c>
      <c r="BF25" s="14">
        <f t="shared" si="37"/>
        <v>28.440891625171467</v>
      </c>
      <c r="BG25" s="22">
        <f t="shared" si="7"/>
        <v>234.55138491384025</v>
      </c>
      <c r="BH25" s="62">
        <f t="shared" si="8"/>
        <v>518.10694046939579</v>
      </c>
      <c r="BI25" s="62">
        <f ca="1">AVERAGE(OFFSET($BH$3,0,0,'Données projet'!$E$11+1,1))-AVERAGE(OFFSET($H$3,0,0,'Données projet'!$E$11+1,1))</f>
        <v>346.7910845218741</v>
      </c>
      <c r="BJ25" s="62">
        <f t="shared" si="38"/>
        <v>469.89734899725369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17.467499999999998</v>
      </c>
      <c r="BY25" s="13">
        <f>IF('Données projet'!$A$114&gt;35,BY24+BX25-CG24,IF(A25&lt;'Données projet'!$A$114,$BV$205^A25,IF(A25='Données projet'!$A$114,'Données projet'!$B$114,BY24+BX25-CG24)))</f>
        <v>131.0275</v>
      </c>
      <c r="BZ25" s="14">
        <f>BY25*VLOOKUP('Données projet'!$B$12,Paramètres!$A$1:$I$89,3,0)*VLOOKUP('Données projet'!$B$12,Paramètres!$A$1:$I$89,5,0)</f>
        <v>78.354445000000013</v>
      </c>
      <c r="CA25" s="14">
        <f t="shared" si="39"/>
        <v>21.734351982919002</v>
      </c>
      <c r="CB25" s="22">
        <f t="shared" si="10"/>
        <v>174.32132141191724</v>
      </c>
      <c r="CC25" s="62">
        <f t="shared" si="11"/>
        <v>457.87687696747275</v>
      </c>
      <c r="CD25" s="62">
        <f ca="1">AVERAGE(OFFSET($CC$3,0,0,'Données projet'!$E$12+1,1))-AVERAGE(OFFSET($H$3,0,0,'Données projet'!$E$12+1,1))</f>
        <v>207.59954777160192</v>
      </c>
      <c r="CE25" s="62">
        <f t="shared" si="40"/>
        <v>314.81017053732063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5.7738409628240897</v>
      </c>
      <c r="CN25" s="24">
        <f t="shared" si="12"/>
        <v>5.7738409628240897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12.500000000000002</v>
      </c>
      <c r="CT25" s="13">
        <f>IF('Données projet'!$A$140&gt;35,CT24+CS25-DB24,IF(A25&lt;'Données projet'!$A$140,$CQ$205^A25,IF(A25='Données projet'!$A$140,'Données projet'!$B$140,CT24+CS25-DB24)))</f>
        <v>77</v>
      </c>
      <c r="CU25" s="18">
        <f>CT25*VLOOKUP('Données projet'!$B$13,Paramètres!$A$1:$I$89,3,0)*VLOOKUP('Données projet'!$B$13,Paramètres!$A$1:$I$89,5,0)</f>
        <v>56.456399999999995</v>
      </c>
      <c r="CV25" s="14">
        <f t="shared" si="41"/>
        <v>16.269186287972712</v>
      </c>
      <c r="CW25" s="22">
        <f t="shared" si="13"/>
        <v>126.66372945155246</v>
      </c>
      <c r="CX25" s="62">
        <f t="shared" si="14"/>
        <v>410.219285007108</v>
      </c>
      <c r="CY25" s="62">
        <f ca="1">AVERAGE(OFFSET($CX$3,0,0,'Données projet'!$E$13+1,1))-AVERAGE(OFFSET($H$3,0,0,'Données projet'!$E$13+1,1))</f>
        <v>290.68086183422963</v>
      </c>
      <c r="CZ25" s="62">
        <f t="shared" si="42"/>
        <v>317.88330630101785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418.35693573662502</v>
      </c>
      <c r="S26" s="62">
        <f ca="1">AVERAGE(OFFSET($R$3,0,0,'Données projet'!$E$9+1,1))-AVERAGE(OFFSET($H$3,0,0,'Données projet'!$E$9+1,1))</f>
        <v>476.8965664931755</v>
      </c>
      <c r="T26" s="62">
        <f t="shared" si="34"/>
        <v>254.25036207346591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404.32574406333623</v>
      </c>
      <c r="AN26" s="62">
        <f ca="1">AVERAGE(OFFSET($AM$3,0,0,'Données projet'!$E$10+1,1))-AVERAGE(OFFSET($H$3,0,0,'Données projet'!$E$10+1,1))</f>
        <v>430.11660085503223</v>
      </c>
      <c r="AO26" s="62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13.8</v>
      </c>
      <c r="BD26" s="13">
        <f>IF('Données projet'!$A$88&gt;35,BD25+BC26-BL25,IF(A26&lt;'Données projet'!$A$88,$BA$205^A26,IF(A26='Données projet'!$A$88,'Données projet'!$B$88,BD25+BC26-BL25)))</f>
        <v>135.39999999999998</v>
      </c>
      <c r="BE26" s="14">
        <f>BD26*VLOOKUP('Données projet'!$B$11,Paramètres!$A$1:$I$89,3,0)*VLOOKUP('Données projet'!$B$11,Paramètres!$A$1:$I$89,5,0)</f>
        <v>118.28543999999999</v>
      </c>
      <c r="BF26" s="14">
        <f t="shared" si="37"/>
        <v>31.274772013169596</v>
      </c>
      <c r="BG26" s="22">
        <f t="shared" si="7"/>
        <v>260.48403592293704</v>
      </c>
      <c r="BH26" s="62">
        <f t="shared" si="8"/>
        <v>545.26181370071481</v>
      </c>
      <c r="BI26" s="62">
        <f ca="1">AVERAGE(OFFSET($BH$3,0,0,'Données projet'!$E$11+1,1))-AVERAGE(OFFSET($H$3,0,0,'Données projet'!$E$11+1,1))</f>
        <v>346.7910845218741</v>
      </c>
      <c r="BJ26" s="62">
        <f t="shared" si="38"/>
        <v>469.89734899725369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17.467499999999998</v>
      </c>
      <c r="BY26" s="13">
        <f>IF('Données projet'!$A$114&gt;35,BY25+BX26-CG25,IF(A26&lt;'Données projet'!$A$114,$BV$205^A26,IF(A26='Données projet'!$A$114,'Données projet'!$B$114,BY25+BX26-CG25)))</f>
        <v>148.495</v>
      </c>
      <c r="BZ26" s="14">
        <f>BY26*VLOOKUP('Données projet'!$B$12,Paramètres!$A$1:$I$89,3,0)*VLOOKUP('Données projet'!$B$12,Paramètres!$A$1:$I$89,5,0)</f>
        <v>88.800010000000015</v>
      </c>
      <c r="CA26" s="14">
        <f t="shared" si="39"/>
        <v>24.275590600103271</v>
      </c>
      <c r="CB26" s="22">
        <f t="shared" si="10"/>
        <v>196.94000437851321</v>
      </c>
      <c r="CC26" s="62">
        <f t="shared" si="11"/>
        <v>481.71778215629098</v>
      </c>
      <c r="CD26" s="62">
        <f ca="1">AVERAGE(OFFSET($CC$3,0,0,'Données projet'!$E$12+1,1))-AVERAGE(OFFSET($H$3,0,0,'Données projet'!$E$12+1,1))</f>
        <v>207.59954777160192</v>
      </c>
      <c r="CE26" s="62">
        <f t="shared" si="40"/>
        <v>314.81017053732063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4.0827220983055783</v>
      </c>
      <c r="CN26" s="24">
        <f t="shared" si="12"/>
        <v>4.0827220983055783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12.500000000000002</v>
      </c>
      <c r="CT26" s="13">
        <f>IF('Données projet'!$A$140&gt;35,CT25+CS26-DB25,IF(A26&lt;'Données projet'!$A$140,$CQ$205^A26,IF(A26='Données projet'!$A$140,'Données projet'!$B$140,CT25+CS26-DB25)))</f>
        <v>89.5</v>
      </c>
      <c r="CU26" s="18">
        <f>CT26*VLOOKUP('Données projet'!$B$13,Paramètres!$A$1:$I$89,3,0)*VLOOKUP('Données projet'!$B$13,Paramètres!$A$1:$I$89,5,0)</f>
        <v>65.621399999999994</v>
      </c>
      <c r="CV26" s="14">
        <f t="shared" si="41"/>
        <v>18.582043022537167</v>
      </c>
      <c r="CW26" s="22">
        <f t="shared" si="13"/>
        <v>146.65432993091889</v>
      </c>
      <c r="CX26" s="62">
        <f t="shared" si="14"/>
        <v>431.43210770869666</v>
      </c>
      <c r="CY26" s="62">
        <f ca="1">AVERAGE(OFFSET($CX$3,0,0,'Données projet'!$E$13+1,1))-AVERAGE(OFFSET($H$3,0,0,'Données projet'!$E$13+1,1))</f>
        <v>290.68086183422963</v>
      </c>
      <c r="CZ26" s="62">
        <f t="shared" si="42"/>
        <v>317.88330630101785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431.95794243077449</v>
      </c>
      <c r="S27" s="62">
        <f ca="1">AVERAGE(OFFSET($R$3,0,0,'Données projet'!$E$9+1,1))-AVERAGE(OFFSET($H$3,0,0,'Données projet'!$E$9+1,1))</f>
        <v>476.8965664931755</v>
      </c>
      <c r="T27" s="62">
        <f t="shared" si="34"/>
        <v>254.25036207346591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416.62330272297186</v>
      </c>
      <c r="AN27" s="62">
        <f ca="1">AVERAGE(OFFSET($AM$3,0,0,'Données projet'!$E$10+1,1))-AVERAGE(OFFSET($H$3,0,0,'Données projet'!$E$10+1,1))</f>
        <v>430.11660085503223</v>
      </c>
      <c r="AO27" s="62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13.8</v>
      </c>
      <c r="BD27" s="13">
        <f>IF('Données projet'!$A$88&gt;35,BD26+BC27-BL26,IF(A27&lt;'Données projet'!$A$88,$BA$205^A27,IF(A27='Données projet'!$A$88,'Données projet'!$B$88,BD26+BC27-BL26)))</f>
        <v>149.19999999999999</v>
      </c>
      <c r="BE27" s="14">
        <f>BD27*VLOOKUP('Données projet'!$B$11,Paramètres!$A$1:$I$89,3,0)*VLOOKUP('Données projet'!$B$11,Paramètres!$A$1:$I$89,5,0)</f>
        <v>130.34112000000002</v>
      </c>
      <c r="BF27" s="14">
        <f t="shared" si="37"/>
        <v>34.075170122989917</v>
      </c>
      <c r="BG27" s="22">
        <f t="shared" si="7"/>
        <v>286.35837196420749</v>
      </c>
      <c r="BH27" s="62">
        <f t="shared" si="8"/>
        <v>572.35837196420744</v>
      </c>
      <c r="BI27" s="62">
        <f ca="1">AVERAGE(OFFSET($BH$3,0,0,'Données projet'!$E$11+1,1))-AVERAGE(OFFSET($H$3,0,0,'Données projet'!$E$11+1,1))</f>
        <v>346.7910845218741</v>
      </c>
      <c r="BJ27" s="62">
        <f t="shared" si="38"/>
        <v>469.89734899725369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17.467499999999998</v>
      </c>
      <c r="BY27" s="13">
        <f>IF('Données projet'!$A$114&gt;35,BY26+BX27-CG26,IF(A27&lt;'Données projet'!$A$114,$BV$205^A27,IF(A27='Données projet'!$A$114,'Données projet'!$B$114,BY26+BX27-CG26)))</f>
        <v>165.96250000000001</v>
      </c>
      <c r="BZ27" s="14">
        <f>BY27*VLOOKUP('Données projet'!$B$12,Paramètres!$A$1:$I$89,3,0)*VLOOKUP('Données projet'!$B$12,Paramètres!$A$1:$I$89,5,0)</f>
        <v>99.245575000000017</v>
      </c>
      <c r="CA27" s="14">
        <f t="shared" si="39"/>
        <v>26.782187057319131</v>
      </c>
      <c r="CB27" s="22">
        <f t="shared" si="10"/>
        <v>219.49835224983087</v>
      </c>
      <c r="CC27" s="62">
        <f t="shared" si="11"/>
        <v>505.49835224983087</v>
      </c>
      <c r="CD27" s="62">
        <f ca="1">AVERAGE(OFFSET($CC$3,0,0,'Données projet'!$E$12+1,1))-AVERAGE(OFFSET($H$3,0,0,'Données projet'!$E$12+1,1))</f>
        <v>207.59954777160192</v>
      </c>
      <c r="CE27" s="62">
        <f t="shared" si="40"/>
        <v>314.81017053732063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2.8869204814120448</v>
      </c>
      <c r="CN27" s="24">
        <f t="shared" si="12"/>
        <v>2.8869204814120448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12.500000000000002</v>
      </c>
      <c r="CT27" s="13">
        <f>IF('Données projet'!$A$140&gt;35,CT26+CS27-DB26,IF(A27&lt;'Données projet'!$A$140,$CQ$205^A27,IF(A27='Données projet'!$A$140,'Données projet'!$B$140,CT26+CS27-DB26)))</f>
        <v>102</v>
      </c>
      <c r="CU27" s="18">
        <f>CT27*VLOOKUP('Données projet'!$B$13,Paramètres!$A$1:$I$89,3,0)*VLOOKUP('Données projet'!$B$13,Paramètres!$A$1:$I$89,5,0)</f>
        <v>74.7864</v>
      </c>
      <c r="CV27" s="14">
        <f t="shared" si="41"/>
        <v>20.857475351088969</v>
      </c>
      <c r="CW27" s="22">
        <f t="shared" si="13"/>
        <v>166.57974956981329</v>
      </c>
      <c r="CX27" s="62">
        <f t="shared" si="14"/>
        <v>452.57974956981332</v>
      </c>
      <c r="CY27" s="62">
        <f ca="1">AVERAGE(OFFSET($CX$3,0,0,'Données projet'!$E$13+1,1))-AVERAGE(OFFSET($H$3,0,0,'Données projet'!$E$13+1,1))</f>
        <v>290.68086183422963</v>
      </c>
      <c r="CZ27" s="62">
        <f t="shared" si="42"/>
        <v>317.88330630101785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445.53385078478129</v>
      </c>
      <c r="S28" s="62">
        <f ca="1">AVERAGE(OFFSET($R$3,0,0,'Données projet'!$E$9+1,1))-AVERAGE(OFFSET($H$3,0,0,'Données projet'!$E$9+1,1))</f>
        <v>476.8965664931755</v>
      </c>
      <c r="T28" s="62">
        <f t="shared" si="34"/>
        <v>254.25036207346591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430.11660085503223</v>
      </c>
      <c r="AO28" s="62">
        <f t="shared" si="36"/>
        <v>231.36959598460686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163</v>
      </c>
      <c r="BB28" s="13">
        <f>VLOOKUP(A28,'Données projet'!$A$87:$I$107,9,0)</f>
        <v>13.8</v>
      </c>
      <c r="BC28" s="13">
        <f t="array" ref="BC28">INDEX(BB:BB,MIN(IF(ISNUMBER(BB28:BB224),ROW(BB28:BB224),"")))</f>
        <v>13.8</v>
      </c>
      <c r="BD28" s="13">
        <f>IF('Données projet'!$A$88&gt;35,BD27+BC28-BL27,IF(A28&lt;'Données projet'!$A$88,$BA$205^A28,IF(A28='Données projet'!$A$88,'Données projet'!$B$88,BD27+BC28-BL27)))</f>
        <v>163</v>
      </c>
      <c r="BE28" s="14">
        <f>BD28*VLOOKUP('Données projet'!$B$11,Paramètres!$A$1:$I$89,3,0)*VLOOKUP('Données projet'!$B$11,Paramètres!$A$1:$I$89,5,0)</f>
        <v>142.39680000000004</v>
      </c>
      <c r="BF28" s="14">
        <f t="shared" si="37"/>
        <v>36.845535084476985</v>
      </c>
      <c r="BG28" s="22">
        <f t="shared" si="7"/>
        <v>312.18040027213078</v>
      </c>
      <c r="BH28" s="62">
        <f t="shared" si="8"/>
        <v>599.40262249435295</v>
      </c>
      <c r="BI28" s="62">
        <f ca="1">AVERAGE(OFFSET($BH$3,0,0,'Données projet'!$E$11+1,1))-AVERAGE(OFFSET($H$3,0,0,'Données projet'!$E$11+1,1))</f>
        <v>346.7910845218741</v>
      </c>
      <c r="BJ28" s="62">
        <f t="shared" si="38"/>
        <v>469.89734899725369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17.467499999999998</v>
      </c>
      <c r="BY28" s="13">
        <f>IF('Données projet'!$A$114&gt;35,BY27+BX28-CG27,IF(A28&lt;'Données projet'!$A$114,$BV$205^A28,IF(A28='Données projet'!$A$114,'Données projet'!$B$114,BY27+BX28-CG27)))</f>
        <v>183.43</v>
      </c>
      <c r="BZ28" s="14">
        <f>BY28*VLOOKUP('Données projet'!$B$12,Paramètres!$A$1:$I$89,3,0)*VLOOKUP('Données projet'!$B$12,Paramètres!$A$1:$I$89,5,0)</f>
        <v>109.69114000000002</v>
      </c>
      <c r="CA28" s="14">
        <f t="shared" si="39"/>
        <v>29.258202843413819</v>
      </c>
      <c r="CB28" s="22">
        <f t="shared" si="10"/>
        <v>242.00343878561242</v>
      </c>
      <c r="CC28" s="62">
        <f t="shared" si="11"/>
        <v>529.22566100783467</v>
      </c>
      <c r="CD28" s="62">
        <f ca="1">AVERAGE(OFFSET($CC$3,0,0,'Données projet'!$E$12+1,1))-AVERAGE(OFFSET($H$3,0,0,'Données projet'!$E$12+1,1))</f>
        <v>207.59954777160192</v>
      </c>
      <c r="CE28" s="62">
        <f t="shared" si="40"/>
        <v>314.81017053732063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2.0413610491527892</v>
      </c>
      <c r="CN28" s="24">
        <f t="shared" si="12"/>
        <v>2.0413610491527892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114.5</v>
      </c>
      <c r="CR28" s="13">
        <f>VLOOKUP(A28,'Données projet'!$A$139:$I$159,9,0)</f>
        <v>12.500000000000002</v>
      </c>
      <c r="CS28" s="13">
        <f t="array" ref="CS28">INDEX(CR:CR,MIN(IF(ISNUMBER(CR28:CR224),ROW(CR28:CR224),"")))</f>
        <v>12.500000000000002</v>
      </c>
      <c r="CT28" s="13">
        <f>IF('Données projet'!$A$140&gt;35,CT27+CS28-DB27,IF(A28&lt;'Données projet'!$A$140,$CQ$205^A28,IF(A28='Données projet'!$A$140,'Données projet'!$B$140,CT27+CS28-DB27)))</f>
        <v>114.5</v>
      </c>
      <c r="CU28" s="18">
        <f>CT28*VLOOKUP('Données projet'!$B$13,Paramètres!$A$1:$I$89,3,0)*VLOOKUP('Données projet'!$B$13,Paramètres!$A$1:$I$89,5,0)</f>
        <v>83.951399999999992</v>
      </c>
      <c r="CV28" s="14">
        <f t="shared" si="41"/>
        <v>23.100594423051504</v>
      </c>
      <c r="CW28" s="22">
        <f t="shared" si="13"/>
        <v>186.44889028681465</v>
      </c>
      <c r="CX28" s="62">
        <f t="shared" si="14"/>
        <v>473.6711125090369</v>
      </c>
      <c r="CY28" s="62">
        <f ca="1">AVERAGE(OFFSET($CX$3,0,0,'Données projet'!$E$13+1,1))-AVERAGE(OFFSET($H$3,0,0,'Données projet'!$E$13+1,1))</f>
        <v>290.68086183422963</v>
      </c>
      <c r="CZ28" s="62">
        <f t="shared" si="42"/>
        <v>317.88330630101785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2">
        <f t="shared" si="0"/>
        <v>444.55179371342422</v>
      </c>
      <c r="S29" s="62">
        <f ca="1">AVERAGE(OFFSET($R$3,0,0,'Données projet'!$E$9+1,1))-AVERAGE(OFFSET($H$3,0,0,'Données projet'!$E$9+1,1))</f>
        <v>476.8965664931755</v>
      </c>
      <c r="T29" s="62">
        <f t="shared" si="34"/>
        <v>254.25036207346591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430.11660085503223</v>
      </c>
      <c r="AO29" s="62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</v>
      </c>
      <c r="BD29" s="13">
        <f>IF('Données projet'!$A$88&gt;35,BD28+BC29-BL28,IF(A29&lt;'Données projet'!$A$88,$BA$205^A29,IF(A29='Données projet'!$A$88,'Données projet'!$B$88,BD28+BC29-BL28)))</f>
        <v>176</v>
      </c>
      <c r="BE29" s="14">
        <f>BD29*VLOOKUP('Données projet'!$B$11,Paramètres!$A$1:$I$89,3,0)*VLOOKUP('Données projet'!$B$11,Paramètres!$A$1:$I$89,5,0)</f>
        <v>153.75360000000001</v>
      </c>
      <c r="BF29" s="14">
        <f t="shared" si="37"/>
        <v>39.430373774012359</v>
      </c>
      <c r="BG29" s="22">
        <f t="shared" si="7"/>
        <v>336.46208765640489</v>
      </c>
      <c r="BH29" s="62">
        <f t="shared" si="8"/>
        <v>624.90653210084929</v>
      </c>
      <c r="BI29" s="62">
        <f ca="1">AVERAGE(OFFSET($BH$3,0,0,'Données projet'!$E$11+1,1))-AVERAGE(OFFSET($H$3,0,0,'Données projet'!$E$11+1,1))</f>
        <v>346.7910845218741</v>
      </c>
      <c r="BJ29" s="62">
        <f t="shared" si="38"/>
        <v>469.89734899725369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17.467499999999998</v>
      </c>
      <c r="BY29" s="13">
        <f>IF('Données projet'!$A$114&gt;35,BY28+BX29-CG28,IF(A29&lt;'Données projet'!$A$114,$BV$205^A29,IF(A29='Données projet'!$A$114,'Données projet'!$B$114,BY28+BX29-CG28)))</f>
        <v>200.89750000000001</v>
      </c>
      <c r="BZ29" s="14">
        <f>BY29*VLOOKUP('Données projet'!$B$12,Paramètres!$A$1:$I$89,3,0)*VLOOKUP('Données projet'!$B$12,Paramètres!$A$1:$I$89,5,0)</f>
        <v>120.13670500000001</v>
      </c>
      <c r="CA29" s="14">
        <f t="shared" si="39"/>
        <v>31.706881377334156</v>
      </c>
      <c r="CB29" s="22">
        <f t="shared" si="10"/>
        <v>264.46091294052366</v>
      </c>
      <c r="CC29" s="62">
        <f t="shared" si="11"/>
        <v>552.90535738496806</v>
      </c>
      <c r="CD29" s="62">
        <f ca="1">AVERAGE(OFFSET($CC$3,0,0,'Données projet'!$E$12+1,1))-AVERAGE(OFFSET($H$3,0,0,'Données projet'!$E$12+1,1))</f>
        <v>207.59954777160192</v>
      </c>
      <c r="CE29" s="62">
        <f t="shared" si="40"/>
        <v>314.81017053732063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1.4434602407060224</v>
      </c>
      <c r="CN29" s="24">
        <f t="shared" si="12"/>
        <v>1.4434602407060224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12</v>
      </c>
      <c r="CT29" s="13">
        <f>IF('Données projet'!$A$140&gt;35,CT28+CS29-DB28,IF(A29&lt;'Données projet'!$A$140,$CQ$205^A29,IF(A29='Données projet'!$A$140,'Données projet'!$B$140,CT28+CS29-DB28)))</f>
        <v>126.5</v>
      </c>
      <c r="CU29" s="18">
        <f>CT29*VLOOKUP('Données projet'!$B$13,Paramètres!$A$1:$I$89,3,0)*VLOOKUP('Données projet'!$B$13,Paramètres!$A$1:$I$89,5,0)</f>
        <v>92.749800000000008</v>
      </c>
      <c r="CV29" s="14">
        <f t="shared" si="41"/>
        <v>25.227244455268032</v>
      </c>
      <c r="CW29" s="22">
        <f t="shared" si="13"/>
        <v>205.47668575959185</v>
      </c>
      <c r="CX29" s="62">
        <f t="shared" si="14"/>
        <v>493.92113020403633</v>
      </c>
      <c r="CY29" s="62">
        <f ca="1">AVERAGE(OFFSET($CX$3,0,0,'Données projet'!$E$13+1,1))-AVERAGE(OFFSET($H$3,0,0,'Données projet'!$E$13+1,1))</f>
        <v>290.68086183422963</v>
      </c>
      <c r="CZ29" s="62">
        <f t="shared" si="42"/>
        <v>317.88330630101785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2">
        <f t="shared" si="0"/>
        <v>461.18906914179763</v>
      </c>
      <c r="S30" s="62">
        <f ca="1">AVERAGE(OFFSET($R$3,0,0,'Données projet'!$E$9+1,1))-AVERAGE(OFFSET($H$3,0,0,'Données projet'!$E$9+1,1))</f>
        <v>476.8965664931755</v>
      </c>
      <c r="T30" s="62">
        <f t="shared" si="34"/>
        <v>254.25036207346591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430.11660085503223</v>
      </c>
      <c r="AO30" s="62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</v>
      </c>
      <c r="BD30" s="13">
        <f>IF('Données projet'!$A$88&gt;35,BD29+BC30-BL29,IF(A30&lt;'Données projet'!$A$88,$BA$205^A30,IF(A30='Données projet'!$A$88,'Données projet'!$B$88,BD29+BC30-BL29)))</f>
        <v>189</v>
      </c>
      <c r="BE30" s="14">
        <f>BD30*VLOOKUP('Données projet'!$B$11,Paramètres!$A$1:$I$89,3,0)*VLOOKUP('Données projet'!$B$11,Paramètres!$A$1:$I$89,5,0)</f>
        <v>165.1104</v>
      </c>
      <c r="BF30" s="14">
        <f t="shared" si="37"/>
        <v>41.993062739333446</v>
      </c>
      <c r="BG30" s="22">
        <f t="shared" si="7"/>
        <v>360.70519760433905</v>
      </c>
      <c r="BH30" s="62">
        <f t="shared" si="8"/>
        <v>650.37186427100573</v>
      </c>
      <c r="BI30" s="62">
        <f ca="1">AVERAGE(OFFSET($BH$3,0,0,'Données projet'!$E$11+1,1))-AVERAGE(OFFSET($H$3,0,0,'Données projet'!$E$11+1,1))</f>
        <v>346.7910845218741</v>
      </c>
      <c r="BJ30" s="62">
        <f t="shared" si="38"/>
        <v>469.89734899725369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>
        <f>VLOOKUP(A30,'Données projet'!$A$113:$I$133,2,0)</f>
        <v>218.36499999999998</v>
      </c>
      <c r="BW30" s="13">
        <f>VLOOKUP(A30,'Données projet'!$A$113:$I$133,9,0)</f>
        <v>17.467499999999998</v>
      </c>
      <c r="BX30" s="13">
        <f t="array" ref="BX30">INDEX(BW:BW,MIN(IF(ISNUMBER(BW30:BW226),ROW(BW30:BW226),"")))</f>
        <v>17.467499999999998</v>
      </c>
      <c r="BY30" s="13">
        <f>IF('Données projet'!$A$114&gt;35,BY29+BX30-CG29,IF(A30&lt;'Données projet'!$A$114,$BV$205^A30,IF(A30='Données projet'!$A$114,'Données projet'!$B$114,BY29+BX30-CG29)))</f>
        <v>218.36500000000001</v>
      </c>
      <c r="BZ30" s="14">
        <f>BY30*VLOOKUP('Données projet'!$B$12,Paramètres!$A$1:$I$89,3,0)*VLOOKUP('Données projet'!$B$12,Paramètres!$A$1:$I$89,5,0)</f>
        <v>130.58227000000002</v>
      </c>
      <c r="CA30" s="14">
        <f t="shared" si="39"/>
        <v>34.13086981877764</v>
      </c>
      <c r="CB30" s="22">
        <f t="shared" si="10"/>
        <v>286.87538518437117</v>
      </c>
      <c r="CC30" s="62">
        <f t="shared" si="11"/>
        <v>576.54205185103785</v>
      </c>
      <c r="CD30" s="62">
        <f ca="1">AVERAGE(OFFSET($CC$3,0,0,'Données projet'!$E$12+1,1))-AVERAGE(OFFSET($H$3,0,0,'Données projet'!$E$12+1,1))</f>
        <v>207.59954777160192</v>
      </c>
      <c r="CE30" s="62">
        <f t="shared" si="40"/>
        <v>314.81017053732063</v>
      </c>
      <c r="CF30" s="16">
        <f>IF(ISNA(VLOOKUP(A30,'Données projet'!$A$113:$I$133,3,0)),0,VLOOKUP(A30,'Données projet'!$A$113:$I$133,3,0))</f>
        <v>3</v>
      </c>
      <c r="CG30" s="16">
        <f>IF(ISNA(VLOOKUP(A30,'Données projet'!$A$113:$I$133,4,0)),0,VLOOKUP(A30,'Données projet'!$A$113:$I$133,4,0))</f>
        <v>54.518999999999998</v>
      </c>
      <c r="CH30" s="17">
        <f>IF(ISNA(VLOOKUP(A30,'Données projet'!$A$113:$I$133,5,0)),0%,VLOOKUP(A30,'Données projet'!$A$113:$I$133,5,0)*VLOOKUP('Données projet'!$B$12,Paramètres!$A$1:$I$89,7,0))</f>
        <v>9.0000000000000011E-2</v>
      </c>
      <c r="CI30" s="17">
        <f>IF(ISNA(VLOOKUP(A30,'Données projet'!$A$113:$I$133,6,0)),0%,VLOOKUP(A30,'Données projet'!$A$113:$I$133,6,0)*VLOOKUP('Données projet'!$B$12,Paramètres!$A$1:$I$89,7,0))</f>
        <v>0.13500000000000001</v>
      </c>
      <c r="CJ30" s="17">
        <f>IF(ISNA(VLOOKUP(A30,'Données projet'!$A$113:$I$133,7,0)),0%,VLOOKUP(A30,'Données projet'!$A$113:$I$133,7,0))</f>
        <v>0.5</v>
      </c>
      <c r="CK30" s="23">
        <f>EXP(-LN(2)/35)*CK29+(1-EXP(-LN(2)/35))/(LN(2)/35)*CG30*CH30*VLOOKUP('Données projet'!$B$12,Paramètres!$A$1:$I$89,3,0)*0.475*44/12</f>
        <v>3.8924221133315484</v>
      </c>
      <c r="CL30" s="23">
        <f>EXP(-LN(2)/25)*CL29+(1-EXP(-LN(2)/25))/(LN(2)/25)*Calculateur!CG30*Calculateur!CI30*VLOOKUP('Données projet'!$B$12,Paramètres!$A$1:$I$89,3,0)*0.475*44/12</f>
        <v>5.8156442465133926</v>
      </c>
      <c r="CM30" s="23">
        <f>EXP(-LN(2)/2)*CM29+(1-EXP(-LN(2)/2))/(LN(2)/2)*CG30*CJ30*VLOOKUP('Données projet'!$B$12,Paramètres!$A$1:$I$89,3,0)*0.475*44/12</f>
        <v>19.477404140601166</v>
      </c>
      <c r="CN30" s="24">
        <f t="shared" si="12"/>
        <v>29.185470500446108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12</v>
      </c>
      <c r="CT30" s="13">
        <f>IF('Données projet'!$A$140&gt;35,CT29+CS30-DB29,IF(A30&lt;'Données projet'!$A$140,$CQ$205^A30,IF(A30='Données projet'!$A$140,'Données projet'!$B$140,CT29+CS30-DB29)))</f>
        <v>138.5</v>
      </c>
      <c r="CU30" s="18">
        <f>CT30*VLOOKUP('Données projet'!$B$13,Paramètres!$A$1:$I$89,3,0)*VLOOKUP('Données projet'!$B$13,Paramètres!$A$1:$I$89,5,0)</f>
        <v>101.54820000000001</v>
      </c>
      <c r="CV30" s="14">
        <f t="shared" si="41"/>
        <v>27.330504406668176</v>
      </c>
      <c r="CW30" s="22">
        <f t="shared" si="13"/>
        <v>224.46374350828043</v>
      </c>
      <c r="CX30" s="62">
        <f t="shared" si="14"/>
        <v>514.13041017494709</v>
      </c>
      <c r="CY30" s="62">
        <f ca="1">AVERAGE(OFFSET($CX$3,0,0,'Données projet'!$E$13+1,1))-AVERAGE(OFFSET($H$3,0,0,'Données projet'!$E$13+1,1))</f>
        <v>290.68086183422963</v>
      </c>
      <c r="CZ30" s="62">
        <f t="shared" si="42"/>
        <v>317.88330630101785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2">
        <f t="shared" si="0"/>
        <v>477.79374257568782</v>
      </c>
      <c r="S31" s="62">
        <f ca="1">AVERAGE(OFFSET($R$3,0,0,'Données projet'!$E$9+1,1))-AVERAGE(OFFSET($H$3,0,0,'Données projet'!$E$9+1,1))</f>
        <v>476.8965664931755</v>
      </c>
      <c r="T31" s="62">
        <f t="shared" si="34"/>
        <v>254.25036207346591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430.11660085503223</v>
      </c>
      <c r="AO31" s="62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</v>
      </c>
      <c r="BD31" s="13">
        <f>IF('Données projet'!$A$88&gt;35,BD30+BC31-BL30,IF(A31&lt;'Données projet'!$A$88,$BA$205^A31,IF(A31='Données projet'!$A$88,'Données projet'!$B$88,BD30+BC31-BL30)))</f>
        <v>202</v>
      </c>
      <c r="BE31" s="14">
        <f>BD31*VLOOKUP('Données projet'!$B$11,Paramètres!$A$1:$I$89,3,0)*VLOOKUP('Données projet'!$B$11,Paramètres!$A$1:$I$89,5,0)</f>
        <v>176.46720000000002</v>
      </c>
      <c r="BF31" s="14">
        <f t="shared" si="37"/>
        <v>44.535298821989393</v>
      </c>
      <c r="BG31" s="22">
        <f t="shared" si="7"/>
        <v>384.91268544829819</v>
      </c>
      <c r="BH31" s="62">
        <f t="shared" si="8"/>
        <v>675.80157433718705</v>
      </c>
      <c r="BI31" s="62">
        <f ca="1">AVERAGE(OFFSET($BH$3,0,0,'Données projet'!$E$11+1,1))-AVERAGE(OFFSET($H$3,0,0,'Données projet'!$E$11+1,1))</f>
        <v>346.7910845218741</v>
      </c>
      <c r="BJ31" s="62">
        <f t="shared" si="38"/>
        <v>469.89734899725369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15.903500000000008</v>
      </c>
      <c r="BY31" s="13">
        <f>IF('Données projet'!$A$114&gt;35,BY30+BX31-CG30,IF(A31&lt;'Données projet'!$A$114,$BV$205^A31,IF(A31='Données projet'!$A$114,'Données projet'!$B$114,BY30+BX31-CG30)))</f>
        <v>179.74950000000001</v>
      </c>
      <c r="BZ31" s="14">
        <f>BY31*VLOOKUP('Données projet'!$B$12,Paramètres!$A$1:$I$89,3,0)*VLOOKUP('Données projet'!$B$12,Paramètres!$A$1:$I$89,5,0)</f>
        <v>107.49020100000003</v>
      </c>
      <c r="CA31" s="14">
        <f t="shared" si="39"/>
        <v>28.738864371870608</v>
      </c>
      <c r="CB31" s="22">
        <f t="shared" si="10"/>
        <v>237.26562218934134</v>
      </c>
      <c r="CC31" s="62">
        <f t="shared" si="11"/>
        <v>528.15451107823014</v>
      </c>
      <c r="CD31" s="62">
        <f ca="1">AVERAGE(OFFSET($CC$3,0,0,'Données projet'!$E$12+1,1))-AVERAGE(OFFSET($H$3,0,0,'Données projet'!$E$12+1,1))</f>
        <v>207.59954777160192</v>
      </c>
      <c r="CE31" s="62">
        <f t="shared" si="40"/>
        <v>314.81017053732063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3.8160940898321787</v>
      </c>
      <c r="CL31" s="23">
        <f>EXP(-LN(2)/25)*CL30+(1-EXP(-LN(2)/25))/(LN(2)/25)*Calculateur!CG31*Calculateur!CI31*VLOOKUP('Données projet'!$B$12,Paramètres!$A$1:$I$89,3,0)*0.475*44/12</f>
        <v>5.6566151487610448</v>
      </c>
      <c r="CM31" s="23">
        <f>EXP(-LN(2)/2)*CM30+(1-EXP(-LN(2)/2))/(LN(2)/2)*CG31*CJ31*VLOOKUP('Données projet'!$B$12,Paramètres!$A$1:$I$89,3,0)*0.475*44/12</f>
        <v>13.772604547730024</v>
      </c>
      <c r="CN31" s="24">
        <f t="shared" si="12"/>
        <v>23.245313786323248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12</v>
      </c>
      <c r="CT31" s="13">
        <f>IF('Données projet'!$A$140&gt;35,CT30+CS31-DB30,IF(A31&lt;'Données projet'!$A$140,$CQ$205^A31,IF(A31='Données projet'!$A$140,'Données projet'!$B$140,CT30+CS31-DB30)))</f>
        <v>150.5</v>
      </c>
      <c r="CU31" s="18">
        <f>CT31*VLOOKUP('Données projet'!$B$13,Paramètres!$A$1:$I$89,3,0)*VLOOKUP('Données projet'!$B$13,Paramètres!$A$1:$I$89,5,0)</f>
        <v>110.34660000000001</v>
      </c>
      <c r="CV31" s="14">
        <f t="shared" si="41"/>
        <v>29.412631278116066</v>
      </c>
      <c r="CW31" s="22">
        <f t="shared" si="13"/>
        <v>243.41399447605218</v>
      </c>
      <c r="CX31" s="62">
        <f t="shared" si="14"/>
        <v>534.30288336494107</v>
      </c>
      <c r="CY31" s="62">
        <f ca="1">AVERAGE(OFFSET($CX$3,0,0,'Données projet'!$E$13+1,1))-AVERAGE(OFFSET($H$3,0,0,'Données projet'!$E$13+1,1))</f>
        <v>290.68086183422963</v>
      </c>
      <c r="CZ31" s="62">
        <f t="shared" si="42"/>
        <v>317.88330630101785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2">
        <f t="shared" si="0"/>
        <v>494.36887618743344</v>
      </c>
      <c r="S32" s="62">
        <f ca="1">AVERAGE(OFFSET($R$3,0,0,'Données projet'!$E$9+1,1))-AVERAGE(OFFSET($H$3,0,0,'Données projet'!$E$9+1,1))</f>
        <v>476.8965664931755</v>
      </c>
      <c r="T32" s="62">
        <f t="shared" si="34"/>
        <v>254.25036207346591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430.11660085503223</v>
      </c>
      <c r="AO32" s="62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</v>
      </c>
      <c r="BD32" s="13">
        <f>IF('Données projet'!$A$88&gt;35,BD31+BC32-BL31,IF(A32&lt;'Données projet'!$A$88,$BA$205^A32,IF(A32='Données projet'!$A$88,'Données projet'!$B$88,BD31+BC32-BL31)))</f>
        <v>215</v>
      </c>
      <c r="BE32" s="14">
        <f>BD32*VLOOKUP('Données projet'!$B$11,Paramètres!$A$1:$I$89,3,0)*VLOOKUP('Données projet'!$B$11,Paramètres!$A$1:$I$89,5,0)</f>
        <v>187.82400000000001</v>
      </c>
      <c r="BF32" s="14">
        <f t="shared" si="37"/>
        <v>47.05854810918273</v>
      </c>
      <c r="BG32" s="22">
        <f t="shared" si="7"/>
        <v>409.0871046234933</v>
      </c>
      <c r="BH32" s="62">
        <f t="shared" si="8"/>
        <v>701.19821573460445</v>
      </c>
      <c r="BI32" s="62">
        <f ca="1">AVERAGE(OFFSET($BH$3,0,0,'Données projet'!$E$11+1,1))-AVERAGE(OFFSET($H$3,0,0,'Données projet'!$E$11+1,1))</f>
        <v>346.7910845218741</v>
      </c>
      <c r="BJ32" s="62">
        <f t="shared" si="38"/>
        <v>469.89734899725369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15.903500000000008</v>
      </c>
      <c r="BY32" s="13">
        <f>IF('Données projet'!$A$114&gt;35,BY31+BX32-CG31,IF(A32&lt;'Données projet'!$A$114,$BV$205^A32,IF(A32='Données projet'!$A$114,'Données projet'!$B$114,BY31+BX32-CG31)))</f>
        <v>195.65300000000002</v>
      </c>
      <c r="BZ32" s="14">
        <f>BY32*VLOOKUP('Données projet'!$B$12,Paramètres!$A$1:$I$89,3,0)*VLOOKUP('Données projet'!$B$12,Paramètres!$A$1:$I$89,5,0)</f>
        <v>117.00049400000002</v>
      </c>
      <c r="CA32" s="14">
        <f t="shared" si="39"/>
        <v>30.974386453888979</v>
      </c>
      <c r="CB32" s="22">
        <f t="shared" si="10"/>
        <v>257.72291679052336</v>
      </c>
      <c r="CC32" s="62">
        <f t="shared" si="11"/>
        <v>549.8340279016345</v>
      </c>
      <c r="CD32" s="62">
        <f ca="1">AVERAGE(OFFSET($CC$3,0,0,'Données projet'!$E$12+1,1))-AVERAGE(OFFSET($H$3,0,0,'Données projet'!$E$12+1,1))</f>
        <v>207.59954777160192</v>
      </c>
      <c r="CE32" s="62">
        <f t="shared" si="40"/>
        <v>314.81017053732063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3.7412628123181344</v>
      </c>
      <c r="CL32" s="23">
        <f>EXP(-LN(2)/25)*CL31+(1-EXP(-LN(2)/25))/(LN(2)/25)*Calculateur!CG32*Calculateur!CI32*VLOOKUP('Données projet'!$B$12,Paramètres!$A$1:$I$89,3,0)*0.475*44/12</f>
        <v>5.5019347100497118</v>
      </c>
      <c r="CM32" s="23">
        <f>EXP(-LN(2)/2)*CM31+(1-EXP(-LN(2)/2))/(LN(2)/2)*CG32*CJ32*VLOOKUP('Données projet'!$B$12,Paramètres!$A$1:$I$89,3,0)*0.475*44/12</f>
        <v>9.7387020703005849</v>
      </c>
      <c r="CN32" s="24">
        <f t="shared" si="12"/>
        <v>18.981899592668434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12</v>
      </c>
      <c r="CT32" s="13">
        <f>IF('Données projet'!$A$140&gt;35,CT31+CS32-DB31,IF(A32&lt;'Données projet'!$A$140,$CQ$205^A32,IF(A32='Données projet'!$A$140,'Données projet'!$B$140,CT31+CS32-DB31)))</f>
        <v>162.5</v>
      </c>
      <c r="CU32" s="18">
        <f>CT32*VLOOKUP('Données projet'!$B$13,Paramètres!$A$1:$I$89,3,0)*VLOOKUP('Données projet'!$B$13,Paramètres!$A$1:$I$89,5,0)</f>
        <v>119.14500000000001</v>
      </c>
      <c r="CV32" s="14">
        <f t="shared" si="41"/>
        <v>31.475501672437705</v>
      </c>
      <c r="CW32" s="22">
        <f t="shared" si="13"/>
        <v>262.33070707949565</v>
      </c>
      <c r="CX32" s="62">
        <f t="shared" si="14"/>
        <v>554.4418181906068</v>
      </c>
      <c r="CY32" s="62">
        <f ca="1">AVERAGE(OFFSET($CX$3,0,0,'Données projet'!$E$13+1,1))-AVERAGE(OFFSET($H$3,0,0,'Données projet'!$E$13+1,1))</f>
        <v>290.68086183422963</v>
      </c>
      <c r="CZ32" s="62">
        <f t="shared" si="42"/>
        <v>317.88330630101785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2">
        <f t="shared" si="0"/>
        <v>510.91702874013259</v>
      </c>
      <c r="S33" s="62">
        <f ca="1">AVERAGE(OFFSET($R$3,0,0,'Données projet'!$E$9+1,1))-AVERAGE(OFFSET($H$3,0,0,'Données projet'!$E$9+1,1))</f>
        <v>476.8965664931755</v>
      </c>
      <c r="T33" s="62">
        <f t="shared" si="34"/>
        <v>254.25036207346591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430.11660085503223</v>
      </c>
      <c r="AO33" s="62">
        <f t="shared" si="36"/>
        <v>231.36959598460686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228</v>
      </c>
      <c r="BB33" s="13">
        <f>VLOOKUP(A33,'Données projet'!$A$87:$I$107,9,0)</f>
        <v>13</v>
      </c>
      <c r="BC33" s="13">
        <f t="array" ref="BC33">INDEX(BB:BB,MIN(IF(ISNUMBER(BB33:BB229),ROW(BB33:BB229),"")))</f>
        <v>13</v>
      </c>
      <c r="BD33" s="13">
        <f>IF('Données projet'!$A$88&gt;35,BD32+BC33-BL32,IF(A33&lt;'Données projet'!$A$88,$BA$205^A33,IF(A33='Données projet'!$A$88,'Données projet'!$B$88,BD32+BC33-BL32)))</f>
        <v>228</v>
      </c>
      <c r="BE33" s="14">
        <f>BD33*VLOOKUP('Données projet'!$B$11,Paramètres!$A$1:$I$89,3,0)*VLOOKUP('Données projet'!$B$11,Paramètres!$A$1:$I$89,5,0)</f>
        <v>199.1808</v>
      </c>
      <c r="BF33" s="14">
        <f t="shared" si="37"/>
        <v>49.564089376413683</v>
      </c>
      <c r="BG33" s="22">
        <f t="shared" si="7"/>
        <v>433.23068233058711</v>
      </c>
      <c r="BH33" s="62">
        <f t="shared" si="8"/>
        <v>726.56401566392037</v>
      </c>
      <c r="BI33" s="62">
        <f ca="1">AVERAGE(OFFSET($BH$3,0,0,'Données projet'!$E$11+1,1))-AVERAGE(OFFSET($H$3,0,0,'Données projet'!$E$11+1,1))</f>
        <v>346.7910845218741</v>
      </c>
      <c r="BJ33" s="62">
        <f t="shared" si="38"/>
        <v>469.89734899725369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88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15.903500000000008</v>
      </c>
      <c r="BY33" s="13">
        <f>IF('Données projet'!$A$114&gt;35,BY32+BX33-CG32,IF(A33&lt;'Données projet'!$A$114,$BV$205^A33,IF(A33='Données projet'!$A$114,'Données projet'!$B$114,BY32+BX33-CG32)))</f>
        <v>211.55650000000003</v>
      </c>
      <c r="BZ33" s="14">
        <f>BY33*VLOOKUP('Données projet'!$B$12,Paramètres!$A$1:$I$89,3,0)*VLOOKUP('Données projet'!$B$12,Paramètres!$A$1:$I$89,5,0)</f>
        <v>126.51078700000002</v>
      </c>
      <c r="CA33" s="14">
        <f t="shared" si="39"/>
        <v>33.188832447265412</v>
      </c>
      <c r="CB33" s="22">
        <f t="shared" si="10"/>
        <v>278.14350387065394</v>
      </c>
      <c r="CC33" s="62">
        <f t="shared" si="11"/>
        <v>571.47683720398732</v>
      </c>
      <c r="CD33" s="62">
        <f ca="1">AVERAGE(OFFSET($CC$3,0,0,'Données projet'!$E$12+1,1))-AVERAGE(OFFSET($H$3,0,0,'Données projet'!$E$12+1,1))</f>
        <v>207.59954777160192</v>
      </c>
      <c r="CE33" s="62">
        <f t="shared" si="40"/>
        <v>314.81017053732063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3.6678989305135681</v>
      </c>
      <c r="CL33" s="23">
        <f>EXP(-LN(2)/25)*CL32+(1-EXP(-LN(2)/25))/(LN(2)/25)*Calculateur!CG33*Calculateur!CI33*VLOOKUP('Données projet'!$B$12,Paramètres!$A$1:$I$89,3,0)*0.475*44/12</f>
        <v>5.3514840160692305</v>
      </c>
      <c r="CM33" s="23">
        <f>EXP(-LN(2)/2)*CM32+(1-EXP(-LN(2)/2))/(LN(2)/2)*CG33*CJ33*VLOOKUP('Données projet'!$B$12,Paramètres!$A$1:$I$89,3,0)*0.475*44/12</f>
        <v>6.8863022738650139</v>
      </c>
      <c r="CN33" s="24">
        <f t="shared" si="12"/>
        <v>15.905685220447811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174.5</v>
      </c>
      <c r="CR33" s="13">
        <f>VLOOKUP(A33,'Données projet'!$A$139:$I$159,9,0)</f>
        <v>12</v>
      </c>
      <c r="CS33" s="13">
        <f t="array" ref="CS33">INDEX(CR:CR,MIN(IF(ISNUMBER(CR33:CR229),ROW(CR33:CR229),"")))</f>
        <v>12</v>
      </c>
      <c r="CT33" s="13">
        <f>IF('Données projet'!$A$140&gt;35,CT32+CS33-DB32,IF(A33&lt;'Données projet'!$A$140,$CQ$205^A33,IF(A33='Données projet'!$A$140,'Données projet'!$B$140,CT32+CS33-DB32)))</f>
        <v>174.5</v>
      </c>
      <c r="CU33" s="18">
        <f>CT33*VLOOKUP('Données projet'!$B$13,Paramètres!$A$1:$I$89,3,0)*VLOOKUP('Données projet'!$B$13,Paramètres!$A$1:$I$89,5,0)</f>
        <v>127.94340000000001</v>
      </c>
      <c r="CV33" s="14">
        <f t="shared" si="41"/>
        <v>33.520699311589198</v>
      </c>
      <c r="CW33" s="22">
        <f t="shared" si="13"/>
        <v>281.21663963435122</v>
      </c>
      <c r="CX33" s="62">
        <f t="shared" si="14"/>
        <v>574.54997296768454</v>
      </c>
      <c r="CY33" s="62">
        <f ca="1">AVERAGE(OFFSET($CX$3,0,0,'Données projet'!$E$13+1,1))-AVERAGE(OFFSET($H$3,0,0,'Données projet'!$E$13+1,1))</f>
        <v>290.68086183422963</v>
      </c>
      <c r="CZ33" s="62">
        <f t="shared" si="42"/>
        <v>317.88330630101785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56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2">
        <f t="shared" si="0"/>
        <v>528.40210679086033</v>
      </c>
      <c r="S34" s="62">
        <f ca="1">AVERAGE(OFFSET($R$3,0,0,'Données projet'!$E$9+1,1))-AVERAGE(OFFSET($H$3,0,0,'Données projet'!$E$9+1,1))</f>
        <v>476.8965664931755</v>
      </c>
      <c r="T34" s="62">
        <f t="shared" si="34"/>
        <v>254.25036207346591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95.004000000000005</v>
      </c>
      <c r="AK34" s="14">
        <f t="shared" si="35"/>
        <v>25.768242550600785</v>
      </c>
      <c r="AL34" s="22">
        <f t="shared" si="4"/>
        <v>210.34498910896306</v>
      </c>
      <c r="AM34" s="62">
        <f t="shared" si="5"/>
        <v>503.67832244229635</v>
      </c>
      <c r="AN34" s="62">
        <f ca="1">AVERAGE(OFFSET($AM$3,0,0,'Données projet'!$E$10+1,1))-AVERAGE(OFFSET($H$3,0,0,'Données projet'!$E$10+1,1))</f>
        <v>430.11660085503223</v>
      </c>
      <c r="AO34" s="62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12.2</v>
      </c>
      <c r="BD34" s="13">
        <f>IF('Données projet'!$A$88&gt;35,BD33+BC34-BL33,IF(A34&lt;'Données projet'!$A$88,$BA$205^A34,IF(A34='Données projet'!$A$88,'Données projet'!$B$88,BD33+BC34-BL33)))</f>
        <v>152.19999999999999</v>
      </c>
      <c r="BE34" s="14">
        <f>BD34*VLOOKUP('Données projet'!$B$11,Paramètres!$A$1:$I$89,3,0)*VLOOKUP('Données projet'!$B$11,Paramètres!$A$1:$I$89,5,0)</f>
        <v>132.96191999999999</v>
      </c>
      <c r="BF34" s="14">
        <f t="shared" si="37"/>
        <v>34.679872132599115</v>
      </c>
      <c r="BG34" s="22">
        <f t="shared" si="7"/>
        <v>291.97612129761006</v>
      </c>
      <c r="BH34" s="62">
        <f t="shared" si="8"/>
        <v>585.30945463094338</v>
      </c>
      <c r="BI34" s="62">
        <f ca="1">AVERAGE(OFFSET($BH$3,0,0,'Données projet'!$E$11+1,1))-AVERAGE(OFFSET($H$3,0,0,'Données projet'!$E$11+1,1))</f>
        <v>346.7910845218741</v>
      </c>
      <c r="BJ34" s="62">
        <f t="shared" si="38"/>
        <v>469.89734899725369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15.903500000000008</v>
      </c>
      <c r="BY34" s="13">
        <f>IF('Données projet'!$A$114&gt;35,BY33+BX34-CG33,IF(A34&lt;'Données projet'!$A$114,$BV$205^A34,IF(A34='Données projet'!$A$114,'Données projet'!$B$114,BY33+BX34-CG33)))</f>
        <v>227.46000000000004</v>
      </c>
      <c r="BZ34" s="14">
        <f>BY34*VLOOKUP('Données projet'!$B$12,Paramètres!$A$1:$I$89,3,0)*VLOOKUP('Données projet'!$B$12,Paramètres!$A$1:$I$89,5,0)</f>
        <v>136.02108000000004</v>
      </c>
      <c r="CA34" s="14">
        <f t="shared" si="39"/>
        <v>35.383966875538718</v>
      </c>
      <c r="CB34" s="22">
        <f t="shared" si="10"/>
        <v>298.53045664156326</v>
      </c>
      <c r="CC34" s="62">
        <f t="shared" si="11"/>
        <v>591.86378997489658</v>
      </c>
      <c r="CD34" s="62">
        <f ca="1">AVERAGE(OFFSET($CC$3,0,0,'Données projet'!$E$12+1,1))-AVERAGE(OFFSET($H$3,0,0,'Données projet'!$E$12+1,1))</f>
        <v>207.59954777160192</v>
      </c>
      <c r="CE34" s="62">
        <f t="shared" si="40"/>
        <v>314.81017053732063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3.5959736696836395</v>
      </c>
      <c r="CL34" s="23">
        <f>EXP(-LN(2)/25)*CL33+(1-EXP(-LN(2)/25))/(LN(2)/25)*Calculateur!CG34*Calculateur!CI34*VLOOKUP('Données projet'!$B$12,Paramètres!$A$1:$I$89,3,0)*0.475*44/12</f>
        <v>5.2051474042275041</v>
      </c>
      <c r="CM34" s="23">
        <f>EXP(-LN(2)/2)*CM33+(1-EXP(-LN(2)/2))/(LN(2)/2)*CG34*CJ34*VLOOKUP('Données projet'!$B$12,Paramètres!$A$1:$I$89,3,0)*0.475*44/12</f>
        <v>4.8693510351502933</v>
      </c>
      <c r="CN34" s="24">
        <f t="shared" si="12"/>
        <v>13.670472109061437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10.780000000000001</v>
      </c>
      <c r="CT34" s="13">
        <f>IF('Données projet'!$A$140&gt;35,CT33+CS34-DB33,IF(A34&lt;'Données projet'!$A$140,$CQ$205^A34,IF(A34='Données projet'!$A$140,'Données projet'!$B$140,CT33+CS34-DB33)))</f>
        <v>129.28</v>
      </c>
      <c r="CU34" s="18">
        <f>CT34*VLOOKUP('Données projet'!$B$13,Paramètres!$A$1:$I$89,3,0)*VLOOKUP('Données projet'!$B$13,Paramètres!$A$1:$I$89,5,0)</f>
        <v>94.788095999999996</v>
      </c>
      <c r="CV34" s="14">
        <f t="shared" si="41"/>
        <v>25.716491783608316</v>
      </c>
      <c r="CW34" s="22">
        <f t="shared" si="13"/>
        <v>209.87882372311779</v>
      </c>
      <c r="CX34" s="62">
        <f t="shared" si="14"/>
        <v>503.21215705645113</v>
      </c>
      <c r="CY34" s="62">
        <f ca="1">AVERAGE(OFFSET($CX$3,0,0,'Données projet'!$E$13+1,1))-AVERAGE(OFFSET($H$3,0,0,'Données projet'!$E$13+1,1))</f>
        <v>290.68086183422963</v>
      </c>
      <c r="CZ34" s="62">
        <f t="shared" si="42"/>
        <v>317.88330630101785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2">
        <f t="shared" si="0"/>
        <v>545.85751723508201</v>
      </c>
      <c r="S35" s="62">
        <f ca="1">AVERAGE(OFFSET($R$3,0,0,'Données projet'!$E$9+1,1))-AVERAGE(OFFSET($H$3,0,0,'Données projet'!$E$9+1,1))</f>
        <v>476.8965664931755</v>
      </c>
      <c r="T35" s="62">
        <f t="shared" si="34"/>
        <v>254.25036207346591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102.24239999999999</v>
      </c>
      <c r="AK35" s="14">
        <f t="shared" si="35"/>
        <v>27.495526976991481</v>
      </c>
      <c r="AL35" s="22">
        <f t="shared" si="4"/>
        <v>225.96022281826015</v>
      </c>
      <c r="AM35" s="62">
        <f t="shared" si="5"/>
        <v>519.29355615159352</v>
      </c>
      <c r="AN35" s="62">
        <f ca="1">AVERAGE(OFFSET($AM$3,0,0,'Données projet'!$E$10+1,1))-AVERAGE(OFFSET($H$3,0,0,'Données projet'!$E$10+1,1))</f>
        <v>430.11660085503223</v>
      </c>
      <c r="AO35" s="62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12.2</v>
      </c>
      <c r="BD35" s="13">
        <f>IF('Données projet'!$A$88&gt;35,BD34+BC35-BL34,IF(A35&lt;'Données projet'!$A$88,$BA$205^A35,IF(A35='Données projet'!$A$88,'Données projet'!$B$88,BD34+BC35-BL34)))</f>
        <v>164.39999999999998</v>
      </c>
      <c r="BE35" s="14">
        <f>BD35*VLOOKUP('Données projet'!$B$11,Paramètres!$A$1:$I$89,3,0)*VLOOKUP('Données projet'!$B$11,Paramètres!$A$1:$I$89,5,0)</f>
        <v>143.61983999999998</v>
      </c>
      <c r="BF35" s="14">
        <f t="shared" si="37"/>
        <v>37.125023974706046</v>
      </c>
      <c r="BG35" s="22">
        <f t="shared" si="7"/>
        <v>314.7973047559463</v>
      </c>
      <c r="BH35" s="62">
        <f t="shared" si="8"/>
        <v>608.13063808927961</v>
      </c>
      <c r="BI35" s="62">
        <f ca="1">AVERAGE(OFFSET($BH$3,0,0,'Données projet'!$E$11+1,1))-AVERAGE(OFFSET($H$3,0,0,'Données projet'!$E$11+1,1))</f>
        <v>346.7910845218741</v>
      </c>
      <c r="BJ35" s="62">
        <f t="shared" si="38"/>
        <v>469.89734899725369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243.36350000000002</v>
      </c>
      <c r="BW35" s="13">
        <f>VLOOKUP(A35,'Données projet'!$A$113:$I$133,9,0)</f>
        <v>15.903500000000008</v>
      </c>
      <c r="BX35" s="13">
        <f t="array" ref="BX35">INDEX(BW:BW,MIN(IF(ISNUMBER(BW35:BW231),ROW(BW35:BW231),"")))</f>
        <v>15.903500000000008</v>
      </c>
      <c r="BY35" s="13">
        <f>IF('Données projet'!$A$114&gt;35,BY34+BX35-CG34,IF(A35&lt;'Données projet'!$A$114,$BV$205^A35,IF(A35='Données projet'!$A$114,'Données projet'!$B$114,BY34+BX35-CG34)))</f>
        <v>243.36350000000004</v>
      </c>
      <c r="BZ35" s="14">
        <f>BY35*VLOOKUP('Données projet'!$B$12,Paramètres!$A$1:$I$89,3,0)*VLOOKUP('Données projet'!$B$12,Paramètres!$A$1:$I$89,5,0)</f>
        <v>145.53137300000003</v>
      </c>
      <c r="CA35" s="14">
        <f t="shared" si="39"/>
        <v>37.561293545308772</v>
      </c>
      <c r="CB35" s="22">
        <f t="shared" si="10"/>
        <v>318.8863942330795</v>
      </c>
      <c r="CC35" s="62">
        <f t="shared" si="11"/>
        <v>612.21972756641276</v>
      </c>
      <c r="CD35" s="62">
        <f ca="1">AVERAGE(OFFSET($CC$3,0,0,'Données projet'!$E$12+1,1))-AVERAGE(OFFSET($H$3,0,0,'Données projet'!$E$12+1,1))</f>
        <v>207.59954777160192</v>
      </c>
      <c r="CE35" s="62">
        <f t="shared" si="40"/>
        <v>314.81017053732063</v>
      </c>
      <c r="CF35" s="16">
        <f>IF(ISNA(VLOOKUP(A35,'Données projet'!$A$113:$I$133,3,0)),0,VLOOKUP(A35,'Données projet'!$A$113:$I$133,3,0))</f>
        <v>4</v>
      </c>
      <c r="CG35" s="16">
        <f>IF(ISNA(VLOOKUP(A35,'Données projet'!$A$113:$I$133,4,0)),0,VLOOKUP(A35,'Données projet'!$A$113:$I$133,4,0))</f>
        <v>62.73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3.5254588193485086</v>
      </c>
      <c r="CL35" s="23">
        <f>EXP(-LN(2)/25)*CL34+(1-EXP(-LN(2)/25))/(LN(2)/25)*Calculateur!CG35*Calculateur!CI35*VLOOKUP('Données projet'!$B$12,Paramètres!$A$1:$I$89,3,0)*0.475*44/12</f>
        <v>5.0628123747320979</v>
      </c>
      <c r="CM35" s="23">
        <f>EXP(-LN(2)/2)*CM34+(1-EXP(-LN(2)/2))/(LN(2)/2)*CG35*CJ35*VLOOKUP('Données projet'!$B$12,Paramètres!$A$1:$I$89,3,0)*0.475*44/12</f>
        <v>3.4431511369325074</v>
      </c>
      <c r="CN35" s="24">
        <f t="shared" si="12"/>
        <v>12.031422331013115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10.780000000000001</v>
      </c>
      <c r="CT35" s="13">
        <f>IF('Données projet'!$A$140&gt;35,CT34+CS35-DB34,IF(A35&lt;'Données projet'!$A$140,$CQ$205^A35,IF(A35='Données projet'!$A$140,'Données projet'!$B$140,CT34+CS35-DB34)))</f>
        <v>140.06</v>
      </c>
      <c r="CU35" s="18">
        <f>CT35*VLOOKUP('Données projet'!$B$13,Paramètres!$A$1:$I$89,3,0)*VLOOKUP('Données projet'!$B$13,Paramètres!$A$1:$I$89,5,0)</f>
        <v>102.691992</v>
      </c>
      <c r="CV35" s="14">
        <f t="shared" si="41"/>
        <v>27.602332648633649</v>
      </c>
      <c r="CW35" s="22">
        <f t="shared" si="13"/>
        <v>226.92928209637023</v>
      </c>
      <c r="CX35" s="62">
        <f t="shared" si="14"/>
        <v>520.2626154297036</v>
      </c>
      <c r="CY35" s="62">
        <f ca="1">AVERAGE(OFFSET($CX$3,0,0,'Données projet'!$E$13+1,1))-AVERAGE(OFFSET($H$3,0,0,'Données projet'!$E$13+1,1))</f>
        <v>290.68086183422963</v>
      </c>
      <c r="CZ35" s="62">
        <f t="shared" si="42"/>
        <v>317.88330630101785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2">
        <f t="shared" si="0"/>
        <v>563.28559932813323</v>
      </c>
      <c r="S36" s="62">
        <f ca="1">AVERAGE(OFFSET($R$3,0,0,'Données projet'!$E$9+1,1))-AVERAGE(OFFSET($H$3,0,0,'Données projet'!$E$9+1,1))</f>
        <v>476.8965664931755</v>
      </c>
      <c r="T36" s="62">
        <f t="shared" si="34"/>
        <v>254.25036207346591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109.48079999999999</v>
      </c>
      <c r="AK36" s="14">
        <f t="shared" si="35"/>
        <v>29.208623339903898</v>
      </c>
      <c r="AL36" s="22">
        <f t="shared" si="4"/>
        <v>241.5507456503326</v>
      </c>
      <c r="AM36" s="62">
        <f t="shared" si="5"/>
        <v>534.88407898366586</v>
      </c>
      <c r="AN36" s="62">
        <f ca="1">AVERAGE(OFFSET($AM$3,0,0,'Données projet'!$E$10+1,1))-AVERAGE(OFFSET($H$3,0,0,'Données projet'!$E$10+1,1))</f>
        <v>430.11660085503223</v>
      </c>
      <c r="AO36" s="62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12.2</v>
      </c>
      <c r="BD36" s="13">
        <f>IF('Données projet'!$A$88&gt;35,BD35+BC36-BL35,IF(A36&lt;'Données projet'!$A$88,$BA$205^A36,IF(A36='Données projet'!$A$88,'Données projet'!$B$88,BD35+BC36-BL35)))</f>
        <v>176.59999999999997</v>
      </c>
      <c r="BE36" s="14">
        <f>BD36*VLOOKUP('Données projet'!$B$11,Paramètres!$A$1:$I$89,3,0)*VLOOKUP('Données projet'!$B$11,Paramètres!$A$1:$I$89,5,0)</f>
        <v>154.27775999999997</v>
      </c>
      <c r="BF36" s="14">
        <f t="shared" si="37"/>
        <v>39.549125277353333</v>
      </c>
      <c r="BG36" s="22">
        <f t="shared" si="7"/>
        <v>337.58182519139035</v>
      </c>
      <c r="BH36" s="62">
        <f t="shared" si="8"/>
        <v>630.91515852472367</v>
      </c>
      <c r="BI36" s="62">
        <f ca="1">AVERAGE(OFFSET($BH$3,0,0,'Données projet'!$E$11+1,1))-AVERAGE(OFFSET($H$3,0,0,'Données projet'!$E$11+1,1))</f>
        <v>346.7910845218741</v>
      </c>
      <c r="BJ36" s="62">
        <f t="shared" si="38"/>
        <v>469.89734899725369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13.096374999999995</v>
      </c>
      <c r="BY36" s="13">
        <f>IF('Données projet'!$A$114&gt;35,BY35+BX36-CG35,IF(A36&lt;'Données projet'!$A$114,$BV$205^A36,IF(A36='Données projet'!$A$114,'Données projet'!$B$114,BY35+BX36-CG35)))</f>
        <v>193.72987500000002</v>
      </c>
      <c r="BZ36" s="14">
        <f>BY36*VLOOKUP('Données projet'!$B$12,Paramètres!$A$1:$I$89,3,0)*VLOOKUP('Données projet'!$B$12,Paramètres!$A$1:$I$89,5,0)</f>
        <v>115.85046525000001</v>
      </c>
      <c r="CA36" s="14">
        <f t="shared" si="39"/>
        <v>30.705215181326317</v>
      </c>
      <c r="CB36" s="22">
        <f t="shared" si="10"/>
        <v>255.25114341789333</v>
      </c>
      <c r="CC36" s="62">
        <f t="shared" si="11"/>
        <v>548.5844767512267</v>
      </c>
      <c r="CD36" s="62">
        <f ca="1">AVERAGE(OFFSET($CC$3,0,0,'Données projet'!$E$12+1,1))-AVERAGE(OFFSET($H$3,0,0,'Données projet'!$E$12+1,1))</f>
        <v>207.59954777160192</v>
      </c>
      <c r="CE36" s="62">
        <f t="shared" si="40"/>
        <v>314.81017053732063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3.456326722218638</v>
      </c>
      <c r="CL36" s="23">
        <f>EXP(-LN(2)/25)*CL35+(1-EXP(-LN(2)/25))/(LN(2)/25)*Calculateur!CG36*Calculateur!CI36*VLOOKUP('Données projet'!$B$12,Paramètres!$A$1:$I$89,3,0)*0.475*44/12</f>
        <v>4.9243695041033169</v>
      </c>
      <c r="CM36" s="23">
        <f>EXP(-LN(2)/2)*CM35+(1-EXP(-LN(2)/2))/(LN(2)/2)*CG36*CJ36*VLOOKUP('Données projet'!$B$12,Paramètres!$A$1:$I$89,3,0)*0.475*44/12</f>
        <v>2.4346755175751471</v>
      </c>
      <c r="CN36" s="24">
        <f t="shared" si="12"/>
        <v>10.815371743897103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10.780000000000001</v>
      </c>
      <c r="CT36" s="13">
        <f>IF('Données projet'!$A$140&gt;35,CT35+CS36-DB35,IF(A36&lt;'Données projet'!$A$140,$CQ$205^A36,IF(A36='Données projet'!$A$140,'Données projet'!$B$140,CT35+CS36-DB35)))</f>
        <v>150.84</v>
      </c>
      <c r="CU36" s="18">
        <f>CT36*VLOOKUP('Données projet'!$B$13,Paramètres!$A$1:$I$89,3,0)*VLOOKUP('Données projet'!$B$13,Paramètres!$A$1:$I$89,5,0)</f>
        <v>110.59588800000002</v>
      </c>
      <c r="CV36" s="14">
        <f t="shared" si="41"/>
        <v>29.471336258234906</v>
      </c>
      <c r="CW36" s="22">
        <f t="shared" si="13"/>
        <v>243.95041558309245</v>
      </c>
      <c r="CX36" s="62">
        <f t="shared" si="14"/>
        <v>537.28374891642579</v>
      </c>
      <c r="CY36" s="62">
        <f ca="1">AVERAGE(OFFSET($CX$3,0,0,'Données projet'!$E$13+1,1))-AVERAGE(OFFSET($H$3,0,0,'Données projet'!$E$13+1,1))</f>
        <v>290.68086183422963</v>
      </c>
      <c r="CZ36" s="62">
        <f t="shared" si="42"/>
        <v>317.88330630101785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2">
        <f t="shared" si="0"/>
        <v>580.68836550512674</v>
      </c>
      <c r="S37" s="62">
        <f ca="1">AVERAGE(OFFSET($R$3,0,0,'Données projet'!$E$9+1,1))-AVERAGE(OFFSET($H$3,0,0,'Données projet'!$E$9+1,1))</f>
        <v>476.8965664931755</v>
      </c>
      <c r="T37" s="62">
        <f t="shared" si="34"/>
        <v>254.25036207346591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116.71919999999999</v>
      </c>
      <c r="AK37" s="14">
        <f t="shared" si="35"/>
        <v>30.908576435525887</v>
      </c>
      <c r="AL37" s="22">
        <f t="shared" si="4"/>
        <v>257.1183772918742</v>
      </c>
      <c r="AM37" s="62">
        <f t="shared" si="5"/>
        <v>550.45171062520751</v>
      </c>
      <c r="AN37" s="62">
        <f ca="1">AVERAGE(OFFSET($AM$3,0,0,'Données projet'!$E$10+1,1))-AVERAGE(OFFSET($H$3,0,0,'Données projet'!$E$10+1,1))</f>
        <v>430.11660085503223</v>
      </c>
      <c r="AO37" s="62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12.2</v>
      </c>
      <c r="BD37" s="13">
        <f>IF('Données projet'!$A$88&gt;35,BD36+BC37-BL36,IF(A37&lt;'Données projet'!$A$88,$BA$205^A37,IF(A37='Données projet'!$A$88,'Données projet'!$B$88,BD36+BC37-BL36)))</f>
        <v>188.79999999999995</v>
      </c>
      <c r="BE37" s="14">
        <f>BD37*VLOOKUP('Données projet'!$B$11,Paramètres!$A$1:$I$89,3,0)*VLOOKUP('Données projet'!$B$11,Paramètres!$A$1:$I$89,5,0)</f>
        <v>164.93567999999996</v>
      </c>
      <c r="BF37" s="14">
        <f t="shared" si="37"/>
        <v>41.953795695589498</v>
      </c>
      <c r="BG37" s="22">
        <f t="shared" si="7"/>
        <v>360.3325035031516</v>
      </c>
      <c r="BH37" s="62">
        <f t="shared" si="8"/>
        <v>653.66583683648491</v>
      </c>
      <c r="BI37" s="62">
        <f ca="1">AVERAGE(OFFSET($BH$3,0,0,'Données projet'!$E$11+1,1))-AVERAGE(OFFSET($H$3,0,0,'Données projet'!$E$11+1,1))</f>
        <v>346.7910845218741</v>
      </c>
      <c r="BJ37" s="62">
        <f t="shared" si="38"/>
        <v>469.89734899725369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13.096374999999995</v>
      </c>
      <c r="BY37" s="13">
        <f>IF('Données projet'!$A$114&gt;35,BY36+BX37-CG36,IF(A37&lt;'Données projet'!$A$114,$BV$205^A37,IF(A37='Données projet'!$A$114,'Données projet'!$B$114,BY36+BX37-CG36)))</f>
        <v>206.82625000000002</v>
      </c>
      <c r="BZ37" s="14">
        <f>BY37*VLOOKUP('Données projet'!$B$12,Paramètres!$A$1:$I$89,3,0)*VLOOKUP('Données projet'!$B$12,Paramètres!$A$1:$I$89,5,0)</f>
        <v>123.68209750000001</v>
      </c>
      <c r="CA37" s="14">
        <f t="shared" si="39"/>
        <v>32.532271662280088</v>
      </c>
      <c r="CB37" s="22">
        <f t="shared" si="10"/>
        <v>272.07335962430449</v>
      </c>
      <c r="CC37" s="62">
        <f t="shared" si="11"/>
        <v>565.4066929576378</v>
      </c>
      <c r="CD37" s="62">
        <f ca="1">AVERAGE(OFFSET($CC$3,0,0,'Données projet'!$E$12+1,1))-AVERAGE(OFFSET($H$3,0,0,'Données projet'!$E$12+1,1))</f>
        <v>207.59954777160192</v>
      </c>
      <c r="CE37" s="62">
        <f t="shared" si="40"/>
        <v>314.81017053732063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3.3885502633470685</v>
      </c>
      <c r="CL37" s="23">
        <f>EXP(-LN(2)/25)*CL36+(1-EXP(-LN(2)/25))/(LN(2)/25)*Calculateur!CG37*Calculateur!CI37*VLOOKUP('Données projet'!$B$12,Paramètres!$A$1:$I$89,3,0)*0.475*44/12</f>
        <v>4.789712361052274</v>
      </c>
      <c r="CM37" s="23">
        <f>EXP(-LN(2)/2)*CM36+(1-EXP(-LN(2)/2))/(LN(2)/2)*CG37*CJ37*VLOOKUP('Données projet'!$B$12,Paramètres!$A$1:$I$89,3,0)*0.475*44/12</f>
        <v>1.7215755684662539</v>
      </c>
      <c r="CN37" s="24">
        <f t="shared" si="12"/>
        <v>9.8998381928655963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10.780000000000001</v>
      </c>
      <c r="CT37" s="13">
        <f>IF('Données projet'!$A$140&gt;35,CT36+CS37-DB36,IF(A37&lt;'Données projet'!$A$140,$CQ$205^A37,IF(A37='Données projet'!$A$140,'Données projet'!$B$140,CT36+CS37-DB36)))</f>
        <v>161.62</v>
      </c>
      <c r="CU37" s="18">
        <f>CT37*VLOOKUP('Données projet'!$B$13,Paramètres!$A$1:$I$89,3,0)*VLOOKUP('Données projet'!$B$13,Paramètres!$A$1:$I$89,5,0)</f>
        <v>118.49978400000001</v>
      </c>
      <c r="CV37" s="14">
        <f t="shared" si="41"/>
        <v>31.324842766686455</v>
      </c>
      <c r="CW37" s="22">
        <f t="shared" si="13"/>
        <v>260.94455828531221</v>
      </c>
      <c r="CX37" s="62">
        <f t="shared" si="14"/>
        <v>554.27789161864553</v>
      </c>
      <c r="CY37" s="62">
        <f ca="1">AVERAGE(OFFSET($CX$3,0,0,'Données projet'!$E$13+1,1))-AVERAGE(OFFSET($H$3,0,0,'Données projet'!$E$13+1,1))</f>
        <v>290.68086183422963</v>
      </c>
      <c r="CZ37" s="62">
        <f t="shared" si="42"/>
        <v>317.88330630101785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2">
        <f t="shared" si="0"/>
        <v>598.06756449035197</v>
      </c>
      <c r="S38" s="62">
        <f ca="1">AVERAGE(OFFSET($R$3,0,0,'Données projet'!$E$9+1,1))-AVERAGE(OFFSET($H$3,0,0,'Données projet'!$E$9+1,1))</f>
        <v>476.8965664931755</v>
      </c>
      <c r="T38" s="62">
        <f t="shared" si="34"/>
        <v>254.25036207346591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123.9576</v>
      </c>
      <c r="AK38" s="14">
        <f t="shared" si="35"/>
        <v>32.59629414926458</v>
      </c>
      <c r="AL38" s="22">
        <f t="shared" si="4"/>
        <v>272.6646989766358</v>
      </c>
      <c r="AM38" s="62">
        <f t="shared" si="5"/>
        <v>565.99803230996918</v>
      </c>
      <c r="AN38" s="62">
        <f ca="1">AVERAGE(OFFSET($AM$3,0,0,'Données projet'!$E$10+1,1))-AVERAGE(OFFSET($H$3,0,0,'Données projet'!$E$10+1,1))</f>
        <v>430.11660085503223</v>
      </c>
      <c r="AO38" s="62">
        <f t="shared" si="36"/>
        <v>231.36959598460686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201</v>
      </c>
      <c r="BB38" s="13">
        <f>VLOOKUP(A38,'Données projet'!$A$87:$I$107,9,0)</f>
        <v>12.2</v>
      </c>
      <c r="BC38" s="13">
        <f t="array" ref="BC38">INDEX(BB:BB,MIN(IF(ISNUMBER(BB38:BB234),ROW(BB38:BB234),"")))</f>
        <v>12.2</v>
      </c>
      <c r="BD38" s="13">
        <f>IF('Données projet'!$A$88&gt;35,BD37+BC38-BL37,IF(A38&lt;'Données projet'!$A$88,$BA$205^A38,IF(A38='Données projet'!$A$88,'Données projet'!$B$88,BD37+BC38-BL37)))</f>
        <v>200.99999999999994</v>
      </c>
      <c r="BE38" s="14">
        <f>BD38*VLOOKUP('Données projet'!$B$11,Paramètres!$A$1:$I$89,3,0)*VLOOKUP('Données projet'!$B$11,Paramètres!$A$1:$I$89,5,0)</f>
        <v>175.59359999999995</v>
      </c>
      <c r="BF38" s="14">
        <f t="shared" si="37"/>
        <v>44.340433728638573</v>
      </c>
      <c r="BG38" s="22">
        <f t="shared" si="7"/>
        <v>383.05177541071203</v>
      </c>
      <c r="BH38" s="62">
        <f t="shared" si="8"/>
        <v>676.38510874404528</v>
      </c>
      <c r="BI38" s="62">
        <f ca="1">AVERAGE(OFFSET($BH$3,0,0,'Données projet'!$E$11+1,1))-AVERAGE(OFFSET($H$3,0,0,'Données projet'!$E$11+1,1))</f>
        <v>346.7910845218741</v>
      </c>
      <c r="BJ38" s="62">
        <f t="shared" si="38"/>
        <v>469.89734899725369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13.096374999999995</v>
      </c>
      <c r="BY38" s="13">
        <f>IF('Données projet'!$A$114&gt;35,BY37+BX38-CG37,IF(A38&lt;'Données projet'!$A$114,$BV$205^A38,IF(A38='Données projet'!$A$114,'Données projet'!$B$114,BY37+BX38-CG37)))</f>
        <v>219.92262500000001</v>
      </c>
      <c r="BZ38" s="14">
        <f>BY38*VLOOKUP('Données projet'!$B$12,Paramètres!$A$1:$I$89,3,0)*VLOOKUP('Données projet'!$B$12,Paramètres!$A$1:$I$89,5,0)</f>
        <v>131.51372975000001</v>
      </c>
      <c r="CA38" s="14">
        <f t="shared" si="39"/>
        <v>34.345901814520083</v>
      </c>
      <c r="CB38" s="22">
        <f t="shared" si="10"/>
        <v>288.87219164153919</v>
      </c>
      <c r="CC38" s="62">
        <f t="shared" si="11"/>
        <v>582.20552497487256</v>
      </c>
      <c r="CD38" s="62">
        <f ca="1">AVERAGE(OFFSET($CC$3,0,0,'Données projet'!$E$12+1,1))-AVERAGE(OFFSET($H$3,0,0,'Données projet'!$E$12+1,1))</f>
        <v>207.59954777160192</v>
      </c>
      <c r="CE38" s="62">
        <f t="shared" si="40"/>
        <v>314.81017053732063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3.3221028594944126</v>
      </c>
      <c r="CL38" s="23">
        <f>EXP(-LN(2)/25)*CL37+(1-EXP(-LN(2)/25))/(LN(2)/25)*Calculateur!CG38*Calculateur!CI38*VLOOKUP('Données projet'!$B$12,Paramètres!$A$1:$I$89,3,0)*0.475*44/12</f>
        <v>4.6587374246592734</v>
      </c>
      <c r="CM38" s="23">
        <f>EXP(-LN(2)/2)*CM37+(1-EXP(-LN(2)/2))/(LN(2)/2)*CG38*CJ38*VLOOKUP('Données projet'!$B$12,Paramètres!$A$1:$I$89,3,0)*0.475*44/12</f>
        <v>1.2173377587875736</v>
      </c>
      <c r="CN38" s="24">
        <f t="shared" si="12"/>
        <v>9.1981780429412598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172.4</v>
      </c>
      <c r="CR38" s="13">
        <f>VLOOKUP(A38,'Données projet'!$A$139:$I$159,9,0)</f>
        <v>10.780000000000001</v>
      </c>
      <c r="CS38" s="13">
        <f t="array" ref="CS38">INDEX(CR:CR,MIN(IF(ISNUMBER(CR38:CR234),ROW(CR38:CR234),"")))</f>
        <v>10.780000000000001</v>
      </c>
      <c r="CT38" s="13">
        <f>IF('Données projet'!$A$140&gt;35,CT37+CS38-DB37,IF(A38&lt;'Données projet'!$A$140,$CQ$205^A38,IF(A38='Données projet'!$A$140,'Données projet'!$B$140,CT37+CS38-DB37)))</f>
        <v>172.4</v>
      </c>
      <c r="CU38" s="18">
        <f>CT38*VLOOKUP('Données projet'!$B$13,Paramètres!$A$1:$I$89,3,0)*VLOOKUP('Données projet'!$B$13,Paramètres!$A$1:$I$89,5,0)</f>
        <v>126.40367999999999</v>
      </c>
      <c r="CV38" s="14">
        <f t="shared" si="41"/>
        <v>33.164003438318993</v>
      </c>
      <c r="CW38" s="22">
        <f t="shared" si="13"/>
        <v>277.91371532173889</v>
      </c>
      <c r="CX38" s="62">
        <f t="shared" si="14"/>
        <v>571.24704865507215</v>
      </c>
      <c r="CY38" s="62">
        <f ca="1">AVERAGE(OFFSET($CX$3,0,0,'Données projet'!$E$13+1,1))-AVERAGE(OFFSET($H$3,0,0,'Données projet'!$E$13+1,1))</f>
        <v>290.68086183422963</v>
      </c>
      <c r="CZ38" s="62">
        <f t="shared" si="42"/>
        <v>317.88330630101785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2">
        <f t="shared" si="0"/>
        <v>524.90754606181804</v>
      </c>
      <c r="S39" s="62">
        <f ca="1">AVERAGE(OFFSET($R$3,0,0,'Données projet'!$E$9+1,1))-AVERAGE(OFFSET($H$3,0,0,'Données projet'!$E$9+1,1))</f>
        <v>476.8965664931755</v>
      </c>
      <c r="T39" s="62">
        <f t="shared" si="34"/>
        <v>254.25036207346591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430.11660085503223</v>
      </c>
      <c r="AO39" s="62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10.8</v>
      </c>
      <c r="BD39" s="13">
        <f>IF('Données projet'!$A$88&gt;35,BD38+BC39-BL38,IF(A39&lt;'Données projet'!$A$88,$BA$205^A39,IF(A39='Données projet'!$A$88,'Données projet'!$B$88,BD38+BC39-BL38)))</f>
        <v>211.79999999999995</v>
      </c>
      <c r="BE39" s="14">
        <f>BD39*VLOOKUP('Données projet'!$B$11,Paramètres!$A$1:$I$89,3,0)*VLOOKUP('Données projet'!$B$11,Paramètres!$A$1:$I$89,5,0)</f>
        <v>185.02848</v>
      </c>
      <c r="BF39" s="14">
        <f t="shared" si="37"/>
        <v>46.43913001874585</v>
      </c>
      <c r="BG39" s="22">
        <f t="shared" si="7"/>
        <v>403.13942078264904</v>
      </c>
      <c r="BH39" s="62">
        <f t="shared" si="8"/>
        <v>696.4727541159823</v>
      </c>
      <c r="BI39" s="62">
        <f ca="1">AVERAGE(OFFSET($BH$3,0,0,'Données projet'!$E$11+1,1))-AVERAGE(OFFSET($H$3,0,0,'Données projet'!$E$11+1,1))</f>
        <v>346.7910845218741</v>
      </c>
      <c r="BJ39" s="62">
        <f t="shared" si="38"/>
        <v>469.89734899725369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13.096374999999995</v>
      </c>
      <c r="BY39" s="13">
        <f>IF('Données projet'!$A$114&gt;35,BY38+BX39-CG38,IF(A39&lt;'Données projet'!$A$114,$BV$205^A39,IF(A39='Données projet'!$A$114,'Données projet'!$B$114,BY38+BX39-CG38)))</f>
        <v>233.01900000000001</v>
      </c>
      <c r="BZ39" s="14">
        <f>BY39*VLOOKUP('Données projet'!$B$12,Paramètres!$A$1:$I$89,3,0)*VLOOKUP('Données projet'!$B$12,Paramètres!$A$1:$I$89,5,0)</f>
        <v>139.34536200000002</v>
      </c>
      <c r="CA39" s="14">
        <f t="shared" si="39"/>
        <v>36.146996237994571</v>
      </c>
      <c r="CB39" s="22">
        <f t="shared" si="10"/>
        <v>305.64919059784063</v>
      </c>
      <c r="CC39" s="62">
        <f t="shared" si="11"/>
        <v>598.982523931174</v>
      </c>
      <c r="CD39" s="62">
        <f ca="1">AVERAGE(OFFSET($CC$3,0,0,'Données projet'!$E$12+1,1))-AVERAGE(OFFSET($H$3,0,0,'Données projet'!$E$12+1,1))</f>
        <v>207.59954777160192</v>
      </c>
      <c r="CE39" s="62">
        <f t="shared" si="40"/>
        <v>314.81017053732063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3.2569584487023926</v>
      </c>
      <c r="CL39" s="23">
        <f>EXP(-LN(2)/25)*CL38+(1-EXP(-LN(2)/25))/(LN(2)/25)*Calculateur!CG39*Calculateur!CI39*VLOOKUP('Données projet'!$B$12,Paramètres!$A$1:$I$89,3,0)*0.475*44/12</f>
        <v>4.5313440047896121</v>
      </c>
      <c r="CM39" s="23">
        <f>EXP(-LN(2)/2)*CM38+(1-EXP(-LN(2)/2))/(LN(2)/2)*CG39*CJ39*VLOOKUP('Données projet'!$B$12,Paramètres!$A$1:$I$89,3,0)*0.475*44/12</f>
        <v>0.86078778423312696</v>
      </c>
      <c r="CN39" s="24">
        <f t="shared" si="12"/>
        <v>8.6490902377251313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9.4399999999999977</v>
      </c>
      <c r="CT39" s="13">
        <f>IF('Données projet'!$A$140&gt;35,CT38+CS39-DB38,IF(A39&lt;'Données projet'!$A$140,$CQ$205^A39,IF(A39='Données projet'!$A$140,'Données projet'!$B$140,CT38+CS39-DB38)))</f>
        <v>181.84</v>
      </c>
      <c r="CU39" s="18">
        <f>CT39*VLOOKUP('Données projet'!$B$13,Paramètres!$A$1:$I$89,3,0)*VLOOKUP('Données projet'!$B$13,Paramètres!$A$1:$I$89,5,0)</f>
        <v>133.32508799999999</v>
      </c>
      <c r="CV39" s="14">
        <f t="shared" si="41"/>
        <v>34.763556534773144</v>
      </c>
      <c r="CW39" s="22">
        <f t="shared" si="13"/>
        <v>292.75438923139654</v>
      </c>
      <c r="CX39" s="62">
        <f t="shared" si="14"/>
        <v>586.0877225647298</v>
      </c>
      <c r="CY39" s="62">
        <f ca="1">AVERAGE(OFFSET($CX$3,0,0,'Données projet'!$E$13+1,1))-AVERAGE(OFFSET($H$3,0,0,'Données projet'!$E$13+1,1))</f>
        <v>290.68086183422963</v>
      </c>
      <c r="CZ39" s="62">
        <f t="shared" si="42"/>
        <v>317.88330630101785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2">
        <f t="shared" si="0"/>
        <v>543.24100096888094</v>
      </c>
      <c r="S40" s="62">
        <f ca="1">AVERAGE(OFFSET($R$3,0,0,'Données projet'!$E$9+1,1))-AVERAGE(OFFSET($H$3,0,0,'Données projet'!$E$9+1,1))</f>
        <v>476.8965664931755</v>
      </c>
      <c r="T40" s="62">
        <f t="shared" si="34"/>
        <v>254.25036207346591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430.11660085503223</v>
      </c>
      <c r="AO40" s="62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10.8</v>
      </c>
      <c r="BD40" s="13">
        <f>IF('Données projet'!$A$88&gt;35,BD39+BC40-BL39,IF(A40&lt;'Données projet'!$A$88,$BA$205^A40,IF(A40='Données projet'!$A$88,'Données projet'!$B$88,BD39+BC40-BL39)))</f>
        <v>222.59999999999997</v>
      </c>
      <c r="BE40" s="14">
        <f>BD40*VLOOKUP('Données projet'!$B$11,Paramètres!$A$1:$I$89,3,0)*VLOOKUP('Données projet'!$B$11,Paramètres!$A$1:$I$89,5,0)</f>
        <v>194.46335999999999</v>
      </c>
      <c r="BF40" s="14">
        <f t="shared" si="37"/>
        <v>48.525400894162644</v>
      </c>
      <c r="BG40" s="22">
        <f t="shared" si="7"/>
        <v>423.20542522399984</v>
      </c>
      <c r="BH40" s="62">
        <f t="shared" si="8"/>
        <v>716.53875855733315</v>
      </c>
      <c r="BI40" s="62">
        <f ca="1">AVERAGE(OFFSET($BH$3,0,0,'Données projet'!$E$11+1,1))-AVERAGE(OFFSET($H$3,0,0,'Données projet'!$E$11+1,1))</f>
        <v>346.7910845218741</v>
      </c>
      <c r="BJ40" s="62">
        <f t="shared" si="38"/>
        <v>469.89734899725369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13.096374999999995</v>
      </c>
      <c r="BY40" s="13">
        <f>IF('Données projet'!$A$114&gt;35,BY39+BX40-CG39,IF(A40&lt;'Données projet'!$A$114,$BV$205^A40,IF(A40='Données projet'!$A$114,'Données projet'!$B$114,BY39+BX40-CG39)))</f>
        <v>246.115375</v>
      </c>
      <c r="BZ40" s="14">
        <f>BY40*VLOOKUP('Données projet'!$B$12,Paramètres!$A$1:$I$89,3,0)*VLOOKUP('Données projet'!$B$12,Paramètres!$A$1:$I$89,5,0)</f>
        <v>147.17699425000001</v>
      </c>
      <c r="CA40" s="14">
        <f t="shared" si="39"/>
        <v>37.936339769643162</v>
      </c>
      <c r="CB40" s="22">
        <f t="shared" si="10"/>
        <v>322.40572341754518</v>
      </c>
      <c r="CC40" s="62">
        <f t="shared" si="11"/>
        <v>615.73905675087849</v>
      </c>
      <c r="CD40" s="62">
        <f ca="1">AVERAGE(OFFSET($CC$3,0,0,'Données projet'!$E$12+1,1))-AVERAGE(OFFSET($H$3,0,0,'Données projet'!$E$12+1,1))</f>
        <v>207.59954777160192</v>
      </c>
      <c r="CE40" s="62">
        <f t="shared" si="40"/>
        <v>314.81017053732063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3.1930914800718369</v>
      </c>
      <c r="CL40" s="23">
        <f>EXP(-LN(2)/25)*CL39+(1-EXP(-LN(2)/25))/(LN(2)/25)*Calculateur!CG40*Calculateur!CI40*VLOOKUP('Données projet'!$B$12,Paramètres!$A$1:$I$89,3,0)*0.475*44/12</f>
        <v>4.4074341646856157</v>
      </c>
      <c r="CM40" s="23">
        <f>EXP(-LN(2)/2)*CM39+(1-EXP(-LN(2)/2))/(LN(2)/2)*CG40*CJ40*VLOOKUP('Données projet'!$B$12,Paramètres!$A$1:$I$89,3,0)*0.475*44/12</f>
        <v>0.60866887939378678</v>
      </c>
      <c r="CN40" s="24">
        <f t="shared" si="12"/>
        <v>8.2091945241512381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9.4399999999999977</v>
      </c>
      <c r="CT40" s="13">
        <f>IF('Données projet'!$A$140&gt;35,CT39+CS40-DB39,IF(A40&lt;'Données projet'!$A$140,$CQ$205^A40,IF(A40='Données projet'!$A$140,'Données projet'!$B$140,CT39+CS40-DB39)))</f>
        <v>191.28</v>
      </c>
      <c r="CU40" s="18">
        <f>CT40*VLOOKUP('Données projet'!$B$13,Paramètres!$A$1:$I$89,3,0)*VLOOKUP('Données projet'!$B$13,Paramètres!$A$1:$I$89,5,0)</f>
        <v>140.24649600000001</v>
      </c>
      <c r="CV40" s="14">
        <f t="shared" si="41"/>
        <v>36.353468484522381</v>
      </c>
      <c r="CW40" s="22">
        <f t="shared" si="13"/>
        <v>307.5782714772098</v>
      </c>
      <c r="CX40" s="62">
        <f t="shared" si="14"/>
        <v>600.91160481054317</v>
      </c>
      <c r="CY40" s="62">
        <f ca="1">AVERAGE(OFFSET($CX$3,0,0,'Données projet'!$E$13+1,1))-AVERAGE(OFFSET($H$3,0,0,'Données projet'!$E$13+1,1))</f>
        <v>290.68086183422963</v>
      </c>
      <c r="CZ40" s="62">
        <f t="shared" si="42"/>
        <v>317.88330630101785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2">
        <f t="shared" si="0"/>
        <v>561.54396129342854</v>
      </c>
      <c r="S41" s="62">
        <f ca="1">AVERAGE(OFFSET($R$3,0,0,'Données projet'!$E$9+1,1))-AVERAGE(OFFSET($H$3,0,0,'Données projet'!$E$9+1,1))</f>
        <v>476.8965664931755</v>
      </c>
      <c r="T41" s="62">
        <f t="shared" si="34"/>
        <v>254.25036207346591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430.11660085503223</v>
      </c>
      <c r="AO41" s="62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10.8</v>
      </c>
      <c r="BD41" s="13">
        <f>IF('Données projet'!$A$88&gt;35,BD40+BC41-BL40,IF(A41&lt;'Données projet'!$A$88,$BA$205^A41,IF(A41='Données projet'!$A$88,'Données projet'!$B$88,BD40+BC41-BL40)))</f>
        <v>233.39999999999998</v>
      </c>
      <c r="BE41" s="14">
        <f>BD41*VLOOKUP('Données projet'!$B$11,Paramètres!$A$1:$I$89,3,0)*VLOOKUP('Données projet'!$B$11,Paramètres!$A$1:$I$89,5,0)</f>
        <v>203.89824000000002</v>
      </c>
      <c r="BF41" s="14">
        <f t="shared" si="37"/>
        <v>50.599918019430213</v>
      </c>
      <c r="BG41" s="22">
        <f t="shared" si="7"/>
        <v>443.25095855050768</v>
      </c>
      <c r="BH41" s="62">
        <f t="shared" si="8"/>
        <v>736.58429188384093</v>
      </c>
      <c r="BI41" s="62">
        <f ca="1">AVERAGE(OFFSET($BH$3,0,0,'Données projet'!$E$11+1,1))-AVERAGE(OFFSET($H$3,0,0,'Données projet'!$E$11+1,1))</f>
        <v>346.7910845218741</v>
      </c>
      <c r="BJ41" s="62">
        <f t="shared" si="38"/>
        <v>469.89734899725369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13.096374999999995</v>
      </c>
      <c r="BY41" s="13">
        <f>IF('Données projet'!$A$114&gt;35,BY40+BX41-CG40,IF(A41&lt;'Données projet'!$A$114,$BV$205^A41,IF(A41='Données projet'!$A$114,'Données projet'!$B$114,BY40+BX41-CG40)))</f>
        <v>259.21174999999999</v>
      </c>
      <c r="BZ41" s="14">
        <f>BY41*VLOOKUP('Données projet'!$B$12,Paramètres!$A$1:$I$89,3,0)*VLOOKUP('Données projet'!$B$12,Paramètres!$A$1:$I$89,5,0)</f>
        <v>155.00862650000002</v>
      </c>
      <c r="CA41" s="14">
        <f t="shared" si="39"/>
        <v>39.714629002941486</v>
      </c>
      <c r="CB41" s="22">
        <f t="shared" si="10"/>
        <v>339.14300333428974</v>
      </c>
      <c r="CC41" s="62">
        <f t="shared" si="11"/>
        <v>632.47633666762306</v>
      </c>
      <c r="CD41" s="62">
        <f ca="1">AVERAGE(OFFSET($CC$3,0,0,'Données projet'!$E$12+1,1))-AVERAGE(OFFSET($H$3,0,0,'Données projet'!$E$12+1,1))</f>
        <v>207.59954777160192</v>
      </c>
      <c r="CE41" s="62">
        <f t="shared" si="40"/>
        <v>314.81017053732063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3.1304769037411222</v>
      </c>
      <c r="CL41" s="23">
        <f>EXP(-LN(2)/25)*CL40+(1-EXP(-LN(2)/25))/(LN(2)/25)*Calculateur!CG41*Calculateur!CI41*VLOOKUP('Données projet'!$B$12,Paramètres!$A$1:$I$89,3,0)*0.475*44/12</f>
        <v>4.2869126456753985</v>
      </c>
      <c r="CM41" s="23">
        <f>EXP(-LN(2)/2)*CM40+(1-EXP(-LN(2)/2))/(LN(2)/2)*CG41*CJ41*VLOOKUP('Données projet'!$B$12,Paramètres!$A$1:$I$89,3,0)*0.475*44/12</f>
        <v>0.43039389211656348</v>
      </c>
      <c r="CN41" s="24">
        <f t="shared" si="12"/>
        <v>7.8477834415330845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9.4399999999999977</v>
      </c>
      <c r="CT41" s="13">
        <f>IF('Données projet'!$A$140&gt;35,CT40+CS41-DB40,IF(A41&lt;'Données projet'!$A$140,$CQ$205^A41,IF(A41='Données projet'!$A$140,'Données projet'!$B$140,CT40+CS41-DB40)))</f>
        <v>200.72</v>
      </c>
      <c r="CU41" s="18">
        <f>CT41*VLOOKUP('Données projet'!$B$13,Paramètres!$A$1:$I$89,3,0)*VLOOKUP('Données projet'!$B$13,Paramètres!$A$1:$I$89,5,0)</f>
        <v>147.16790399999999</v>
      </c>
      <c r="CV41" s="14">
        <f t="shared" si="41"/>
        <v>37.934269396655068</v>
      </c>
      <c r="CW41" s="22">
        <f t="shared" si="13"/>
        <v>322.38628533250755</v>
      </c>
      <c r="CX41" s="62">
        <f t="shared" si="14"/>
        <v>615.71961866584093</v>
      </c>
      <c r="CY41" s="62">
        <f ca="1">AVERAGE(OFFSET($CX$3,0,0,'Données projet'!$E$13+1,1))-AVERAGE(OFFSET($H$3,0,0,'Données projet'!$E$13+1,1))</f>
        <v>290.68086183422963</v>
      </c>
      <c r="CZ41" s="62">
        <f t="shared" si="42"/>
        <v>317.88330630101785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2">
        <f t="shared" si="0"/>
        <v>579.8188005094587</v>
      </c>
      <c r="S42" s="62">
        <f ca="1">AVERAGE(OFFSET($R$3,0,0,'Données projet'!$E$9+1,1))-AVERAGE(OFFSET($H$3,0,0,'Données projet'!$E$9+1,1))</f>
        <v>476.8965664931755</v>
      </c>
      <c r="T42" s="62">
        <f t="shared" si="34"/>
        <v>254.25036207346591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430.11660085503223</v>
      </c>
      <c r="AO42" s="62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10.8</v>
      </c>
      <c r="BD42" s="13">
        <f>IF('Données projet'!$A$88&gt;35,BD41+BC42-BL41,IF(A42&lt;'Données projet'!$A$88,$BA$205^A42,IF(A42='Données projet'!$A$88,'Données projet'!$B$88,BD41+BC42-BL41)))</f>
        <v>244.2</v>
      </c>
      <c r="BE42" s="14">
        <f>BD42*VLOOKUP('Données projet'!$B$11,Paramètres!$A$1:$I$89,3,0)*VLOOKUP('Données projet'!$B$11,Paramètres!$A$1:$I$89,5,0)</f>
        <v>213.33312000000001</v>
      </c>
      <c r="BF42" s="14">
        <f t="shared" si="37"/>
        <v>52.663287386802352</v>
      </c>
      <c r="BG42" s="22">
        <f t="shared" si="7"/>
        <v>463.27707619868079</v>
      </c>
      <c r="BH42" s="62">
        <f t="shared" si="8"/>
        <v>756.61040953201405</v>
      </c>
      <c r="BI42" s="62">
        <f ca="1">AVERAGE(OFFSET($BH$3,0,0,'Données projet'!$E$11+1,1))-AVERAGE(OFFSET($H$3,0,0,'Données projet'!$E$11+1,1))</f>
        <v>346.7910845218741</v>
      </c>
      <c r="BJ42" s="62">
        <f t="shared" si="38"/>
        <v>469.89734899725369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13.096374999999995</v>
      </c>
      <c r="BY42" s="13">
        <f>IF('Données projet'!$A$114&gt;35,BY41+BX42-CG41,IF(A42&lt;'Données projet'!$A$114,$BV$205^A42,IF(A42='Données projet'!$A$114,'Données projet'!$B$114,BY41+BX42-CG41)))</f>
        <v>272.30812500000002</v>
      </c>
      <c r="BZ42" s="14">
        <f>BY42*VLOOKUP('Données projet'!$B$12,Paramètres!$A$1:$I$89,3,0)*VLOOKUP('Données projet'!$B$12,Paramètres!$A$1:$I$89,5,0)</f>
        <v>162.84025875</v>
      </c>
      <c r="CA42" s="14">
        <f t="shared" si="39"/>
        <v>41.4824861661358</v>
      </c>
      <c r="CB42" s="22">
        <f t="shared" si="10"/>
        <v>355.86211406226988</v>
      </c>
      <c r="CC42" s="62">
        <f t="shared" si="11"/>
        <v>649.1954473956032</v>
      </c>
      <c r="CD42" s="62">
        <f ca="1">AVERAGE(OFFSET($CC$3,0,0,'Données projet'!$E$12+1,1))-AVERAGE(OFFSET($H$3,0,0,'Données projet'!$E$12+1,1))</f>
        <v>207.59954777160192</v>
      </c>
      <c r="CE42" s="62">
        <f t="shared" si="40"/>
        <v>314.81017053732063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3.0690901610611321</v>
      </c>
      <c r="CL42" s="23">
        <f>EXP(-LN(2)/25)*CL41+(1-EXP(-LN(2)/25))/(LN(2)/25)*Calculateur!CG42*Calculateur!CI42*VLOOKUP('Données projet'!$B$12,Paramètres!$A$1:$I$89,3,0)*0.475*44/12</f>
        <v>4.1696867939404667</v>
      </c>
      <c r="CM42" s="23">
        <f>EXP(-LN(2)/2)*CM41+(1-EXP(-LN(2)/2))/(LN(2)/2)*CG42*CJ42*VLOOKUP('Données projet'!$B$12,Paramètres!$A$1:$I$89,3,0)*0.475*44/12</f>
        <v>0.30433443969689339</v>
      </c>
      <c r="CN42" s="24">
        <f t="shared" si="12"/>
        <v>7.5431113946984922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9.4399999999999977</v>
      </c>
      <c r="CT42" s="13">
        <f>IF('Données projet'!$A$140&gt;35,CT41+CS42-DB41,IF(A42&lt;'Données projet'!$A$140,$CQ$205^A42,IF(A42='Données projet'!$A$140,'Données projet'!$B$140,CT41+CS42-DB41)))</f>
        <v>210.16</v>
      </c>
      <c r="CU42" s="18">
        <f>CT42*VLOOKUP('Données projet'!$B$13,Paramètres!$A$1:$I$89,3,0)*VLOOKUP('Données projet'!$B$13,Paramètres!$A$1:$I$89,5,0)</f>
        <v>154.08931200000001</v>
      </c>
      <c r="CV42" s="14">
        <f t="shared" si="41"/>
        <v>39.506436699687413</v>
      </c>
      <c r="CW42" s="22">
        <f t="shared" si="13"/>
        <v>337.17926231862225</v>
      </c>
      <c r="CX42" s="62">
        <f t="shared" si="14"/>
        <v>630.51259565195551</v>
      </c>
      <c r="CY42" s="62">
        <f ca="1">AVERAGE(OFFSET($CX$3,0,0,'Données projet'!$E$13+1,1))-AVERAGE(OFFSET($H$3,0,0,'Données projet'!$E$13+1,1))</f>
        <v>290.68086183422963</v>
      </c>
      <c r="CZ42" s="62">
        <f t="shared" si="42"/>
        <v>317.88330630101785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2">
        <f t="shared" si="0"/>
        <v>598.06756449035208</v>
      </c>
      <c r="S43" s="62">
        <f ca="1">AVERAGE(OFFSET($R$3,0,0,'Données projet'!$E$9+1,1))-AVERAGE(OFFSET($H$3,0,0,'Données projet'!$E$9+1,1))</f>
        <v>476.8965664931755</v>
      </c>
      <c r="T43" s="62">
        <f t="shared" si="34"/>
        <v>254.25036207346591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430.11660085503223</v>
      </c>
      <c r="AO43" s="62">
        <f t="shared" si="36"/>
        <v>231.36959598460686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255</v>
      </c>
      <c r="BB43" s="13">
        <f>VLOOKUP(A43,'Données projet'!$A$87:$I$107,9,0)</f>
        <v>10.8</v>
      </c>
      <c r="BC43" s="13">
        <f t="array" ref="BC43">INDEX(BB:BB,MIN(IF(ISNUMBER(BB43:BB239),ROW(BB43:BB239),"")))</f>
        <v>10.8</v>
      </c>
      <c r="BD43" s="13">
        <f>IF('Données projet'!$A$88&gt;35,BD42+BC43-BL42,IF(A43&lt;'Données projet'!$A$88,$BA$205^A43,IF(A43='Données projet'!$A$88,'Données projet'!$B$88,BD42+BC43-BL42)))</f>
        <v>255</v>
      </c>
      <c r="BE43" s="14">
        <f>BD43*VLOOKUP('Données projet'!$B$11,Paramètres!$A$1:$I$89,3,0)*VLOOKUP('Données projet'!$B$11,Paramètres!$A$1:$I$89,5,0)</f>
        <v>222.76800000000003</v>
      </c>
      <c r="BF43" s="14">
        <f t="shared" si="37"/>
        <v>54.716058356609508</v>
      </c>
      <c r="BG43" s="22">
        <f t="shared" si="7"/>
        <v>483.28473497109491</v>
      </c>
      <c r="BH43" s="62">
        <f t="shared" si="8"/>
        <v>776.61806830442822</v>
      </c>
      <c r="BI43" s="62">
        <f ca="1">AVERAGE(OFFSET($BH$3,0,0,'Données projet'!$E$11+1,1))-AVERAGE(OFFSET($H$3,0,0,'Données projet'!$E$11+1,1))</f>
        <v>346.7910845218741</v>
      </c>
      <c r="BJ43" s="62">
        <f t="shared" si="38"/>
        <v>469.89734899725369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81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13.096374999999995</v>
      </c>
      <c r="BY43" s="13">
        <f>IF('Données projet'!$A$114&gt;35,BY42+BX43-CG42,IF(A43&lt;'Données projet'!$A$114,$BV$205^A43,IF(A43='Données projet'!$A$114,'Données projet'!$B$114,BY42+BX43-CG42)))</f>
        <v>285.40449999999998</v>
      </c>
      <c r="BZ43" s="14">
        <f>BY43*VLOOKUP('Données projet'!$B$12,Paramètres!$A$1:$I$89,3,0)*VLOOKUP('Données projet'!$B$12,Paramètres!$A$1:$I$89,5,0)</f>
        <v>170.67189099999999</v>
      </c>
      <c r="CA43" s="14">
        <f t="shared" si="39"/>
        <v>43.240470254952939</v>
      </c>
      <c r="CB43" s="22">
        <f t="shared" si="10"/>
        <v>372.56402918570967</v>
      </c>
      <c r="CC43" s="62">
        <f t="shared" si="11"/>
        <v>665.89736251904299</v>
      </c>
      <c r="CD43" s="62">
        <f ca="1">AVERAGE(OFFSET($CC$3,0,0,'Données projet'!$E$12+1,1))-AVERAGE(OFFSET($H$3,0,0,'Données projet'!$E$12+1,1))</f>
        <v>207.59954777160192</v>
      </c>
      <c r="CE43" s="62">
        <f t="shared" si="40"/>
        <v>314.81017053732063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3.0089071749628808</v>
      </c>
      <c r="CL43" s="23">
        <f>EXP(-LN(2)/25)*CL42+(1-EXP(-LN(2)/25))/(LN(2)/25)*Calculateur!CG43*Calculateur!CI43*VLOOKUP('Données projet'!$B$12,Paramètres!$A$1:$I$89,3,0)*0.475*44/12</f>
        <v>4.0556664892858665</v>
      </c>
      <c r="CM43" s="23">
        <f>EXP(-LN(2)/2)*CM42+(1-EXP(-LN(2)/2))/(LN(2)/2)*CG43*CJ43*VLOOKUP('Données projet'!$B$12,Paramètres!$A$1:$I$89,3,0)*0.475*44/12</f>
        <v>0.21519694605828174</v>
      </c>
      <c r="CN43" s="24">
        <f t="shared" si="12"/>
        <v>7.2797706103070299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219.6</v>
      </c>
      <c r="CR43" s="13">
        <f>VLOOKUP(A43,'Données projet'!$A$139:$I$159,9,0)</f>
        <v>9.4399999999999977</v>
      </c>
      <c r="CS43" s="13">
        <f t="array" ref="CS43">INDEX(CR:CR,MIN(IF(ISNUMBER(CR43:CR239),ROW(CR43:CR239),"")))</f>
        <v>9.4399999999999977</v>
      </c>
      <c r="CT43" s="13">
        <f>IF('Données projet'!$A$140&gt;35,CT42+CS43-DB42,IF(A43&lt;'Données projet'!$A$140,$CQ$205^A43,IF(A43='Données projet'!$A$140,'Données projet'!$B$140,CT42+CS43-DB42)))</f>
        <v>219.6</v>
      </c>
      <c r="CU43" s="18">
        <f>CT43*VLOOKUP('Données projet'!$B$13,Paramètres!$A$1:$I$89,3,0)*VLOOKUP('Données projet'!$B$13,Paramètres!$A$1:$I$89,5,0)</f>
        <v>161.01071999999999</v>
      </c>
      <c r="CV43" s="14">
        <f t="shared" si="41"/>
        <v>41.070402507024518</v>
      </c>
      <c r="CW43" s="22">
        <f t="shared" si="13"/>
        <v>351.95795503306766</v>
      </c>
      <c r="CX43" s="62">
        <f t="shared" si="14"/>
        <v>645.29128836640098</v>
      </c>
      <c r="CY43" s="62">
        <f ca="1">AVERAGE(OFFSET($CX$3,0,0,'Données projet'!$E$13+1,1))-AVERAGE(OFFSET($H$3,0,0,'Données projet'!$E$13+1,1))</f>
        <v>290.68086183422963</v>
      </c>
      <c r="CZ43" s="62">
        <f t="shared" si="42"/>
        <v>317.88330630101785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56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2">
        <f t="shared" si="0"/>
        <v>616.29203405169392</v>
      </c>
      <c r="S44" s="62">
        <f ca="1">AVERAGE(OFFSET($R$3,0,0,'Données projet'!$E$9+1,1))-AVERAGE(OFFSET($H$3,0,0,'Données projet'!$E$9+1,1))</f>
        <v>476.8965664931755</v>
      </c>
      <c r="T44" s="62">
        <f t="shared" si="34"/>
        <v>254.25036207346591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131.55792000000002</v>
      </c>
      <c r="AK44" s="14">
        <f t="shared" si="35"/>
        <v>34.3560989338864</v>
      </c>
      <c r="AL44" s="22">
        <f t="shared" si="4"/>
        <v>288.96691630985219</v>
      </c>
      <c r="AM44" s="62">
        <f t="shared" si="5"/>
        <v>582.30024964318545</v>
      </c>
      <c r="AN44" s="62">
        <f ca="1">AVERAGE(OFFSET($AM$3,0,0,'Données projet'!$E$10+1,1))-AVERAGE(OFFSET($H$3,0,0,'Données projet'!$E$10+1,1))</f>
        <v>430.11660085503223</v>
      </c>
      <c r="AO44" s="62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9.8000000000000007</v>
      </c>
      <c r="BD44" s="13">
        <f>IF('Données projet'!$A$88&gt;35,BD43+BC44-BL43,IF(A44&lt;'Données projet'!$A$88,$BA$205^A44,IF(A44='Données projet'!$A$88,'Données projet'!$B$88,BD43+BC44-BL43)))</f>
        <v>183.8</v>
      </c>
      <c r="BE44" s="14">
        <f>BD44*VLOOKUP('Données projet'!$B$11,Paramètres!$A$1:$I$89,3,0)*VLOOKUP('Données projet'!$B$11,Paramètres!$A$1:$I$89,5,0)</f>
        <v>160.56768000000002</v>
      </c>
      <c r="BF44" s="14">
        <f t="shared" si="37"/>
        <v>40.970530810309882</v>
      </c>
      <c r="BG44" s="22">
        <f t="shared" si="7"/>
        <v>351.0123838279564</v>
      </c>
      <c r="BH44" s="62">
        <f t="shared" si="8"/>
        <v>644.34571716128971</v>
      </c>
      <c r="BI44" s="62">
        <f ca="1">AVERAGE(OFFSET($BH$3,0,0,'Données projet'!$E$11+1,1))-AVERAGE(OFFSET($H$3,0,0,'Données projet'!$E$11+1,1))</f>
        <v>346.7910845218741</v>
      </c>
      <c r="BJ44" s="62">
        <f t="shared" si="38"/>
        <v>469.89734899725369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13.096374999999995</v>
      </c>
      <c r="BY44" s="13">
        <f>IF('Données projet'!$A$114&gt;35,BY43+BX44-CG43,IF(A44&lt;'Données projet'!$A$114,$BV$205^A44,IF(A44='Données projet'!$A$114,'Données projet'!$B$114,BY43+BX44-CG43)))</f>
        <v>298.50087499999995</v>
      </c>
      <c r="BZ44" s="14">
        <f>BY44*VLOOKUP('Données projet'!$B$12,Paramètres!$A$1:$I$89,3,0)*VLOOKUP('Données projet'!$B$12,Paramètres!$A$1:$I$89,5,0)</f>
        <v>178.50352324999997</v>
      </c>
      <c r="CA44" s="14">
        <f t="shared" si="39"/>
        <v>44.989086064133431</v>
      </c>
      <c r="CB44" s="22">
        <f t="shared" si="10"/>
        <v>389.2496278887823</v>
      </c>
      <c r="CC44" s="62">
        <f t="shared" si="11"/>
        <v>682.58296122211561</v>
      </c>
      <c r="CD44" s="62">
        <f ca="1">AVERAGE(OFFSET($CC$3,0,0,'Données projet'!$E$12+1,1))-AVERAGE(OFFSET($H$3,0,0,'Données projet'!$E$12+1,1))</f>
        <v>207.59954777160192</v>
      </c>
      <c r="CE44" s="62">
        <f t="shared" si="40"/>
        <v>314.81017053732063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2.9499043405140193</v>
      </c>
      <c r="CL44" s="23">
        <f>EXP(-LN(2)/25)*CL43+(1-EXP(-LN(2)/25))/(LN(2)/25)*Calculateur!CG44*Calculateur!CI44*VLOOKUP('Données projet'!$B$12,Paramètres!$A$1:$I$89,3,0)*0.475*44/12</f>
        <v>3.9447640758581133</v>
      </c>
      <c r="CM44" s="23">
        <f>EXP(-LN(2)/2)*CM43+(1-EXP(-LN(2)/2))/(LN(2)/2)*CG44*CJ44*VLOOKUP('Données projet'!$B$12,Paramètres!$A$1:$I$89,3,0)*0.475*44/12</f>
        <v>0.15216721984844669</v>
      </c>
      <c r="CN44" s="24">
        <f t="shared" si="12"/>
        <v>7.0468356362205791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8.2000000000000064</v>
      </c>
      <c r="CT44" s="13">
        <f>IF('Données projet'!$A$140&gt;35,CT43+CS44-DB43,IF(A44&lt;'Données projet'!$A$140,$CQ$205^A44,IF(A44='Données projet'!$A$140,'Données projet'!$B$140,CT43+CS44-DB43)))</f>
        <v>171.8</v>
      </c>
      <c r="CU44" s="18">
        <f>CT44*VLOOKUP('Données projet'!$B$13,Paramètres!$A$1:$I$89,3,0)*VLOOKUP('Données projet'!$B$13,Paramètres!$A$1:$I$89,5,0)</f>
        <v>125.96375999999999</v>
      </c>
      <c r="CV44" s="14">
        <f t="shared" si="41"/>
        <v>33.061997672641603</v>
      </c>
      <c r="CW44" s="22">
        <f t="shared" si="13"/>
        <v>276.96986127985076</v>
      </c>
      <c r="CX44" s="62">
        <f t="shared" si="14"/>
        <v>570.30319461318413</v>
      </c>
      <c r="CY44" s="62">
        <f ca="1">AVERAGE(OFFSET($CX$3,0,0,'Données projet'!$E$13+1,1))-AVERAGE(OFFSET($H$3,0,0,'Données projet'!$E$13+1,1))</f>
        <v>290.68086183422963</v>
      </c>
      <c r="CZ44" s="62">
        <f t="shared" si="42"/>
        <v>317.88330630101785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2">
        <f t="shared" si="0"/>
        <v>634.4937726251826</v>
      </c>
      <c r="S45" s="62">
        <f ca="1">AVERAGE(OFFSET($R$3,0,0,'Données projet'!$E$9+1,1))-AVERAGE(OFFSET($H$3,0,0,'Données projet'!$E$9+1,1))</f>
        <v>476.8965664931755</v>
      </c>
      <c r="T45" s="62">
        <f t="shared" si="34"/>
        <v>254.25036207346591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139.15824000000003</v>
      </c>
      <c r="AK45" s="14">
        <f t="shared" si="35"/>
        <v>36.104102468715482</v>
      </c>
      <c r="AL45" s="22">
        <f t="shared" si="4"/>
        <v>305.24857979967953</v>
      </c>
      <c r="AM45" s="62">
        <f t="shared" si="5"/>
        <v>598.5819131330129</v>
      </c>
      <c r="AN45" s="62">
        <f ca="1">AVERAGE(OFFSET($AM$3,0,0,'Données projet'!$E$10+1,1))-AVERAGE(OFFSET($H$3,0,0,'Données projet'!$E$10+1,1))</f>
        <v>430.11660085503223</v>
      </c>
      <c r="AO45" s="62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9.8000000000000007</v>
      </c>
      <c r="BD45" s="13">
        <f>IF('Données projet'!$A$88&gt;35,BD44+BC45-BL44,IF(A45&lt;'Données projet'!$A$88,$BA$205^A45,IF(A45='Données projet'!$A$88,'Données projet'!$B$88,BD44+BC45-BL44)))</f>
        <v>193.60000000000002</v>
      </c>
      <c r="BE45" s="14">
        <f>BD45*VLOOKUP('Données projet'!$B$11,Paramètres!$A$1:$I$89,3,0)*VLOOKUP('Données projet'!$B$11,Paramètres!$A$1:$I$89,5,0)</f>
        <v>169.12896000000003</v>
      </c>
      <c r="BF45" s="14">
        <f t="shared" si="37"/>
        <v>42.894881315146776</v>
      </c>
      <c r="BG45" s="22">
        <f t="shared" si="7"/>
        <v>369.27485695721401</v>
      </c>
      <c r="BH45" s="62">
        <f t="shared" si="8"/>
        <v>662.60819029054733</v>
      </c>
      <c r="BI45" s="62">
        <f ca="1">AVERAGE(OFFSET($BH$3,0,0,'Données projet'!$E$11+1,1))-AVERAGE(OFFSET($H$3,0,0,'Données projet'!$E$11+1,1))</f>
        <v>346.7910845218741</v>
      </c>
      <c r="BJ45" s="62">
        <f t="shared" si="38"/>
        <v>469.89734899725369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13.096374999999995</v>
      </c>
      <c r="BY45" s="13">
        <f>IF('Données projet'!$A$114&gt;35,BY44+BX45-CG44,IF(A45&lt;'Données projet'!$A$114,$BV$205^A45,IF(A45='Données projet'!$A$114,'Données projet'!$B$114,BY44+BX45-CG44)))</f>
        <v>311.59724999999992</v>
      </c>
      <c r="BZ45" s="14">
        <f>BY45*VLOOKUP('Données projet'!$B$12,Paramètres!$A$1:$I$89,3,0)*VLOOKUP('Données projet'!$B$12,Paramètres!$A$1:$I$89,5,0)</f>
        <v>186.33515549999996</v>
      </c>
      <c r="CA45" s="14">
        <f t="shared" si="39"/>
        <v>46.728791589234589</v>
      </c>
      <c r="CB45" s="22">
        <f t="shared" si="10"/>
        <v>405.91970784708354</v>
      </c>
      <c r="CC45" s="62">
        <f t="shared" si="11"/>
        <v>699.25304118041686</v>
      </c>
      <c r="CD45" s="62">
        <f ca="1">AVERAGE(OFFSET($CC$3,0,0,'Données projet'!$E$12+1,1))-AVERAGE(OFFSET($H$3,0,0,'Données projet'!$E$12+1,1))</f>
        <v>207.59954777160192</v>
      </c>
      <c r="CE45" s="62">
        <f t="shared" si="40"/>
        <v>314.81017053732063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2.8920585156605245</v>
      </c>
      <c r="CL45" s="23">
        <f>EXP(-LN(2)/25)*CL44+(1-EXP(-LN(2)/25))/(LN(2)/25)*Calculateur!CG45*Calculateur!CI45*VLOOKUP('Données projet'!$B$12,Paramètres!$A$1:$I$89,3,0)*0.475*44/12</f>
        <v>3.8368942947576463</v>
      </c>
      <c r="CM45" s="23">
        <f>EXP(-LN(2)/2)*CM44+(1-EXP(-LN(2)/2))/(LN(2)/2)*CG45*CJ45*VLOOKUP('Données projet'!$B$12,Paramètres!$A$1:$I$89,3,0)*0.475*44/12</f>
        <v>0.10759847302914087</v>
      </c>
      <c r="CN45" s="24">
        <f t="shared" si="12"/>
        <v>6.8365512834473119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8.2000000000000064</v>
      </c>
      <c r="CT45" s="13">
        <f>IF('Données projet'!$A$140&gt;35,CT44+CS45-DB44,IF(A45&lt;'Données projet'!$A$140,$CQ$205^A45,IF(A45='Données projet'!$A$140,'Données projet'!$B$140,CT44+CS45-DB44)))</f>
        <v>180.00000000000003</v>
      </c>
      <c r="CU45" s="18">
        <f>CT45*VLOOKUP('Données projet'!$B$13,Paramètres!$A$1:$I$89,3,0)*VLOOKUP('Données projet'!$B$13,Paramètres!$A$1:$I$89,5,0)</f>
        <v>131.97600000000003</v>
      </c>
      <c r="CV45" s="14">
        <f t="shared" si="41"/>
        <v>34.452553259401945</v>
      </c>
      <c r="CW45" s="22">
        <f t="shared" si="13"/>
        <v>289.86306359345843</v>
      </c>
      <c r="CX45" s="62">
        <f t="shared" si="14"/>
        <v>583.19639692679175</v>
      </c>
      <c r="CY45" s="62">
        <f ca="1">AVERAGE(OFFSET($CX$3,0,0,'Données projet'!$E$13+1,1))-AVERAGE(OFFSET($H$3,0,0,'Données projet'!$E$13+1,1))</f>
        <v>290.68086183422963</v>
      </c>
      <c r="CZ45" s="62">
        <f t="shared" si="42"/>
        <v>317.88330630101785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2">
        <f t="shared" si="0"/>
        <v>652.67416321933615</v>
      </c>
      <c r="S46" s="62">
        <f ca="1">AVERAGE(OFFSET($R$3,0,0,'Données projet'!$E$9+1,1))-AVERAGE(OFFSET($H$3,0,0,'Données projet'!$E$9+1,1))</f>
        <v>476.8965664931755</v>
      </c>
      <c r="T46" s="62">
        <f t="shared" si="34"/>
        <v>254.25036207346591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146.75856000000005</v>
      </c>
      <c r="AK46" s="14">
        <f t="shared" si="35"/>
        <v>37.841022770456242</v>
      </c>
      <c r="AL46" s="22">
        <f t="shared" si="4"/>
        <v>321.51093999187805</v>
      </c>
      <c r="AM46" s="62">
        <f t="shared" si="5"/>
        <v>614.84427332521136</v>
      </c>
      <c r="AN46" s="62">
        <f ca="1">AVERAGE(OFFSET($AM$3,0,0,'Données projet'!$E$10+1,1))-AVERAGE(OFFSET($H$3,0,0,'Données projet'!$E$10+1,1))</f>
        <v>430.11660085503223</v>
      </c>
      <c r="AO46" s="62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9.8000000000000007</v>
      </c>
      <c r="BD46" s="13">
        <f>IF('Données projet'!$A$88&gt;35,BD45+BC46-BL45,IF(A46&lt;'Données projet'!$A$88,$BA$205^A46,IF(A46='Données projet'!$A$88,'Données projet'!$B$88,BD45+BC46-BL45)))</f>
        <v>203.40000000000003</v>
      </c>
      <c r="BE46" s="14">
        <f>BD46*VLOOKUP('Données projet'!$B$11,Paramètres!$A$1:$I$89,3,0)*VLOOKUP('Données projet'!$B$11,Paramètres!$A$1:$I$89,5,0)</f>
        <v>177.69024000000005</v>
      </c>
      <c r="BF46" s="14">
        <f t="shared" si="37"/>
        <v>44.807921499827692</v>
      </c>
      <c r="BG46" s="22">
        <f t="shared" si="7"/>
        <v>387.51763127886665</v>
      </c>
      <c r="BH46" s="62">
        <f t="shared" si="8"/>
        <v>680.85096461219996</v>
      </c>
      <c r="BI46" s="62">
        <f ca="1">AVERAGE(OFFSET($BH$3,0,0,'Données projet'!$E$11+1,1))-AVERAGE(OFFSET($H$3,0,0,'Données projet'!$E$11+1,1))</f>
        <v>346.7910845218741</v>
      </c>
      <c r="BJ46" s="62">
        <f t="shared" si="38"/>
        <v>469.89734899725369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13.096374999999995</v>
      </c>
      <c r="BY46" s="13">
        <f>IF('Données projet'!$A$114&gt;35,BY45+BX46-CG45,IF(A46&lt;'Données projet'!$A$114,$BV$205^A46,IF(A46='Données projet'!$A$114,'Données projet'!$B$114,BY45+BX46-CG45)))</f>
        <v>324.69362499999988</v>
      </c>
      <c r="BZ46" s="14">
        <f>BY46*VLOOKUP('Données projet'!$B$12,Paramètres!$A$1:$I$89,3,0)*VLOOKUP('Données projet'!$B$12,Paramètres!$A$1:$I$89,5,0)</f>
        <v>194.16678774999994</v>
      </c>
      <c r="CA46" s="14">
        <f t="shared" si="39"/>
        <v>48.460004148974505</v>
      </c>
      <c r="CB46" s="22">
        <f t="shared" si="10"/>
        <v>422.57499589071375</v>
      </c>
      <c r="CC46" s="62">
        <f t="shared" si="11"/>
        <v>715.90832922404707</v>
      </c>
      <c r="CD46" s="62">
        <f ca="1">AVERAGE(OFFSET($CC$3,0,0,'Données projet'!$E$12+1,1))-AVERAGE(OFFSET($H$3,0,0,'Données projet'!$E$12+1,1))</f>
        <v>207.59954777160192</v>
      </c>
      <c r="CE46" s="62">
        <f t="shared" si="40"/>
        <v>314.81017053732063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2.8353470121499376</v>
      </c>
      <c r="CL46" s="23">
        <f>EXP(-LN(2)/25)*CL45+(1-EXP(-LN(2)/25))/(LN(2)/25)*Calculateur!CG46*Calculateur!CI46*VLOOKUP('Données projet'!$B$12,Paramètres!$A$1:$I$89,3,0)*0.475*44/12</f>
        <v>3.7319742184939968</v>
      </c>
      <c r="CM46" s="23">
        <f>EXP(-LN(2)/2)*CM45+(1-EXP(-LN(2)/2))/(LN(2)/2)*CG46*CJ46*VLOOKUP('Données projet'!$B$12,Paramètres!$A$1:$I$89,3,0)*0.475*44/12</f>
        <v>7.6083609924223347E-2</v>
      </c>
      <c r="CN46" s="24">
        <f t="shared" si="12"/>
        <v>6.6434048405681576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8.2000000000000064</v>
      </c>
      <c r="CT46" s="13">
        <f>IF('Données projet'!$A$140&gt;35,CT45+CS46-DB45,IF(A46&lt;'Données projet'!$A$140,$CQ$205^A46,IF(A46='Données projet'!$A$140,'Données projet'!$B$140,CT45+CS46-DB45)))</f>
        <v>188.20000000000005</v>
      </c>
      <c r="CU46" s="18">
        <f>CT46*VLOOKUP('Données projet'!$B$13,Paramètres!$A$1:$I$89,3,0)*VLOOKUP('Données projet'!$B$13,Paramètres!$A$1:$I$89,5,0)</f>
        <v>137.98824000000005</v>
      </c>
      <c r="CV46" s="14">
        <f t="shared" si="41"/>
        <v>35.83575202197639</v>
      </c>
      <c r="CW46" s="22">
        <f t="shared" si="13"/>
        <v>302.74345277160899</v>
      </c>
      <c r="CX46" s="62">
        <f t="shared" si="14"/>
        <v>596.07678610494236</v>
      </c>
      <c r="CY46" s="62">
        <f ca="1">AVERAGE(OFFSET($CX$3,0,0,'Données projet'!$E$13+1,1))-AVERAGE(OFFSET($H$3,0,0,'Données projet'!$E$13+1,1))</f>
        <v>290.68086183422963</v>
      </c>
      <c r="CZ46" s="62">
        <f t="shared" si="42"/>
        <v>317.88330630101785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2">
        <f t="shared" si="0"/>
        <v>670.83443750558843</v>
      </c>
      <c r="S47" s="62">
        <f ca="1">AVERAGE(OFFSET($R$3,0,0,'Données projet'!$E$9+1,1))-AVERAGE(OFFSET($H$3,0,0,'Données projet'!$E$9+1,1))</f>
        <v>476.8965664931755</v>
      </c>
      <c r="T47" s="62">
        <f t="shared" si="34"/>
        <v>254.25036207346591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154.35888000000003</v>
      </c>
      <c r="AK47" s="14">
        <f t="shared" si="35"/>
        <v>39.567499286120309</v>
      </c>
      <c r="AL47" s="22">
        <f t="shared" si="4"/>
        <v>337.75511058999291</v>
      </c>
      <c r="AM47" s="62">
        <f t="shared" si="5"/>
        <v>631.08844392332617</v>
      </c>
      <c r="AN47" s="62">
        <f ca="1">AVERAGE(OFFSET($AM$3,0,0,'Données projet'!$E$10+1,1))-AVERAGE(OFFSET($H$3,0,0,'Données projet'!$E$10+1,1))</f>
        <v>430.11660085503223</v>
      </c>
      <c r="AO47" s="62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9.8000000000000007</v>
      </c>
      <c r="BD47" s="13">
        <f>IF('Données projet'!$A$88&gt;35,BD46+BC47-BL46,IF(A47&lt;'Données projet'!$A$88,$BA$205^A47,IF(A47='Données projet'!$A$88,'Données projet'!$B$88,BD46+BC47-BL46)))</f>
        <v>213.20000000000005</v>
      </c>
      <c r="BE47" s="14">
        <f>BD47*VLOOKUP('Données projet'!$B$11,Paramètres!$A$1:$I$89,3,0)*VLOOKUP('Données projet'!$B$11,Paramètres!$A$1:$I$89,5,0)</f>
        <v>186.25152000000006</v>
      </c>
      <c r="BF47" s="14">
        <f t="shared" si="37"/>
        <v>46.71025851515671</v>
      </c>
      <c r="BG47" s="22">
        <f t="shared" si="7"/>
        <v>405.74176424723129</v>
      </c>
      <c r="BH47" s="62">
        <f t="shared" si="8"/>
        <v>699.0750975805646</v>
      </c>
      <c r="BI47" s="62">
        <f ca="1">AVERAGE(OFFSET($BH$3,0,0,'Données projet'!$E$11+1,1))-AVERAGE(OFFSET($H$3,0,0,'Données projet'!$E$11+1,1))</f>
        <v>346.7910845218741</v>
      </c>
      <c r="BJ47" s="62">
        <f t="shared" si="38"/>
        <v>469.89734899725369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337.78999999999996</v>
      </c>
      <c r="BW47" s="13">
        <f>VLOOKUP(A47,'Données projet'!$A$113:$I$133,9,0)</f>
        <v>13.096374999999995</v>
      </c>
      <c r="BX47" s="13">
        <f t="array" ref="BX47">INDEX(BW:BW,MIN(IF(ISNUMBER(BW47:BW243),ROW(BW47:BW243),"")))</f>
        <v>13.096374999999995</v>
      </c>
      <c r="BY47" s="13">
        <f>IF('Données projet'!$A$114&gt;35,BY46+BX47-CG46,IF(A47&lt;'Données projet'!$A$114,$BV$205^A47,IF(A47='Données projet'!$A$114,'Données projet'!$B$114,BY46+BX47-CG46)))</f>
        <v>337.78999999999985</v>
      </c>
      <c r="BZ47" s="14">
        <f>BY47*VLOOKUP('Données projet'!$B$12,Paramètres!$A$1:$I$89,3,0)*VLOOKUP('Données projet'!$B$12,Paramètres!$A$1:$I$89,5,0)</f>
        <v>201.99841999999992</v>
      </c>
      <c r="CA47" s="14">
        <f t="shared" si="39"/>
        <v>50.183105491997878</v>
      </c>
      <c r="CB47" s="22">
        <f t="shared" si="10"/>
        <v>439.21615689856282</v>
      </c>
      <c r="CC47" s="62">
        <f t="shared" si="11"/>
        <v>732.54949023189613</v>
      </c>
      <c r="CD47" s="62">
        <f ca="1">AVERAGE(OFFSET($CC$3,0,0,'Données projet'!$E$12+1,1))-AVERAGE(OFFSET($H$3,0,0,'Données projet'!$E$12+1,1))</f>
        <v>207.59954777160192</v>
      </c>
      <c r="CE47" s="62">
        <f t="shared" si="40"/>
        <v>314.81017053732063</v>
      </c>
      <c r="CF47" s="16">
        <f>IF(ISNA(VLOOKUP(A47,'Données projet'!$A$113:$I$133,3,0)),0,VLOOKUP(A47,'Données projet'!$A$113:$I$133,3,0))</f>
        <v>5</v>
      </c>
      <c r="CG47" s="16">
        <f>IF(ISNA(VLOOKUP(A47,'Données projet'!$A$113:$I$133,4,0)),0,VLOOKUP(A47,'Données projet'!$A$113:$I$133,4,0))</f>
        <v>337.78999999999996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2.7797475866325914</v>
      </c>
      <c r="CL47" s="23">
        <f>EXP(-LN(2)/25)*CL46+(1-EXP(-LN(2)/25))/(LN(2)/25)*Calculateur!CG47*Calculateur!CI47*VLOOKUP('Données projet'!$B$12,Paramètres!$A$1:$I$89,3,0)*0.475*44/12</f>
        <v>3.6299231872332838</v>
      </c>
      <c r="CM47" s="23">
        <f>EXP(-LN(2)/2)*CM46+(1-EXP(-LN(2)/2))/(LN(2)/2)*CG47*CJ47*VLOOKUP('Données projet'!$B$12,Paramètres!$A$1:$I$89,3,0)*0.475*44/12</f>
        <v>5.3799236514570435E-2</v>
      </c>
      <c r="CN47" s="24">
        <f t="shared" si="12"/>
        <v>6.463470010380445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8.2000000000000064</v>
      </c>
      <c r="CT47" s="13">
        <f>IF('Données projet'!$A$140&gt;35,CT46+CS47-DB46,IF(A47&lt;'Données projet'!$A$140,$CQ$205^A47,IF(A47='Données projet'!$A$140,'Données projet'!$B$140,CT46+CS47-DB46)))</f>
        <v>196.40000000000006</v>
      </c>
      <c r="CU47" s="18">
        <f>CT47*VLOOKUP('Données projet'!$B$13,Paramètres!$A$1:$I$89,3,0)*VLOOKUP('Données projet'!$B$13,Paramètres!$A$1:$I$89,5,0)</f>
        <v>144.00048000000004</v>
      </c>
      <c r="CV47" s="14">
        <f t="shared" si="41"/>
        <v>37.211951137976968</v>
      </c>
      <c r="CW47" s="22">
        <f t="shared" si="13"/>
        <v>315.61165089864329</v>
      </c>
      <c r="CX47" s="62">
        <f t="shared" si="14"/>
        <v>608.9449842319766</v>
      </c>
      <c r="CY47" s="62">
        <f ca="1">AVERAGE(OFFSET($CX$3,0,0,'Données projet'!$E$13+1,1))-AVERAGE(OFFSET($H$3,0,0,'Données projet'!$E$13+1,1))</f>
        <v>290.68086183422963</v>
      </c>
      <c r="CZ47" s="62">
        <f t="shared" si="42"/>
        <v>317.88330630101785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2">
        <f t="shared" si="0"/>
        <v>688.97569901318923</v>
      </c>
      <c r="S48" s="62">
        <f ca="1">AVERAGE(OFFSET($R$3,0,0,'Données projet'!$E$9+1,1))-AVERAGE(OFFSET($H$3,0,0,'Données projet'!$E$9+1,1))</f>
        <v>476.8965664931755</v>
      </c>
      <c r="T48" s="62">
        <f t="shared" si="34"/>
        <v>254.25036207346591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161.95920000000004</v>
      </c>
      <c r="AK48" s="14">
        <f t="shared" si="35"/>
        <v>41.284104935125725</v>
      </c>
      <c r="AL48" s="22">
        <f t="shared" si="4"/>
        <v>353.9820894286774</v>
      </c>
      <c r="AM48" s="62">
        <f t="shared" si="5"/>
        <v>647.31542276201071</v>
      </c>
      <c r="AN48" s="62">
        <f ca="1">AVERAGE(OFFSET($AM$3,0,0,'Données projet'!$E$10+1,1))-AVERAGE(OFFSET($H$3,0,0,'Données projet'!$E$10+1,1))</f>
        <v>430.11660085503223</v>
      </c>
      <c r="AO48" s="62">
        <f t="shared" si="36"/>
        <v>231.36959598460686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223</v>
      </c>
      <c r="BB48" s="13">
        <f>VLOOKUP(A48,'Données projet'!$A$87:$I$107,9,0)</f>
        <v>9.8000000000000007</v>
      </c>
      <c r="BC48" s="13">
        <f t="array" ref="BC48">INDEX(BB:BB,MIN(IF(ISNUMBER(BB48:BB244),ROW(BB48:BB244),"")))</f>
        <v>9.8000000000000007</v>
      </c>
      <c r="BD48" s="13">
        <f>IF('Données projet'!$A$88&gt;35,BD47+BC48-BL47,IF(A48&lt;'Données projet'!$A$88,$BA$205^A48,IF(A48='Données projet'!$A$88,'Données projet'!$B$88,BD47+BC48-BL47)))</f>
        <v>223.00000000000006</v>
      </c>
      <c r="BE48" s="14">
        <f>BD48*VLOOKUP('Données projet'!$B$11,Paramètres!$A$1:$I$89,3,0)*VLOOKUP('Données projet'!$B$11,Paramètres!$A$1:$I$89,5,0)</f>
        <v>194.81280000000007</v>
      </c>
      <c r="BF48" s="14">
        <f t="shared" si="37"/>
        <v>48.602440540253902</v>
      </c>
      <c r="BG48" s="22">
        <f t="shared" si="7"/>
        <v>423.94821060760893</v>
      </c>
      <c r="BH48" s="62">
        <f t="shared" si="8"/>
        <v>717.28154394094224</v>
      </c>
      <c r="BI48" s="62">
        <f ca="1">AVERAGE(OFFSET($BH$3,0,0,'Données projet'!$E$11+1,1))-AVERAGE(OFFSET($H$3,0,0,'Données projet'!$E$11+1,1))</f>
        <v>346.7910845218741</v>
      </c>
      <c r="BJ48" s="62">
        <f t="shared" si="38"/>
        <v>469.89734899725369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-1.1368683772161603E-13</v>
      </c>
      <c r="BZ48" s="14">
        <f>BY48*VLOOKUP('Données projet'!$B$12,Paramètres!$A$1:$I$89,3,0)*VLOOKUP('Données projet'!$B$12,Paramètres!$A$1:$I$89,5,0)</f>
        <v>-6.7984728957526396E-14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207.59954777160192</v>
      </c>
      <c r="CE48" s="62">
        <f t="shared" si="40"/>
        <v>314.81017053732063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2.7252384319373393</v>
      </c>
      <c r="CL48" s="23">
        <f>EXP(-LN(2)/25)*CL47+(1-EXP(-LN(2)/25))/(LN(2)/25)*Calculateur!CG48*Calculateur!CI48*VLOOKUP('Données projet'!$B$12,Paramètres!$A$1:$I$89,3,0)*0.475*44/12</f>
        <v>3.5306627467890257</v>
      </c>
      <c r="CM48" s="23">
        <f>EXP(-LN(2)/2)*CM47+(1-EXP(-LN(2)/2))/(LN(2)/2)*CG48*CJ48*VLOOKUP('Données projet'!$B$12,Paramètres!$A$1:$I$89,3,0)*0.475*44/12</f>
        <v>3.8041804962111674E-2</v>
      </c>
      <c r="CN48" s="24">
        <f t="shared" si="12"/>
        <v>6.2939429836884768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204.60000000000002</v>
      </c>
      <c r="CR48" s="13">
        <f>VLOOKUP(A48,'Données projet'!$A$139:$I$159,9,0)</f>
        <v>8.2000000000000064</v>
      </c>
      <c r="CS48" s="13">
        <f t="array" ref="CS48">INDEX(CR:CR,MIN(IF(ISNUMBER(CR48:CR244),ROW(CR48:CR244),"")))</f>
        <v>8.2000000000000064</v>
      </c>
      <c r="CT48" s="13">
        <f>IF('Données projet'!$A$140&gt;35,CT47+CS48-DB47,IF(A48&lt;'Données projet'!$A$140,$CQ$205^A48,IF(A48='Données projet'!$A$140,'Données projet'!$B$140,CT47+CS48-DB47)))</f>
        <v>204.60000000000008</v>
      </c>
      <c r="CU48" s="18">
        <f>CT48*VLOOKUP('Données projet'!$B$13,Paramètres!$A$1:$I$89,3,0)*VLOOKUP('Données projet'!$B$13,Paramètres!$A$1:$I$89,5,0)</f>
        <v>150.01272000000006</v>
      </c>
      <c r="CV48" s="14">
        <f t="shared" si="41"/>
        <v>38.581476272231662</v>
      </c>
      <c r="CW48" s="22">
        <f t="shared" si="13"/>
        <v>328.46822517413688</v>
      </c>
      <c r="CX48" s="62">
        <f t="shared" si="14"/>
        <v>621.80155850747019</v>
      </c>
      <c r="CY48" s="62">
        <f ca="1">AVERAGE(OFFSET($CX$3,0,0,'Données projet'!$E$13+1,1))-AVERAGE(OFFSET($H$3,0,0,'Données projet'!$E$13+1,1))</f>
        <v>290.68086183422963</v>
      </c>
      <c r="CZ48" s="62">
        <f t="shared" si="42"/>
        <v>317.88330630101785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2">
        <f t="shared" si="0"/>
        <v>615.85838809497</v>
      </c>
      <c r="S49" s="62">
        <f ca="1">AVERAGE(OFFSET($R$3,0,0,'Données projet'!$E$9+1,1))-AVERAGE(OFFSET($H$3,0,0,'Données projet'!$E$9+1,1))</f>
        <v>476.8965664931755</v>
      </c>
      <c r="T49" s="62">
        <f t="shared" si="34"/>
        <v>254.25036207346591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430.11660085503223</v>
      </c>
      <c r="AO49" s="62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8.8000000000000007</v>
      </c>
      <c r="BD49" s="13">
        <f>IF('Données projet'!$A$88&gt;35,BD48+BC49-BL48,IF(A49&lt;'Données projet'!$A$88,$BA$205^A49,IF(A49='Données projet'!$A$88,'Données projet'!$B$88,BD48+BC49-BL48)))</f>
        <v>231.80000000000007</v>
      </c>
      <c r="BE49" s="14">
        <f>BD49*VLOOKUP('Données projet'!$B$11,Paramètres!$A$1:$I$89,3,0)*VLOOKUP('Données projet'!$B$11,Paramètres!$A$1:$I$89,5,0)</f>
        <v>202.5004800000001</v>
      </c>
      <c r="BF49" s="14">
        <f t="shared" si="37"/>
        <v>50.293299535837946</v>
      </c>
      <c r="BG49" s="22">
        <f t="shared" si="7"/>
        <v>440.28249935825124</v>
      </c>
      <c r="BH49" s="62">
        <f t="shared" si="8"/>
        <v>733.6158326915845</v>
      </c>
      <c r="BI49" s="62">
        <f ca="1">AVERAGE(OFFSET($BH$3,0,0,'Données projet'!$E$11+1,1))-AVERAGE(OFFSET($H$3,0,0,'Données projet'!$E$11+1,1))</f>
        <v>346.7910845218741</v>
      </c>
      <c r="BJ49" s="62">
        <f t="shared" si="38"/>
        <v>469.89734899725369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-1.1368683772161603E-13</v>
      </c>
      <c r="BZ49" s="14">
        <f>BY49*VLOOKUP('Données projet'!$B$12,Paramètres!$A$1:$I$89,3,0)*VLOOKUP('Données projet'!$B$12,Paramètres!$A$1:$I$89,5,0)</f>
        <v>-6.7984728957526396E-14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207.59954777160192</v>
      </c>
      <c r="CE49" s="62">
        <f t="shared" si="40"/>
        <v>314.81017053732063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2.6717981685183596</v>
      </c>
      <c r="CL49" s="23">
        <f>EXP(-LN(2)/25)*CL48+(1-EXP(-LN(2)/25))/(LN(2)/25)*Calculateur!CG49*Calculateur!CI49*VLOOKUP('Données projet'!$B$12,Paramètres!$A$1:$I$89,3,0)*0.475*44/12</f>
        <v>3.4341165883085956</v>
      </c>
      <c r="CM49" s="23">
        <f>EXP(-LN(2)/2)*CM48+(1-EXP(-LN(2)/2))/(LN(2)/2)*CG49*CJ49*VLOOKUP('Données projet'!$B$12,Paramètres!$A$1:$I$89,3,0)*0.475*44/12</f>
        <v>2.6899618257285218E-2</v>
      </c>
      <c r="CN49" s="24">
        <f t="shared" si="12"/>
        <v>6.1328143750842408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7.1199999999999992</v>
      </c>
      <c r="CT49" s="13">
        <f>IF('Données projet'!$A$140&gt;35,CT48+CS49-DB48,IF(A49&lt;'Données projet'!$A$140,$CQ$205^A49,IF(A49='Données projet'!$A$140,'Données projet'!$B$140,CT48+CS49-DB48)))</f>
        <v>211.72000000000008</v>
      </c>
      <c r="CU49" s="18">
        <f>CT49*VLOOKUP('Données projet'!$B$13,Paramètres!$A$1:$I$89,3,0)*VLOOKUP('Données projet'!$B$13,Paramètres!$A$1:$I$89,5,0)</f>
        <v>155.23310400000005</v>
      </c>
      <c r="CV49" s="14">
        <f t="shared" si="41"/>
        <v>39.765443377037272</v>
      </c>
      <c r="CW49" s="22">
        <f t="shared" si="13"/>
        <v>339.62247001500663</v>
      </c>
      <c r="CX49" s="62">
        <f t="shared" si="14"/>
        <v>632.95580334833994</v>
      </c>
      <c r="CY49" s="62">
        <f ca="1">AVERAGE(OFFSET($CX$3,0,0,'Données projet'!$E$13+1,1))-AVERAGE(OFFSET($H$3,0,0,'Données projet'!$E$13+1,1))</f>
        <v>290.68086183422963</v>
      </c>
      <c r="CZ49" s="62">
        <f t="shared" si="42"/>
        <v>317.88330630101785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2">
        <f t="shared" si="0"/>
        <v>633.62751757602996</v>
      </c>
      <c r="S50" s="62">
        <f ca="1">AVERAGE(OFFSET($R$3,0,0,'Données projet'!$E$9+1,1))-AVERAGE(OFFSET($H$3,0,0,'Données projet'!$E$9+1,1))</f>
        <v>476.8965664931755</v>
      </c>
      <c r="T50" s="62">
        <f t="shared" si="34"/>
        <v>254.25036207346591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430.11660085503223</v>
      </c>
      <c r="AO50" s="62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8.8000000000000007</v>
      </c>
      <c r="BD50" s="13">
        <f>IF('Données projet'!$A$88&gt;35,BD49+BC50-BL49,IF(A50&lt;'Données projet'!$A$88,$BA$205^A50,IF(A50='Données projet'!$A$88,'Données projet'!$B$88,BD49+BC50-BL49)))</f>
        <v>240.60000000000008</v>
      </c>
      <c r="BE50" s="14">
        <f>BD50*VLOOKUP('Données projet'!$B$11,Paramètres!$A$1:$I$89,3,0)*VLOOKUP('Données projet'!$B$11,Paramètres!$A$1:$I$89,5,0)</f>
        <v>210.18816000000007</v>
      </c>
      <c r="BF50" s="14">
        <f t="shared" si="37"/>
        <v>51.976701248879564</v>
      </c>
      <c r="BG50" s="22">
        <f t="shared" si="7"/>
        <v>456.60380000846527</v>
      </c>
      <c r="BH50" s="62">
        <f t="shared" si="8"/>
        <v>749.93713334179859</v>
      </c>
      <c r="BI50" s="62">
        <f ca="1">AVERAGE(OFFSET($BH$3,0,0,'Données projet'!$E$11+1,1))-AVERAGE(OFFSET($H$3,0,0,'Données projet'!$E$11+1,1))</f>
        <v>346.7910845218741</v>
      </c>
      <c r="BJ50" s="62">
        <f t="shared" si="38"/>
        <v>469.89734899725369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-1.1368683772161603E-13</v>
      </c>
      <c r="BZ50" s="14">
        <f>BY50*VLOOKUP('Données projet'!$B$12,Paramètres!$A$1:$I$89,3,0)*VLOOKUP('Données projet'!$B$12,Paramètres!$A$1:$I$89,5,0)</f>
        <v>-6.7984728957526396E-14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207.59954777160192</v>
      </c>
      <c r="CE50" s="62">
        <f t="shared" si="40"/>
        <v>314.81017053732063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2.6194058360696841</v>
      </c>
      <c r="CL50" s="23">
        <f>EXP(-LN(2)/25)*CL49+(1-EXP(-LN(2)/25))/(LN(2)/25)*Calculateur!CG50*Calculateur!CI50*VLOOKUP('Données projet'!$B$12,Paramètres!$A$1:$I$89,3,0)*0.475*44/12</f>
        <v>3.3402104896089546</v>
      </c>
      <c r="CM50" s="23">
        <f>EXP(-LN(2)/2)*CM49+(1-EXP(-LN(2)/2))/(LN(2)/2)*CG50*CJ50*VLOOKUP('Données projet'!$B$12,Paramètres!$A$1:$I$89,3,0)*0.475*44/12</f>
        <v>1.9020902481055837E-2</v>
      </c>
      <c r="CN50" s="24">
        <f t="shared" si="12"/>
        <v>5.9786372281596938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7.1199999999999992</v>
      </c>
      <c r="CT50" s="13">
        <f>IF('Données projet'!$A$140&gt;35,CT49+CS50-DB49,IF(A50&lt;'Données projet'!$A$140,$CQ$205^A50,IF(A50='Données projet'!$A$140,'Données projet'!$B$140,CT49+CS50-DB49)))</f>
        <v>218.84000000000009</v>
      </c>
      <c r="CU50" s="18">
        <f>CT50*VLOOKUP('Données projet'!$B$13,Paramètres!$A$1:$I$89,3,0)*VLOOKUP('Données projet'!$B$13,Paramètres!$A$1:$I$89,5,0)</f>
        <v>160.45348800000008</v>
      </c>
      <c r="CV50" s="14">
        <f t="shared" si="41"/>
        <v>40.944784036070729</v>
      </c>
      <c r="CW50" s="22">
        <f t="shared" si="13"/>
        <v>350.7686571294899</v>
      </c>
      <c r="CX50" s="62">
        <f t="shared" si="14"/>
        <v>644.10199046282321</v>
      </c>
      <c r="CY50" s="62">
        <f ca="1">AVERAGE(OFFSET($CX$3,0,0,'Données projet'!$E$13+1,1))-AVERAGE(OFFSET($H$3,0,0,'Données projet'!$E$13+1,1))</f>
        <v>290.68086183422963</v>
      </c>
      <c r="CZ50" s="62">
        <f t="shared" si="42"/>
        <v>317.88330630101785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2">
        <f t="shared" si="0"/>
        <v>651.37624482072556</v>
      </c>
      <c r="S51" s="62">
        <f ca="1">AVERAGE(OFFSET($R$3,0,0,'Données projet'!$E$9+1,1))-AVERAGE(OFFSET($H$3,0,0,'Données projet'!$E$9+1,1))</f>
        <v>476.8965664931755</v>
      </c>
      <c r="T51" s="62">
        <f t="shared" si="34"/>
        <v>254.25036207346591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430.11660085503223</v>
      </c>
      <c r="AO51" s="62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8.8000000000000007</v>
      </c>
      <c r="BD51" s="13">
        <f>IF('Données projet'!$A$88&gt;35,BD50+BC51-BL50,IF(A51&lt;'Données projet'!$A$88,$BA$205^A51,IF(A51='Données projet'!$A$88,'Données projet'!$B$88,BD50+BC51-BL50)))</f>
        <v>249.40000000000009</v>
      </c>
      <c r="BE51" s="14">
        <f>BD51*VLOOKUP('Données projet'!$B$11,Paramètres!$A$1:$I$89,3,0)*VLOOKUP('Données projet'!$B$11,Paramètres!$A$1:$I$89,5,0)</f>
        <v>217.87584000000012</v>
      </c>
      <c r="BF51" s="14">
        <f t="shared" si="37"/>
        <v>53.652949670124926</v>
      </c>
      <c r="BG51" s="22">
        <f t="shared" si="7"/>
        <v>472.91264200880113</v>
      </c>
      <c r="BH51" s="62">
        <f t="shared" si="8"/>
        <v>766.24597534213444</v>
      </c>
      <c r="BI51" s="62">
        <f ca="1">AVERAGE(OFFSET($BH$3,0,0,'Données projet'!$E$11+1,1))-AVERAGE(OFFSET($H$3,0,0,'Données projet'!$E$11+1,1))</f>
        <v>346.7910845218741</v>
      </c>
      <c r="BJ51" s="62">
        <f t="shared" si="38"/>
        <v>469.89734899725369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-1.1368683772161603E-13</v>
      </c>
      <c r="BZ51" s="14">
        <f>BY51*VLOOKUP('Données projet'!$B$12,Paramètres!$A$1:$I$89,3,0)*VLOOKUP('Données projet'!$B$12,Paramètres!$A$1:$I$89,5,0)</f>
        <v>-6.7984728957526396E-14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207.59954777160192</v>
      </c>
      <c r="CE51" s="62">
        <f t="shared" si="40"/>
        <v>314.81017053732063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2.5680408853041596</v>
      </c>
      <c r="CL51" s="23">
        <f>EXP(-LN(2)/25)*CL50+(1-EXP(-LN(2)/25))/(LN(2)/25)*Calculateur!CG51*Calculateur!CI51*VLOOKUP('Données projet'!$B$12,Paramètres!$A$1:$I$89,3,0)*0.475*44/12</f>
        <v>3.2488722581165623</v>
      </c>
      <c r="CM51" s="23">
        <f>EXP(-LN(2)/2)*CM50+(1-EXP(-LN(2)/2))/(LN(2)/2)*CG51*CJ51*VLOOKUP('Données projet'!$B$12,Paramètres!$A$1:$I$89,3,0)*0.475*44/12</f>
        <v>1.3449809128642609E-2</v>
      </c>
      <c r="CN51" s="24">
        <f t="shared" si="12"/>
        <v>5.8303629525493648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7.1199999999999992</v>
      </c>
      <c r="CT51" s="13">
        <f>IF('Données projet'!$A$140&gt;35,CT50+CS51-DB50,IF(A51&lt;'Données projet'!$A$140,$CQ$205^A51,IF(A51='Données projet'!$A$140,'Données projet'!$B$140,CT50+CS51-DB50)))</f>
        <v>225.96000000000009</v>
      </c>
      <c r="CU51" s="18">
        <f>CT51*VLOOKUP('Données projet'!$B$13,Paramètres!$A$1:$I$89,3,0)*VLOOKUP('Données projet'!$B$13,Paramètres!$A$1:$I$89,5,0)</f>
        <v>165.67387200000007</v>
      </c>
      <c r="CV51" s="14">
        <f t="shared" si="41"/>
        <v>42.119666034700927</v>
      </c>
      <c r="CW51" s="22">
        <f t="shared" si="13"/>
        <v>361.90707874377085</v>
      </c>
      <c r="CX51" s="62">
        <f t="shared" si="14"/>
        <v>655.24041207710411</v>
      </c>
      <c r="CY51" s="62">
        <f ca="1">AVERAGE(OFFSET($CX$3,0,0,'Données projet'!$E$13+1,1))-AVERAGE(OFFSET($H$3,0,0,'Données projet'!$E$13+1,1))</f>
        <v>290.68086183422963</v>
      </c>
      <c r="CZ51" s="62">
        <f t="shared" si="42"/>
        <v>317.88330630101785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2">
        <f t="shared" si="0"/>
        <v>669.10572320317215</v>
      </c>
      <c r="S52" s="62">
        <f ca="1">AVERAGE(OFFSET($R$3,0,0,'Données projet'!$E$9+1,1))-AVERAGE(OFFSET($H$3,0,0,'Données projet'!$E$9+1,1))</f>
        <v>476.8965664931755</v>
      </c>
      <c r="T52" s="62">
        <f t="shared" si="34"/>
        <v>254.25036207346591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430.11660085503223</v>
      </c>
      <c r="AO52" s="62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8.8000000000000007</v>
      </c>
      <c r="BD52" s="13">
        <f>IF('Données projet'!$A$88&gt;35,BD51+BC52-BL51,IF(A52&lt;'Données projet'!$A$88,$BA$205^A52,IF(A52='Données projet'!$A$88,'Données projet'!$B$88,BD51+BC52-BL51)))</f>
        <v>258.2000000000001</v>
      </c>
      <c r="BE52" s="14">
        <f>BD52*VLOOKUP('Données projet'!$B$11,Paramètres!$A$1:$I$89,3,0)*VLOOKUP('Données projet'!$B$11,Paramètres!$A$1:$I$89,5,0)</f>
        <v>225.56352000000012</v>
      </c>
      <c r="BF52" s="14">
        <f t="shared" si="37"/>
        <v>55.322326121575635</v>
      </c>
      <c r="BG52" s="22">
        <f t="shared" si="7"/>
        <v>489.2095153284111</v>
      </c>
      <c r="BH52" s="62">
        <f t="shared" si="8"/>
        <v>782.54284866174442</v>
      </c>
      <c r="BI52" s="62">
        <f ca="1">AVERAGE(OFFSET($BH$3,0,0,'Données projet'!$E$11+1,1))-AVERAGE(OFFSET($H$3,0,0,'Données projet'!$E$11+1,1))</f>
        <v>346.7910845218741</v>
      </c>
      <c r="BJ52" s="62">
        <f t="shared" si="38"/>
        <v>469.89734899725369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-1.1368683772161603E-13</v>
      </c>
      <c r="BZ52" s="14">
        <f>BY52*VLOOKUP('Données projet'!$B$12,Paramètres!$A$1:$I$89,3,0)*VLOOKUP('Données projet'!$B$12,Paramètres!$A$1:$I$89,5,0)</f>
        <v>-6.7984728957526396E-14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207.59954777160192</v>
      </c>
      <c r="CE52" s="62">
        <f t="shared" si="40"/>
        <v>314.81017053732063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2.5176831698936208</v>
      </c>
      <c r="CL52" s="23">
        <f>EXP(-LN(2)/25)*CL51+(1-EXP(-LN(2)/25))/(LN(2)/25)*Calculateur!CG52*Calculateur!CI52*VLOOKUP('Données projet'!$B$12,Paramètres!$A$1:$I$89,3,0)*0.475*44/12</f>
        <v>3.1600316753675983</v>
      </c>
      <c r="CM52" s="23">
        <f>EXP(-LN(2)/2)*CM51+(1-EXP(-LN(2)/2))/(LN(2)/2)*CG52*CJ52*VLOOKUP('Données projet'!$B$12,Paramètres!$A$1:$I$89,3,0)*0.475*44/12</f>
        <v>9.5104512405279184E-3</v>
      </c>
      <c r="CN52" s="24">
        <f t="shared" si="12"/>
        <v>5.6872252965017474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7.1199999999999992</v>
      </c>
      <c r="CT52" s="13">
        <f>IF('Données projet'!$A$140&gt;35,CT51+CS52-DB51,IF(A52&lt;'Données projet'!$A$140,$CQ$205^A52,IF(A52='Données projet'!$A$140,'Données projet'!$B$140,CT51+CS52-DB51)))</f>
        <v>233.0800000000001</v>
      </c>
      <c r="CU52" s="18">
        <f>CT52*VLOOKUP('Données projet'!$B$13,Paramètres!$A$1:$I$89,3,0)*VLOOKUP('Données projet'!$B$13,Paramètres!$A$1:$I$89,5,0)</f>
        <v>170.89425600000007</v>
      </c>
      <c r="CV52" s="14">
        <f t="shared" si="41"/>
        <v>43.29024598394782</v>
      </c>
      <c r="CW52" s="22">
        <f t="shared" si="13"/>
        <v>373.03800762204258</v>
      </c>
      <c r="CX52" s="62">
        <f t="shared" si="14"/>
        <v>666.3713409553759</v>
      </c>
      <c r="CY52" s="62">
        <f ca="1">AVERAGE(OFFSET($CX$3,0,0,'Données projet'!$E$13+1,1))-AVERAGE(OFFSET($H$3,0,0,'Données projet'!$E$13+1,1))</f>
        <v>290.68086183422963</v>
      </c>
      <c r="CZ52" s="62">
        <f t="shared" si="42"/>
        <v>317.88330630101785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2">
        <f t="shared" si="0"/>
        <v>686.81698840573586</v>
      </c>
      <c r="S53" s="62">
        <f ca="1">AVERAGE(OFFSET($R$3,0,0,'Données projet'!$E$9+1,1))-AVERAGE(OFFSET($H$3,0,0,'Données projet'!$E$9+1,1))</f>
        <v>476.8965664931755</v>
      </c>
      <c r="T53" s="62">
        <f t="shared" si="34"/>
        <v>254.25036207346591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430.11660085503223</v>
      </c>
      <c r="AO53" s="62">
        <f t="shared" si="36"/>
        <v>231.36959598460686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267</v>
      </c>
      <c r="BB53" s="13">
        <f>VLOOKUP(A53,'Données projet'!$A$87:$I$107,9,0)</f>
        <v>8.8000000000000007</v>
      </c>
      <c r="BC53" s="13">
        <f t="array" ref="BC53">INDEX(BB:BB,MIN(IF(ISNUMBER(BB53:BB249),ROW(BB53:BB249),"")))</f>
        <v>8.8000000000000007</v>
      </c>
      <c r="BD53" s="13">
        <f>IF('Données projet'!$A$88&gt;35,BD52+BC53-BL52,IF(A53&lt;'Données projet'!$A$88,$BA$205^A53,IF(A53='Données projet'!$A$88,'Données projet'!$B$88,BD52+BC53-BL52)))</f>
        <v>267.00000000000011</v>
      </c>
      <c r="BE53" s="14">
        <f>BD53*VLOOKUP('Données projet'!$B$11,Paramètres!$A$1:$I$89,3,0)*VLOOKUP('Données projet'!$B$11,Paramètres!$A$1:$I$89,5,0)</f>
        <v>233.25120000000013</v>
      </c>
      <c r="BF53" s="14">
        <f t="shared" si="37"/>
        <v>56.985091661350914</v>
      </c>
      <c r="BG53" s="22">
        <f t="shared" si="7"/>
        <v>505.49487464351972</v>
      </c>
      <c r="BH53" s="62">
        <f t="shared" si="8"/>
        <v>798.82820797685304</v>
      </c>
      <c r="BI53" s="62">
        <f ca="1">AVERAGE(OFFSET($BH$3,0,0,'Données projet'!$E$11+1,1))-AVERAGE(OFFSET($H$3,0,0,'Données projet'!$E$11+1,1))</f>
        <v>346.7910845218741</v>
      </c>
      <c r="BJ53" s="62">
        <f t="shared" si="38"/>
        <v>469.89734899725369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69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-1.1368683772161603E-13</v>
      </c>
      <c r="BZ53" s="14">
        <f>BY53*VLOOKUP('Données projet'!$B$12,Paramètres!$A$1:$I$89,3,0)*VLOOKUP('Données projet'!$B$12,Paramètres!$A$1:$I$89,5,0)</f>
        <v>-6.7984728957526396E-14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207.59954777160192</v>
      </c>
      <c r="CE53" s="62">
        <f t="shared" si="40"/>
        <v>314.81017053732063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2.468312938567109</v>
      </c>
      <c r="CL53" s="23">
        <f>EXP(-LN(2)/25)*CL52+(1-EXP(-LN(2)/25))/(LN(2)/25)*Calculateur!CG53*Calculateur!CI53*VLOOKUP('Données projet'!$B$12,Paramètres!$A$1:$I$89,3,0)*0.475*44/12</f>
        <v>3.073620443025828</v>
      </c>
      <c r="CM53" s="23">
        <f>EXP(-LN(2)/2)*CM52+(1-EXP(-LN(2)/2))/(LN(2)/2)*CG53*CJ53*VLOOKUP('Données projet'!$B$12,Paramètres!$A$1:$I$89,3,0)*0.475*44/12</f>
        <v>6.7249045643213044E-3</v>
      </c>
      <c r="CN53" s="24">
        <f t="shared" si="12"/>
        <v>5.5486582861572584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240.20000000000002</v>
      </c>
      <c r="CR53" s="13">
        <f>VLOOKUP(A53,'Données projet'!$A$139:$I$159,9,0)</f>
        <v>7.1199999999999992</v>
      </c>
      <c r="CS53" s="13">
        <f t="array" ref="CS53">INDEX(CR:CR,MIN(IF(ISNUMBER(CR53:CR249),ROW(CR53:CR249),"")))</f>
        <v>7.1199999999999992</v>
      </c>
      <c r="CT53" s="13">
        <f>IF('Données projet'!$A$140&gt;35,CT52+CS53-DB52,IF(A53&lt;'Données projet'!$A$140,$CQ$205^A53,IF(A53='Données projet'!$A$140,'Données projet'!$B$140,CT52+CS53-DB52)))</f>
        <v>240.2000000000001</v>
      </c>
      <c r="CU53" s="18">
        <f>CT53*VLOOKUP('Données projet'!$B$13,Paramètres!$A$1:$I$89,3,0)*VLOOKUP('Données projet'!$B$13,Paramètres!$A$1:$I$89,5,0)</f>
        <v>176.11464000000009</v>
      </c>
      <c r="CV53" s="14">
        <f t="shared" si="41"/>
        <v>44.456670383042024</v>
      </c>
      <c r="CW53" s="22">
        <f t="shared" si="13"/>
        <v>384.16169891713162</v>
      </c>
      <c r="CX53" s="62">
        <f t="shared" si="14"/>
        <v>677.49503225046487</v>
      </c>
      <c r="CY53" s="62">
        <f ca="1">AVERAGE(OFFSET($CX$3,0,0,'Données projet'!$E$13+1,1))-AVERAGE(OFFSET($H$3,0,0,'Données projet'!$E$13+1,1))</f>
        <v>290.68086183422963</v>
      </c>
      <c r="CZ53" s="62">
        <f t="shared" si="42"/>
        <v>317.88330630101785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38.299999999999997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2">
        <f t="shared" si="0"/>
        <v>704.07961340790973</v>
      </c>
      <c r="S54" s="62">
        <f ca="1">AVERAGE(OFFSET($R$3,0,0,'Données projet'!$E$9+1,1))-AVERAGE(OFFSET($H$3,0,0,'Données projet'!$E$9+1,1))</f>
        <v>476.8965664931755</v>
      </c>
      <c r="T54" s="62">
        <f t="shared" si="34"/>
        <v>254.25036207346591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168.2928</v>
      </c>
      <c r="AK54" s="14">
        <f t="shared" si="35"/>
        <v>42.707443263135104</v>
      </c>
      <c r="AL54" s="22">
        <f t="shared" si="4"/>
        <v>367.49209034996028</v>
      </c>
      <c r="AM54" s="62">
        <f t="shared" si="5"/>
        <v>660.82542368329359</v>
      </c>
      <c r="AN54" s="62">
        <f ca="1">AVERAGE(OFFSET($AM$3,0,0,'Données projet'!$E$10+1,1))-AVERAGE(OFFSET($H$3,0,0,'Données projet'!$E$10+1,1))</f>
        <v>430.11660085503223</v>
      </c>
      <c r="AO54" s="62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7.8</v>
      </c>
      <c r="BD54" s="13">
        <f>IF('Données projet'!$A$88&gt;35,BD53+BC54-BL53,IF(A54&lt;'Données projet'!$A$88,$BA$205^A54,IF(A54='Données projet'!$A$88,'Données projet'!$B$88,BD53+BC54-BL53)))</f>
        <v>205.80000000000013</v>
      </c>
      <c r="BE54" s="14">
        <f>BD54*VLOOKUP('Données projet'!$B$11,Paramètres!$A$1:$I$89,3,0)*VLOOKUP('Données projet'!$B$11,Paramètres!$A$1:$I$89,5,0)</f>
        <v>179.78688000000011</v>
      </c>
      <c r="BF54" s="14">
        <f t="shared" si="37"/>
        <v>45.274767624296935</v>
      </c>
      <c r="BG54" s="22">
        <f t="shared" si="7"/>
        <v>391.98236961231737</v>
      </c>
      <c r="BH54" s="62">
        <f t="shared" si="8"/>
        <v>685.31570294565063</v>
      </c>
      <c r="BI54" s="62">
        <f ca="1">AVERAGE(OFFSET($BH$3,0,0,'Données projet'!$E$11+1,1))-AVERAGE(OFFSET($H$3,0,0,'Données projet'!$E$11+1,1))</f>
        <v>346.7910845218741</v>
      </c>
      <c r="BJ54" s="62">
        <f t="shared" si="38"/>
        <v>469.89734899725369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-1.1368683772161603E-13</v>
      </c>
      <c r="BZ54" s="14">
        <f>BY54*VLOOKUP('Données projet'!$B$12,Paramètres!$A$1:$I$89,3,0)*VLOOKUP('Données projet'!$B$12,Paramètres!$A$1:$I$89,5,0)</f>
        <v>-6.7984728957526396E-14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207.59954777160192</v>
      </c>
      <c r="CE54" s="62">
        <f t="shared" si="40"/>
        <v>314.81017053732063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2.4199108273640424</v>
      </c>
      <c r="CL54" s="23">
        <f>EXP(-LN(2)/25)*CL53+(1-EXP(-LN(2)/25))/(LN(2)/25)*Calculateur!CG54*Calculateur!CI54*VLOOKUP('Données projet'!$B$12,Paramètres!$A$1:$I$89,3,0)*0.475*44/12</f>
        <v>2.9895721303766125</v>
      </c>
      <c r="CM54" s="23">
        <f>EXP(-LN(2)/2)*CM53+(1-EXP(-LN(2)/2))/(LN(2)/2)*CG54*CJ54*VLOOKUP('Données projet'!$B$12,Paramètres!$A$1:$I$89,3,0)*0.475*44/12</f>
        <v>4.7552256202639592E-3</v>
      </c>
      <c r="CN54" s="24">
        <f t="shared" si="12"/>
        <v>5.4142381833609194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6.119999999999993</v>
      </c>
      <c r="CT54" s="13">
        <f>IF('Données projet'!$A$140&gt;35,CT53+CS54-DB53,IF(A54&lt;'Données projet'!$A$140,$CQ$205^A54,IF(A54='Données projet'!$A$140,'Données projet'!$B$140,CT53+CS54-DB53)))</f>
        <v>208.0200000000001</v>
      </c>
      <c r="CU54" s="18">
        <f>CT54*VLOOKUP('Données projet'!$B$13,Paramètres!$A$1:$I$89,3,0)*VLOOKUP('Données projet'!$B$13,Paramètres!$A$1:$I$89,5,0)</f>
        <v>152.52026400000005</v>
      </c>
      <c r="CV54" s="14">
        <f t="shared" si="41"/>
        <v>39.150768069454294</v>
      </c>
      <c r="CW54" s="22">
        <f t="shared" si="13"/>
        <v>333.82704752096635</v>
      </c>
      <c r="CX54" s="62">
        <f t="shared" si="14"/>
        <v>627.16038085429966</v>
      </c>
      <c r="CY54" s="62">
        <f ca="1">AVERAGE(OFFSET($CX$3,0,0,'Données projet'!$E$13+1,1))-AVERAGE(OFFSET($H$3,0,0,'Données projet'!$E$13+1,1))</f>
        <v>290.68086183422963</v>
      </c>
      <c r="CZ54" s="62">
        <f t="shared" si="42"/>
        <v>317.88330630101785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2">
        <f t="shared" si="0"/>
        <v>721.32658117986307</v>
      </c>
      <c r="S55" s="62">
        <f ca="1">AVERAGE(OFFSET($R$3,0,0,'Données projet'!$E$9+1,1))-AVERAGE(OFFSET($H$3,0,0,'Données projet'!$E$9+1,1))</f>
        <v>476.8965664931755</v>
      </c>
      <c r="T55" s="62">
        <f t="shared" si="34"/>
        <v>254.25036207346591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175.53120000000001</v>
      </c>
      <c r="AK55" s="14">
        <f t="shared" si="35"/>
        <v>44.326510481422488</v>
      </c>
      <c r="AL55" s="22">
        <f t="shared" si="4"/>
        <v>382.9188457551441</v>
      </c>
      <c r="AM55" s="62">
        <f t="shared" si="5"/>
        <v>676.25217908847742</v>
      </c>
      <c r="AN55" s="62">
        <f ca="1">AVERAGE(OFFSET($AM$3,0,0,'Données projet'!$E$10+1,1))-AVERAGE(OFFSET($H$3,0,0,'Données projet'!$E$10+1,1))</f>
        <v>430.11660085503223</v>
      </c>
      <c r="AO55" s="62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7.8</v>
      </c>
      <c r="BD55" s="13">
        <f>IF('Données projet'!$A$88&gt;35,BD54+BC55-BL54,IF(A55&lt;'Données projet'!$A$88,$BA$205^A55,IF(A55='Données projet'!$A$88,'Données projet'!$B$88,BD54+BC55-BL54)))</f>
        <v>213.60000000000014</v>
      </c>
      <c r="BE55" s="14">
        <f>BD55*VLOOKUP('Données projet'!$B$11,Paramètres!$A$1:$I$89,3,0)*VLOOKUP('Données projet'!$B$11,Paramètres!$A$1:$I$89,5,0)</f>
        <v>186.60096000000013</v>
      </c>
      <c r="BF55" s="14">
        <f t="shared" si="37"/>
        <v>46.787685683664144</v>
      </c>
      <c r="BG55" s="22">
        <f t="shared" si="7"/>
        <v>406.48522456571527</v>
      </c>
      <c r="BH55" s="62">
        <f t="shared" si="8"/>
        <v>699.81855789904853</v>
      </c>
      <c r="BI55" s="62">
        <f ca="1">AVERAGE(OFFSET($BH$3,0,0,'Données projet'!$E$11+1,1))-AVERAGE(OFFSET($H$3,0,0,'Données projet'!$E$11+1,1))</f>
        <v>346.7910845218741</v>
      </c>
      <c r="BJ55" s="62">
        <f t="shared" si="38"/>
        <v>469.89734899725369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-1.1368683772161603E-13</v>
      </c>
      <c r="BZ55" s="14">
        <f>BY55*VLOOKUP('Données projet'!$B$12,Paramètres!$A$1:$I$89,3,0)*VLOOKUP('Données projet'!$B$12,Paramètres!$A$1:$I$89,5,0)</f>
        <v>-6.7984728957526396E-14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207.59954777160192</v>
      </c>
      <c r="CE55" s="62">
        <f t="shared" si="40"/>
        <v>314.81017053732063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2.3724578520392954</v>
      </c>
      <c r="CL55" s="23">
        <f>EXP(-LN(2)/25)*CL54+(1-EXP(-LN(2)/25))/(LN(2)/25)*Calculateur!CG55*Calculateur!CI55*VLOOKUP('Données projet'!$B$12,Paramètres!$A$1:$I$89,3,0)*0.475*44/12</f>
        <v>2.9078221232566985</v>
      </c>
      <c r="CM55" s="23">
        <f>EXP(-LN(2)/2)*CM54+(1-EXP(-LN(2)/2))/(LN(2)/2)*CG55*CJ55*VLOOKUP('Données projet'!$B$12,Paramètres!$A$1:$I$89,3,0)*0.475*44/12</f>
        <v>3.3624522821606522E-3</v>
      </c>
      <c r="CN55" s="24">
        <f t="shared" si="12"/>
        <v>5.2836424275781537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6.119999999999993</v>
      </c>
      <c r="CT55" s="13">
        <f>IF('Données projet'!$A$140&gt;35,CT54+CS55-DB54,IF(A55&lt;'Données projet'!$A$140,$CQ$205^A55,IF(A55='Données projet'!$A$140,'Données projet'!$B$140,CT54+CS55-DB54)))</f>
        <v>214.1400000000001</v>
      </c>
      <c r="CU55" s="18">
        <f>CT55*VLOOKUP('Données projet'!$B$13,Paramètres!$A$1:$I$89,3,0)*VLOOKUP('Données projet'!$B$13,Paramètres!$A$1:$I$89,5,0)</f>
        <v>157.00744800000007</v>
      </c>
      <c r="CV55" s="14">
        <f t="shared" si="41"/>
        <v>40.166797043165985</v>
      </c>
      <c r="CW55" s="22">
        <f t="shared" si="13"/>
        <v>343.41181011684756</v>
      </c>
      <c r="CX55" s="62">
        <f t="shared" si="14"/>
        <v>636.74514345018088</v>
      </c>
      <c r="CY55" s="62">
        <f ca="1">AVERAGE(OFFSET($CX$3,0,0,'Données projet'!$E$13+1,1))-AVERAGE(OFFSET($H$3,0,0,'Données projet'!$E$13+1,1))</f>
        <v>290.68086183422963</v>
      </c>
      <c r="CZ55" s="62">
        <f t="shared" si="42"/>
        <v>317.88330630101785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2">
        <f t="shared" si="0"/>
        <v>738.55861122390377</v>
      </c>
      <c r="S56" s="62">
        <f ca="1">AVERAGE(OFFSET($R$3,0,0,'Données projet'!$E$9+1,1))-AVERAGE(OFFSET($H$3,0,0,'Données projet'!$E$9+1,1))</f>
        <v>476.8965664931755</v>
      </c>
      <c r="T56" s="62">
        <f t="shared" si="34"/>
        <v>254.25036207346591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182.7696</v>
      </c>
      <c r="AK56" s="14">
        <f t="shared" si="35"/>
        <v>45.937822477650357</v>
      </c>
      <c r="AL56" s="22">
        <f t="shared" si="4"/>
        <v>398.33209414857441</v>
      </c>
      <c r="AM56" s="62">
        <f t="shared" si="5"/>
        <v>691.66542748190773</v>
      </c>
      <c r="AN56" s="62">
        <f ca="1">AVERAGE(OFFSET($AM$3,0,0,'Données projet'!$E$10+1,1))-AVERAGE(OFFSET($H$3,0,0,'Données projet'!$E$10+1,1))</f>
        <v>430.11660085503223</v>
      </c>
      <c r="AO56" s="62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7.8</v>
      </c>
      <c r="BD56" s="13">
        <f>IF('Données projet'!$A$88&gt;35,BD55+BC56-BL55,IF(A56&lt;'Données projet'!$A$88,$BA$205^A56,IF(A56='Données projet'!$A$88,'Données projet'!$B$88,BD55+BC56-BL55)))</f>
        <v>221.40000000000015</v>
      </c>
      <c r="BE56" s="14">
        <f>BD56*VLOOKUP('Données projet'!$B$11,Paramètres!$A$1:$I$89,3,0)*VLOOKUP('Données projet'!$B$11,Paramètres!$A$1:$I$89,5,0)</f>
        <v>193.41504000000015</v>
      </c>
      <c r="BF56" s="14">
        <f t="shared" si="37"/>
        <v>48.294185132315114</v>
      </c>
      <c r="BG56" s="22">
        <f t="shared" si="7"/>
        <v>420.97690043878237</v>
      </c>
      <c r="BH56" s="62">
        <f t="shared" si="8"/>
        <v>714.31023377211568</v>
      </c>
      <c r="BI56" s="62">
        <f ca="1">AVERAGE(OFFSET($BH$3,0,0,'Données projet'!$E$11+1,1))-AVERAGE(OFFSET($H$3,0,0,'Données projet'!$E$11+1,1))</f>
        <v>346.7910845218741</v>
      </c>
      <c r="BJ56" s="62">
        <f t="shared" si="38"/>
        <v>469.89734899725369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-1.1368683772161603E-13</v>
      </c>
      <c r="BZ56" s="14">
        <f>BY56*VLOOKUP('Données projet'!$B$12,Paramètres!$A$1:$I$89,3,0)*VLOOKUP('Données projet'!$B$12,Paramètres!$A$1:$I$89,5,0)</f>
        <v>-6.7984728957526396E-14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207.59954777160192</v>
      </c>
      <c r="CE56" s="62">
        <f t="shared" si="40"/>
        <v>314.81017053732063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2.3259354006172095</v>
      </c>
      <c r="CL56" s="23">
        <f>EXP(-LN(2)/25)*CL55+(1-EXP(-LN(2)/25))/(LN(2)/25)*Calculateur!CG56*Calculateur!CI56*VLOOKUP('Données projet'!$B$12,Paramètres!$A$1:$I$89,3,0)*0.475*44/12</f>
        <v>2.8283075743805246</v>
      </c>
      <c r="CM56" s="23">
        <f>EXP(-LN(2)/2)*CM55+(1-EXP(-LN(2)/2))/(LN(2)/2)*CG56*CJ56*VLOOKUP('Données projet'!$B$12,Paramètres!$A$1:$I$89,3,0)*0.475*44/12</f>
        <v>2.3776128101319796E-3</v>
      </c>
      <c r="CN56" s="24">
        <f t="shared" si="12"/>
        <v>5.1566205878078657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6.119999999999993</v>
      </c>
      <c r="CT56" s="13">
        <f>IF('Données projet'!$A$140&gt;35,CT55+CS56-DB55,IF(A56&lt;'Données projet'!$A$140,$CQ$205^A56,IF(A56='Données projet'!$A$140,'Données projet'!$B$140,CT55+CS56-DB55)))</f>
        <v>220.2600000000001</v>
      </c>
      <c r="CU56" s="18">
        <f>CT56*VLOOKUP('Données projet'!$B$13,Paramètres!$A$1:$I$89,3,0)*VLOOKUP('Données projet'!$B$13,Paramètres!$A$1:$I$89,5,0)</f>
        <v>161.49463200000008</v>
      </c>
      <c r="CV56" s="14">
        <f t="shared" si="41"/>
        <v>41.179451178341104</v>
      </c>
      <c r="CW56" s="22">
        <f t="shared" si="13"/>
        <v>352.99069486894427</v>
      </c>
      <c r="CX56" s="62">
        <f t="shared" si="14"/>
        <v>646.32402820227753</v>
      </c>
      <c r="CY56" s="62">
        <f ca="1">AVERAGE(OFFSET($CX$3,0,0,'Données projet'!$E$13+1,1))-AVERAGE(OFFSET($H$3,0,0,'Données projet'!$E$13+1,1))</f>
        <v>290.68086183422963</v>
      </c>
      <c r="CZ56" s="62">
        <f t="shared" si="42"/>
        <v>317.88330630101785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2">
        <f t="shared" si="0"/>
        <v>755.77636282582898</v>
      </c>
      <c r="S57" s="62">
        <f ca="1">AVERAGE(OFFSET($R$3,0,0,'Données projet'!$E$9+1,1))-AVERAGE(OFFSET($H$3,0,0,'Données projet'!$E$9+1,1))</f>
        <v>476.8965664931755</v>
      </c>
      <c r="T57" s="62">
        <f t="shared" si="34"/>
        <v>254.25036207346591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190.00800000000001</v>
      </c>
      <c r="AK57" s="14">
        <f t="shared" si="35"/>
        <v>47.541721533308163</v>
      </c>
      <c r="AL57" s="22">
        <f t="shared" si="4"/>
        <v>413.73243167051174</v>
      </c>
      <c r="AM57" s="62">
        <f t="shared" si="5"/>
        <v>707.06576500384506</v>
      </c>
      <c r="AN57" s="62">
        <f ca="1">AVERAGE(OFFSET($AM$3,0,0,'Données projet'!$E$10+1,1))-AVERAGE(OFFSET($H$3,0,0,'Données projet'!$E$10+1,1))</f>
        <v>430.11660085503223</v>
      </c>
      <c r="AO57" s="62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7.8</v>
      </c>
      <c r="BD57" s="13">
        <f>IF('Données projet'!$A$88&gt;35,BD56+BC57-BL56,IF(A57&lt;'Données projet'!$A$88,$BA$205^A57,IF(A57='Données projet'!$A$88,'Données projet'!$B$88,BD56+BC57-BL56)))</f>
        <v>229.20000000000016</v>
      </c>
      <c r="BE57" s="14">
        <f>BD57*VLOOKUP('Données projet'!$B$11,Paramètres!$A$1:$I$89,3,0)*VLOOKUP('Données projet'!$B$11,Paramètres!$A$1:$I$89,5,0)</f>
        <v>200.22912000000014</v>
      </c>
      <c r="BF57" s="14">
        <f t="shared" si="37"/>
        <v>49.794518010766396</v>
      </c>
      <c r="BG57" s="22">
        <f t="shared" si="7"/>
        <v>435.45783620208505</v>
      </c>
      <c r="BH57" s="62">
        <f t="shared" si="8"/>
        <v>728.79116953541836</v>
      </c>
      <c r="BI57" s="62">
        <f ca="1">AVERAGE(OFFSET($BH$3,0,0,'Données projet'!$E$11+1,1))-AVERAGE(OFFSET($H$3,0,0,'Données projet'!$E$11+1,1))</f>
        <v>346.7910845218741</v>
      </c>
      <c r="BJ57" s="62">
        <f t="shared" si="38"/>
        <v>469.89734899725369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-1.1368683772161603E-13</v>
      </c>
      <c r="BZ57" s="14">
        <f>BY57*VLOOKUP('Données projet'!$B$12,Paramètres!$A$1:$I$89,3,0)*VLOOKUP('Données projet'!$B$12,Paramètres!$A$1:$I$89,5,0)</f>
        <v>-6.7984728957526396E-14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207.59954777160192</v>
      </c>
      <c r="CE57" s="62">
        <f t="shared" si="40"/>
        <v>314.81017053732063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2.2803252260916174</v>
      </c>
      <c r="CL57" s="23">
        <f>EXP(-LN(2)/25)*CL56+(1-EXP(-LN(2)/25))/(LN(2)/25)*Calculateur!CG57*Calculateur!CI57*VLOOKUP('Données projet'!$B$12,Paramètres!$A$1:$I$89,3,0)*0.475*44/12</f>
        <v>2.7509673550248581</v>
      </c>
      <c r="CM57" s="23">
        <f>EXP(-LN(2)/2)*CM56+(1-EXP(-LN(2)/2))/(LN(2)/2)*CG57*CJ57*VLOOKUP('Données projet'!$B$12,Paramètres!$A$1:$I$89,3,0)*0.475*44/12</f>
        <v>1.6812261410803261E-3</v>
      </c>
      <c r="CN57" s="24">
        <f t="shared" si="12"/>
        <v>5.0329738072575561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6.119999999999993</v>
      </c>
      <c r="CT57" s="13">
        <f>IF('Données projet'!$A$140&gt;35,CT56+CS57-DB56,IF(A57&lt;'Données projet'!$A$140,$CQ$205^A57,IF(A57='Données projet'!$A$140,'Données projet'!$B$140,CT56+CS57-DB56)))</f>
        <v>226.38000000000011</v>
      </c>
      <c r="CU57" s="18">
        <f>CT57*VLOOKUP('Données projet'!$B$13,Paramètres!$A$1:$I$89,3,0)*VLOOKUP('Données projet'!$B$13,Paramètres!$A$1:$I$89,5,0)</f>
        <v>165.98181600000007</v>
      </c>
      <c r="CV57" s="14">
        <f t="shared" si="41"/>
        <v>42.188835019125143</v>
      </c>
      <c r="CW57" s="22">
        <f t="shared" si="13"/>
        <v>362.56388385830974</v>
      </c>
      <c r="CX57" s="62">
        <f t="shared" si="14"/>
        <v>655.89721719164299</v>
      </c>
      <c r="CY57" s="62">
        <f ca="1">AVERAGE(OFFSET($CX$3,0,0,'Données projet'!$E$13+1,1))-AVERAGE(OFFSET($H$3,0,0,'Données projet'!$E$13+1,1))</f>
        <v>290.68086183422963</v>
      </c>
      <c r="CZ57" s="62">
        <f t="shared" si="42"/>
        <v>317.88330630101785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2">
        <f t="shared" si="0"/>
        <v>772.98044219511928</v>
      </c>
      <c r="S58" s="62">
        <f ca="1">AVERAGE(OFFSET($R$3,0,0,'Données projet'!$E$9+1,1))-AVERAGE(OFFSET($H$3,0,0,'Données projet'!$E$9+1,1))</f>
        <v>476.8965664931755</v>
      </c>
      <c r="T58" s="62">
        <f t="shared" si="34"/>
        <v>254.25036207346591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197.24639999999999</v>
      </c>
      <c r="AK58" s="14">
        <f t="shared" si="35"/>
        <v>49.138522374247202</v>
      </c>
      <c r="AL58" s="22">
        <f t="shared" si="4"/>
        <v>429.12040646848055</v>
      </c>
      <c r="AM58" s="62">
        <f t="shared" si="5"/>
        <v>722.45373980181387</v>
      </c>
      <c r="AN58" s="62">
        <f ca="1">AVERAGE(OFFSET($AM$3,0,0,'Données projet'!$E$10+1,1))-AVERAGE(OFFSET($H$3,0,0,'Données projet'!$E$10+1,1))</f>
        <v>430.11660085503223</v>
      </c>
      <c r="AO58" s="62">
        <f t="shared" si="36"/>
        <v>231.36959598460686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237</v>
      </c>
      <c r="BB58" s="13">
        <f>VLOOKUP(A58,'Données projet'!$A$87:$I$107,9,0)</f>
        <v>7.8</v>
      </c>
      <c r="BC58" s="13">
        <f t="array" ref="BC58">INDEX(BB:BB,MIN(IF(ISNUMBER(BB58:BB254),ROW(BB58:BB254),"")))</f>
        <v>7.8</v>
      </c>
      <c r="BD58" s="13">
        <f>IF('Données projet'!$A$88&gt;35,BD57+BC58-BL57,IF(A58&lt;'Données projet'!$A$88,$BA$205^A58,IF(A58='Données projet'!$A$88,'Données projet'!$B$88,BD57+BC58-BL57)))</f>
        <v>237.00000000000017</v>
      </c>
      <c r="BE58" s="14">
        <f>BD58*VLOOKUP('Données projet'!$B$11,Paramètres!$A$1:$I$89,3,0)*VLOOKUP('Données projet'!$B$11,Paramètres!$A$1:$I$89,5,0)</f>
        <v>207.04320000000018</v>
      </c>
      <c r="BF58" s="14">
        <f t="shared" si="37"/>
        <v>51.28891823180637</v>
      </c>
      <c r="BG58" s="22">
        <f t="shared" si="7"/>
        <v>449.92843925372966</v>
      </c>
      <c r="BH58" s="62">
        <f t="shared" si="8"/>
        <v>743.26177258706298</v>
      </c>
      <c r="BI58" s="62">
        <f ca="1">AVERAGE(OFFSET($BH$3,0,0,'Données projet'!$E$11+1,1))-AVERAGE(OFFSET($H$3,0,0,'Données projet'!$E$11+1,1))</f>
        <v>346.7910845218741</v>
      </c>
      <c r="BJ58" s="62">
        <f t="shared" si="38"/>
        <v>469.89734899725369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-1.1368683772161603E-13</v>
      </c>
      <c r="BZ58" s="14">
        <f>BY58*VLOOKUP('Données projet'!$B$12,Paramètres!$A$1:$I$89,3,0)*VLOOKUP('Données projet'!$B$12,Paramètres!$A$1:$I$89,5,0)</f>
        <v>-6.7984728957526396E-14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207.59954777160192</v>
      </c>
      <c r="CE58" s="62">
        <f t="shared" si="40"/>
        <v>314.81017053732063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2.2356094392690125</v>
      </c>
      <c r="CL58" s="23">
        <f>EXP(-LN(2)/25)*CL57+(1-EXP(-LN(2)/25))/(LN(2)/25)*Calculateur!CG58*Calculateur!CI58*VLOOKUP('Données projet'!$B$12,Paramètres!$A$1:$I$89,3,0)*0.475*44/12</f>
        <v>2.6757420080346175</v>
      </c>
      <c r="CM58" s="23">
        <f>EXP(-LN(2)/2)*CM57+(1-EXP(-LN(2)/2))/(LN(2)/2)*CG58*CJ58*VLOOKUP('Données projet'!$B$12,Paramètres!$A$1:$I$89,3,0)*0.475*44/12</f>
        <v>1.1888064050659898E-3</v>
      </c>
      <c r="CN58" s="24">
        <f t="shared" si="12"/>
        <v>4.9125402537086966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232.5</v>
      </c>
      <c r="CR58" s="13">
        <f>VLOOKUP(A58,'Données projet'!$A$139:$I$159,9,0)</f>
        <v>6.119999999999993</v>
      </c>
      <c r="CS58" s="13">
        <f t="array" ref="CS58">INDEX(CR:CR,MIN(IF(ISNUMBER(CR58:CR254),ROW(CR58:CR254),"")))</f>
        <v>6.119999999999993</v>
      </c>
      <c r="CT58" s="13">
        <f>IF('Données projet'!$A$140&gt;35,CT57+CS58-DB57,IF(A58&lt;'Données projet'!$A$140,$CQ$205^A58,IF(A58='Données projet'!$A$140,'Données projet'!$B$140,CT57+CS58-DB57)))</f>
        <v>232.50000000000011</v>
      </c>
      <c r="CU58" s="18">
        <f>CT58*VLOOKUP('Données projet'!$B$13,Paramètres!$A$1:$I$89,3,0)*VLOOKUP('Données projet'!$B$13,Paramètres!$A$1:$I$89,5,0)</f>
        <v>170.46900000000008</v>
      </c>
      <c r="CV58" s="14">
        <f t="shared" si="41"/>
        <v>43.195047135356397</v>
      </c>
      <c r="CW58" s="22">
        <f t="shared" si="13"/>
        <v>372.13154876074583</v>
      </c>
      <c r="CX58" s="62">
        <f t="shared" si="14"/>
        <v>665.46488209407914</v>
      </c>
      <c r="CY58" s="62">
        <f ca="1">AVERAGE(OFFSET($CX$3,0,0,'Données projet'!$E$13+1,1))-AVERAGE(OFFSET($H$3,0,0,'Données projet'!$E$13+1,1))</f>
        <v>290.68086183422963</v>
      </c>
      <c r="CZ58" s="62">
        <f t="shared" si="42"/>
        <v>317.88330630101785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62">
        <f t="shared" si="0"/>
        <v>698.90250436802808</v>
      </c>
      <c r="S59" s="62">
        <f ca="1">AVERAGE(OFFSET($R$3,0,0,'Données projet'!$E$9+1,1))-AVERAGE(OFFSET($H$3,0,0,'Données projet'!$E$9+1,1))</f>
        <v>476.8965664931755</v>
      </c>
      <c r="T59" s="62">
        <f t="shared" si="34"/>
        <v>254.25036207346591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430.11660085503223</v>
      </c>
      <c r="AO59" s="62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6.8</v>
      </c>
      <c r="BD59" s="13">
        <f>IF('Données projet'!$A$88&gt;35,BD58+BC59-BL58,IF(A59&lt;'Données projet'!$A$88,$BA$205^A59,IF(A59='Données projet'!$A$88,'Données projet'!$B$88,BD58+BC59-BL58)))</f>
        <v>243.80000000000018</v>
      </c>
      <c r="BE59" s="14">
        <f>BD59*VLOOKUP('Données projet'!$B$11,Paramètres!$A$1:$I$89,3,0)*VLOOKUP('Données projet'!$B$11,Paramètres!$A$1:$I$89,5,0)</f>
        <v>212.98368000000016</v>
      </c>
      <c r="BF59" s="14">
        <f t="shared" si="37"/>
        <v>52.587058525970413</v>
      </c>
      <c r="BG59" s="22">
        <f t="shared" si="7"/>
        <v>462.53570293273202</v>
      </c>
      <c r="BH59" s="62">
        <f t="shared" si="8"/>
        <v>755.86903626606534</v>
      </c>
      <c r="BI59" s="62">
        <f ca="1">AVERAGE(OFFSET($BH$3,0,0,'Données projet'!$E$11+1,1))-AVERAGE(OFFSET($H$3,0,0,'Données projet'!$E$11+1,1))</f>
        <v>346.7910845218741</v>
      </c>
      <c r="BJ59" s="62">
        <f t="shared" si="38"/>
        <v>469.89734899725369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-1.1368683772161603E-13</v>
      </c>
      <c r="BZ59" s="14">
        <f>BY59*VLOOKUP('Données projet'!$B$12,Paramètres!$A$1:$I$89,3,0)*VLOOKUP('Données projet'!$B$12,Paramètres!$A$1:$I$89,5,0)</f>
        <v>-6.7984728957526396E-14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207.59954777160192</v>
      </c>
      <c r="CE59" s="62">
        <f t="shared" si="40"/>
        <v>314.81017053732063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2.1917705017520621</v>
      </c>
      <c r="CL59" s="23">
        <f>EXP(-LN(2)/25)*CL58+(1-EXP(-LN(2)/25))/(LN(2)/25)*Calculateur!CG59*Calculateur!CI59*VLOOKUP('Données projet'!$B$12,Paramètres!$A$1:$I$89,3,0)*0.475*44/12</f>
        <v>2.6025737021137543</v>
      </c>
      <c r="CM59" s="23">
        <f>EXP(-LN(2)/2)*CM58+(1-EXP(-LN(2)/2))/(LN(2)/2)*CG59*CJ59*VLOOKUP('Données projet'!$B$12,Paramètres!$A$1:$I$89,3,0)*0.475*44/12</f>
        <v>8.4061307054016305E-4</v>
      </c>
      <c r="CN59" s="24">
        <f t="shared" si="12"/>
        <v>4.7951848169363567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5.1600000000000019</v>
      </c>
      <c r="CT59" s="13">
        <f>IF('Données projet'!$A$140&gt;35,CT58+CS59-DB58,IF(A59&lt;'Données projet'!$A$140,$CQ$205^A59,IF(A59='Données projet'!$A$140,'Données projet'!$B$140,CT58+CS59-DB58)))</f>
        <v>237.66000000000011</v>
      </c>
      <c r="CU59" s="18">
        <f>CT59*VLOOKUP('Données projet'!$B$13,Paramètres!$A$1:$I$89,3,0)*VLOOKUP('Données projet'!$B$13,Paramètres!$A$1:$I$89,5,0)</f>
        <v>174.25231200000007</v>
      </c>
      <c r="CV59" s="14">
        <f t="shared" si="41"/>
        <v>44.04102629341314</v>
      </c>
      <c r="CW59" s="22">
        <f t="shared" si="13"/>
        <v>380.19423086102802</v>
      </c>
      <c r="CX59" s="62">
        <f t="shared" si="14"/>
        <v>673.52756419436128</v>
      </c>
      <c r="CY59" s="62">
        <f ca="1">AVERAGE(OFFSET($CX$3,0,0,'Données projet'!$E$13+1,1))-AVERAGE(OFFSET($H$3,0,0,'Données projet'!$E$13+1,1))</f>
        <v>290.68086183422963</v>
      </c>
      <c r="CZ59" s="62">
        <f t="shared" si="42"/>
        <v>317.88330630101785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62">
        <f t="shared" si="0"/>
        <v>715.29187710667725</v>
      </c>
      <c r="S60" s="62">
        <f ca="1">AVERAGE(OFFSET($R$3,0,0,'Données projet'!$E$9+1,1))-AVERAGE(OFFSET($H$3,0,0,'Données projet'!$E$9+1,1))</f>
        <v>476.8965664931755</v>
      </c>
      <c r="T60" s="62">
        <f t="shared" si="34"/>
        <v>254.25036207346591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430.11660085503223</v>
      </c>
      <c r="AO60" s="62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6.8</v>
      </c>
      <c r="BD60" s="13">
        <f>IF('Données projet'!$A$88&gt;35,BD59+BC60-BL59,IF(A60&lt;'Données projet'!$A$88,$BA$205^A60,IF(A60='Données projet'!$A$88,'Données projet'!$B$88,BD59+BC60-BL59)))</f>
        <v>250.60000000000019</v>
      </c>
      <c r="BE60" s="14">
        <f>BD60*VLOOKUP('Données projet'!$B$11,Paramètres!$A$1:$I$89,3,0)*VLOOKUP('Données projet'!$B$11,Paramètres!$A$1:$I$89,5,0)</f>
        <v>218.9241600000002</v>
      </c>
      <c r="BF60" s="14">
        <f t="shared" si="37"/>
        <v>53.880990541091187</v>
      </c>
      <c r="BG60" s="22">
        <f t="shared" si="7"/>
        <v>475.13563719240079</v>
      </c>
      <c r="BH60" s="62">
        <f t="shared" si="8"/>
        <v>768.46897052573411</v>
      </c>
      <c r="BI60" s="62">
        <f ca="1">AVERAGE(OFFSET($BH$3,0,0,'Données projet'!$E$11+1,1))-AVERAGE(OFFSET($H$3,0,0,'Données projet'!$E$11+1,1))</f>
        <v>346.7910845218741</v>
      </c>
      <c r="BJ60" s="62">
        <f t="shared" si="38"/>
        <v>469.89734899725369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-1.1368683772161603E-13</v>
      </c>
      <c r="BZ60" s="14">
        <f>BY60*VLOOKUP('Données projet'!$B$12,Paramètres!$A$1:$I$89,3,0)*VLOOKUP('Données projet'!$B$12,Paramètres!$A$1:$I$89,5,0)</f>
        <v>-6.7984728957526396E-14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207.59954777160192</v>
      </c>
      <c r="CE60" s="62">
        <f t="shared" si="40"/>
        <v>314.81017053732063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2.1487912190607075</v>
      </c>
      <c r="CL60" s="23">
        <f>EXP(-LN(2)/25)*CL59+(1-EXP(-LN(2)/25))/(LN(2)/25)*Calculateur!CG60*Calculateur!CI60*VLOOKUP('Données projet'!$B$12,Paramètres!$A$1:$I$89,3,0)*0.475*44/12</f>
        <v>2.5314061873660507</v>
      </c>
      <c r="CM60" s="23">
        <f>EXP(-LN(2)/2)*CM59+(1-EXP(-LN(2)/2))/(LN(2)/2)*CG60*CJ60*VLOOKUP('Données projet'!$B$12,Paramètres!$A$1:$I$89,3,0)*0.475*44/12</f>
        <v>5.944032025329949E-4</v>
      </c>
      <c r="CN60" s="24">
        <f t="shared" si="12"/>
        <v>4.6807918096292918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5.1600000000000019</v>
      </c>
      <c r="CT60" s="13">
        <f>IF('Données projet'!$A$140&gt;35,CT59+CS60-DB59,IF(A60&lt;'Données projet'!$A$140,$CQ$205^A60,IF(A60='Données projet'!$A$140,'Données projet'!$B$140,CT59+CS60-DB59)))</f>
        <v>242.82000000000011</v>
      </c>
      <c r="CU60" s="18">
        <f>CT60*VLOOKUP('Données projet'!$B$13,Paramètres!$A$1:$I$89,3,0)*VLOOKUP('Données projet'!$B$13,Paramètres!$A$1:$I$89,5,0)</f>
        <v>178.03562400000007</v>
      </c>
      <c r="CV60" s="14">
        <f t="shared" si="41"/>
        <v>44.884869980598666</v>
      </c>
      <c r="CW60" s="22">
        <f t="shared" si="13"/>
        <v>388.25319368287614</v>
      </c>
      <c r="CX60" s="62">
        <f t="shared" si="14"/>
        <v>681.5865270162094</v>
      </c>
      <c r="CY60" s="62">
        <f ca="1">AVERAGE(OFFSET($CX$3,0,0,'Données projet'!$E$13+1,1))-AVERAGE(OFFSET($H$3,0,0,'Données projet'!$E$13+1,1))</f>
        <v>290.68086183422963</v>
      </c>
      <c r="CZ60" s="62">
        <f t="shared" si="42"/>
        <v>317.88330630101785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62">
        <f t="shared" si="0"/>
        <v>731.66754827918635</v>
      </c>
      <c r="S61" s="62">
        <f ca="1">AVERAGE(OFFSET($R$3,0,0,'Données projet'!$E$9+1,1))-AVERAGE(OFFSET($H$3,0,0,'Données projet'!$E$9+1,1))</f>
        <v>476.8965664931755</v>
      </c>
      <c r="T61" s="62">
        <f t="shared" si="34"/>
        <v>254.25036207346591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430.11660085503223</v>
      </c>
      <c r="AO61" s="62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6.8</v>
      </c>
      <c r="BD61" s="13">
        <f>IF('Données projet'!$A$88&gt;35,BD60+BC61-BL60,IF(A61&lt;'Données projet'!$A$88,$BA$205^A61,IF(A61='Données projet'!$A$88,'Données projet'!$B$88,BD60+BC61-BL60)))</f>
        <v>257.4000000000002</v>
      </c>
      <c r="BE61" s="14">
        <f>BD61*VLOOKUP('Données projet'!$B$11,Paramètres!$A$1:$I$89,3,0)*VLOOKUP('Données projet'!$B$11,Paramètres!$A$1:$I$89,5,0)</f>
        <v>224.86464000000021</v>
      </c>
      <c r="BF61" s="14">
        <f t="shared" si="37"/>
        <v>55.170841590670648</v>
      </c>
      <c r="BG61" s="22">
        <f t="shared" si="7"/>
        <v>487.72846377041839</v>
      </c>
      <c r="BH61" s="62">
        <f t="shared" si="8"/>
        <v>781.0617971037517</v>
      </c>
      <c r="BI61" s="62">
        <f ca="1">AVERAGE(OFFSET($BH$3,0,0,'Données projet'!$E$11+1,1))-AVERAGE(OFFSET($H$3,0,0,'Données projet'!$E$11+1,1))</f>
        <v>346.7910845218741</v>
      </c>
      <c r="BJ61" s="62">
        <f t="shared" si="38"/>
        <v>469.89734899725369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-1.1368683772161603E-13</v>
      </c>
      <c r="BZ61" s="14">
        <f>BY61*VLOOKUP('Données projet'!$B$12,Paramètres!$A$1:$I$89,3,0)*VLOOKUP('Données projet'!$B$12,Paramètres!$A$1:$I$89,5,0)</f>
        <v>-6.7984728957526396E-14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207.59954777160192</v>
      </c>
      <c r="CE61" s="62">
        <f t="shared" si="40"/>
        <v>314.81017053732063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2.1066547338881563</v>
      </c>
      <c r="CL61" s="23">
        <f>EXP(-LN(2)/25)*CL60+(1-EXP(-LN(2)/25))/(LN(2)/25)*Calculateur!CG61*Calculateur!CI61*VLOOKUP('Données projet'!$B$12,Paramètres!$A$1:$I$89,3,0)*0.475*44/12</f>
        <v>2.4621847520516602</v>
      </c>
      <c r="CM61" s="23">
        <f>EXP(-LN(2)/2)*CM60+(1-EXP(-LN(2)/2))/(LN(2)/2)*CG61*CJ61*VLOOKUP('Données projet'!$B$12,Paramètres!$A$1:$I$89,3,0)*0.475*44/12</f>
        <v>4.2030653527008152E-4</v>
      </c>
      <c r="CN61" s="24">
        <f t="shared" si="12"/>
        <v>4.5692597924750871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5.1600000000000019</v>
      </c>
      <c r="CT61" s="13">
        <f>IF('Données projet'!$A$140&gt;35,CT60+CS61-DB60,IF(A61&lt;'Données projet'!$A$140,$CQ$205^A61,IF(A61='Données projet'!$A$140,'Données projet'!$B$140,CT60+CS61-DB60)))</f>
        <v>247.9800000000001</v>
      </c>
      <c r="CU61" s="18">
        <f>CT61*VLOOKUP('Données projet'!$B$13,Paramètres!$A$1:$I$89,3,0)*VLOOKUP('Données projet'!$B$13,Paramètres!$A$1:$I$89,5,0)</f>
        <v>181.81893600000006</v>
      </c>
      <c r="CV61" s="14">
        <f t="shared" si="41"/>
        <v>45.726628803579182</v>
      </c>
      <c r="CW61" s="22">
        <f t="shared" si="13"/>
        <v>396.30852536623382</v>
      </c>
      <c r="CX61" s="62">
        <f t="shared" si="14"/>
        <v>689.64185869956714</v>
      </c>
      <c r="CY61" s="62">
        <f ca="1">AVERAGE(OFFSET($CX$3,0,0,'Données projet'!$E$13+1,1))-AVERAGE(OFFSET($H$3,0,0,'Données projet'!$E$13+1,1))</f>
        <v>290.68086183422963</v>
      </c>
      <c r="CZ61" s="62">
        <f t="shared" si="42"/>
        <v>317.88330630101785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62">
        <f t="shared" si="0"/>
        <v>748.03010164882539</v>
      </c>
      <c r="S62" s="62">
        <f ca="1">AVERAGE(OFFSET($R$3,0,0,'Données projet'!$E$9+1,1))-AVERAGE(OFFSET($H$3,0,0,'Données projet'!$E$9+1,1))</f>
        <v>476.8965664931755</v>
      </c>
      <c r="T62" s="62">
        <f t="shared" si="34"/>
        <v>254.25036207346591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430.11660085503223</v>
      </c>
      <c r="AO62" s="62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6.8</v>
      </c>
      <c r="BD62" s="13">
        <f>IF('Données projet'!$A$88&gt;35,BD61+BC62-BL61,IF(A62&lt;'Données projet'!$A$88,$BA$205^A62,IF(A62='Données projet'!$A$88,'Données projet'!$B$88,BD61+BC62-BL61)))</f>
        <v>264.20000000000022</v>
      </c>
      <c r="BE62" s="14">
        <f>BD62*VLOOKUP('Données projet'!$B$11,Paramètres!$A$1:$I$89,3,0)*VLOOKUP('Données projet'!$B$11,Paramètres!$A$1:$I$89,5,0)</f>
        <v>230.80512000000022</v>
      </c>
      <c r="BF62" s="14">
        <f t="shared" si="37"/>
        <v>56.456731878408327</v>
      </c>
      <c r="BG62" s="22">
        <f t="shared" si="7"/>
        <v>500.31439202156156</v>
      </c>
      <c r="BH62" s="62">
        <f t="shared" si="8"/>
        <v>793.64772535489487</v>
      </c>
      <c r="BI62" s="62">
        <f ca="1">AVERAGE(OFFSET($BH$3,0,0,'Données projet'!$E$11+1,1))-AVERAGE(OFFSET($H$3,0,0,'Données projet'!$E$11+1,1))</f>
        <v>346.7910845218741</v>
      </c>
      <c r="BJ62" s="62">
        <f t="shared" si="38"/>
        <v>469.89734899725369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-1.1368683772161603E-13</v>
      </c>
      <c r="BZ62" s="14">
        <f>BY62*VLOOKUP('Données projet'!$B$12,Paramètres!$A$1:$I$89,3,0)*VLOOKUP('Données projet'!$B$12,Paramètres!$A$1:$I$89,5,0)</f>
        <v>-6.7984728957526396E-14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207.59954777160192</v>
      </c>
      <c r="CE62" s="62">
        <f t="shared" si="40"/>
        <v>314.81017053732063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2.0653445194891207</v>
      </c>
      <c r="CL62" s="23">
        <f>EXP(-LN(2)/25)*CL61+(1-EXP(-LN(2)/25))/(LN(2)/25)*Calculateur!CG62*Calculateur!CI62*VLOOKUP('Données projet'!$B$12,Paramètres!$A$1:$I$89,3,0)*0.475*44/12</f>
        <v>2.3948561805261388</v>
      </c>
      <c r="CM62" s="23">
        <f>EXP(-LN(2)/2)*CM61+(1-EXP(-LN(2)/2))/(LN(2)/2)*CG62*CJ62*VLOOKUP('Données projet'!$B$12,Paramètres!$A$1:$I$89,3,0)*0.475*44/12</f>
        <v>2.9720160126649745E-4</v>
      </c>
      <c r="CN62" s="24">
        <f t="shared" si="12"/>
        <v>4.4604979016165256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5.1600000000000019</v>
      </c>
      <c r="CT62" s="13">
        <f>IF('Données projet'!$A$140&gt;35,CT61+CS62-DB61,IF(A62&lt;'Données projet'!$A$140,$CQ$205^A62,IF(A62='Données projet'!$A$140,'Données projet'!$B$140,CT61+CS62-DB61)))</f>
        <v>253.1400000000001</v>
      </c>
      <c r="CU62" s="18">
        <f>CT62*VLOOKUP('Données projet'!$B$13,Paramètres!$A$1:$I$89,3,0)*VLOOKUP('Données projet'!$B$13,Paramètres!$A$1:$I$89,5,0)</f>
        <v>185.60224800000006</v>
      </c>
      <c r="CV62" s="14">
        <f t="shared" si="41"/>
        <v>46.5663511426025</v>
      </c>
      <c r="CW62" s="22">
        <f t="shared" si="13"/>
        <v>404.36031017336609</v>
      </c>
      <c r="CX62" s="62">
        <f t="shared" si="14"/>
        <v>697.69364350669935</v>
      </c>
      <c r="CY62" s="62">
        <f ca="1">AVERAGE(OFFSET($CX$3,0,0,'Données projet'!$E$13+1,1))-AVERAGE(OFFSET($H$3,0,0,'Données projet'!$E$13+1,1))</f>
        <v>290.68086183422963</v>
      </c>
      <c r="CZ62" s="62">
        <f t="shared" si="42"/>
        <v>317.88330630101785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62">
        <f t="shared" si="0"/>
        <v>764.38007555253228</v>
      </c>
      <c r="S63" s="62">
        <f ca="1">AVERAGE(OFFSET($R$3,0,0,'Données projet'!$E$9+1,1))-AVERAGE(OFFSET($H$3,0,0,'Données projet'!$E$9+1,1))</f>
        <v>476.8965664931755</v>
      </c>
      <c r="T63" s="62">
        <f t="shared" si="34"/>
        <v>254.25036207346591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430.11660085503223</v>
      </c>
      <c r="AO63" s="62">
        <f t="shared" si="36"/>
        <v>231.36959598460686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271</v>
      </c>
      <c r="BB63" s="13">
        <f>VLOOKUP(A63,'Données projet'!$A$87:$I$107,9,0)</f>
        <v>6.8</v>
      </c>
      <c r="BC63" s="13">
        <f t="array" ref="BC63">INDEX(BB:BB,MIN(IF(ISNUMBER(BB63:BB259),ROW(BB63:BB259),"")))</f>
        <v>6.8</v>
      </c>
      <c r="BD63" s="13">
        <f>IF('Données projet'!$A$88&gt;35,BD62+BC63-BL62,IF(A63&lt;'Données projet'!$A$88,$BA$205^A63,IF(A63='Données projet'!$A$88,'Données projet'!$B$88,BD62+BC63-BL62)))</f>
        <v>271.00000000000023</v>
      </c>
      <c r="BE63" s="14">
        <f>BD63*VLOOKUP('Données projet'!$B$11,Paramètres!$A$1:$I$89,3,0)*VLOOKUP('Données projet'!$B$11,Paramètres!$A$1:$I$89,5,0)</f>
        <v>236.74560000000022</v>
      </c>
      <c r="BF63" s="14">
        <f t="shared" si="37"/>
        <v>57.738775067879459</v>
      </c>
      <c r="BG63" s="22">
        <f t="shared" si="7"/>
        <v>512.89361990989039</v>
      </c>
      <c r="BH63" s="62">
        <f t="shared" si="8"/>
        <v>806.22695324322376</v>
      </c>
      <c r="BI63" s="62">
        <f ca="1">AVERAGE(OFFSET($BH$3,0,0,'Données projet'!$E$11+1,1))-AVERAGE(OFFSET($H$3,0,0,'Données projet'!$E$11+1,1))</f>
        <v>346.7910845218741</v>
      </c>
      <c r="BJ63" s="62">
        <f t="shared" si="38"/>
        <v>469.89734899725369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55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-1.1368683772161603E-13</v>
      </c>
      <c r="BZ63" s="14">
        <f>BY63*VLOOKUP('Données projet'!$B$12,Paramètres!$A$1:$I$89,3,0)*VLOOKUP('Données projet'!$B$12,Paramètres!$A$1:$I$89,5,0)</f>
        <v>-6.7984728957526396E-14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207.59954777160192</v>
      </c>
      <c r="CE63" s="62">
        <f t="shared" si="40"/>
        <v>314.81017053732063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2.0248443731977073</v>
      </c>
      <c r="CL63" s="23">
        <f>EXP(-LN(2)/25)*CL62+(1-EXP(-LN(2)/25))/(LN(2)/25)*Calculateur!CG63*Calculateur!CI63*VLOOKUP('Données projet'!$B$12,Paramètres!$A$1:$I$89,3,0)*0.475*44/12</f>
        <v>2.3293687123296385</v>
      </c>
      <c r="CM63" s="23">
        <f>EXP(-LN(2)/2)*CM62+(1-EXP(-LN(2)/2))/(LN(2)/2)*CG63*CJ63*VLOOKUP('Données projet'!$B$12,Paramètres!$A$1:$I$89,3,0)*0.475*44/12</f>
        <v>2.1015326763504076E-4</v>
      </c>
      <c r="CN63" s="24">
        <f t="shared" si="12"/>
        <v>4.3544232387949808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258.3</v>
      </c>
      <c r="CR63" s="13">
        <f>VLOOKUP(A63,'Données projet'!$A$139:$I$159,9,0)</f>
        <v>5.1600000000000019</v>
      </c>
      <c r="CS63" s="13">
        <f t="array" ref="CS63">INDEX(CR:CR,MIN(IF(ISNUMBER(CR63:CR259),ROW(CR63:CR259),"")))</f>
        <v>5.1600000000000019</v>
      </c>
      <c r="CT63" s="13">
        <f>IF('Données projet'!$A$140&gt;35,CT62+CS63-DB62,IF(A63&lt;'Données projet'!$A$140,$CQ$205^A63,IF(A63='Données projet'!$A$140,'Données projet'!$B$140,CT62+CS63-DB62)))</f>
        <v>258.30000000000013</v>
      </c>
      <c r="CU63" s="18">
        <f>CT63*VLOOKUP('Données projet'!$B$13,Paramètres!$A$1:$I$89,3,0)*VLOOKUP('Données projet'!$B$13,Paramètres!$A$1:$I$89,5,0)</f>
        <v>189.38556000000008</v>
      </c>
      <c r="CV63" s="14">
        <f t="shared" si="41"/>
        <v>47.404083292801978</v>
      </c>
      <c r="CW63" s="22">
        <f t="shared" si="13"/>
        <v>412.40862873496354</v>
      </c>
      <c r="CX63" s="62">
        <f t="shared" si="14"/>
        <v>705.74196206829686</v>
      </c>
      <c r="CY63" s="62">
        <f ca="1">AVERAGE(OFFSET($CX$3,0,0,'Données projet'!$E$13+1,1))-AVERAGE(OFFSET($H$3,0,0,'Données projet'!$E$13+1,1))</f>
        <v>290.68086183422963</v>
      </c>
      <c r="CZ63" s="62">
        <f t="shared" si="42"/>
        <v>317.88330630101785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25.200000000000003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2">
        <f t="shared" si="0"/>
        <v>779.85837243411675</v>
      </c>
      <c r="S64" s="62">
        <f ca="1">AVERAGE(OFFSET($R$3,0,0,'Données projet'!$E$9+1,1))-AVERAGE(OFFSET($H$3,0,0,'Données projet'!$E$9+1,1))</f>
        <v>476.8965664931755</v>
      </c>
      <c r="T64" s="62">
        <f t="shared" si="34"/>
        <v>254.25036207346591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221.19999999999996</v>
      </c>
      <c r="AJ64" s="14">
        <f>AI64*VLOOKUP('Données projet'!$B$10,Paramètres!$A$1:$I$89,3,0)*VLOOKUP('Données projet'!$B$10,Paramètres!$A$1:$I$89,5,0)</f>
        <v>200.14175999999995</v>
      </c>
      <c r="AK64" s="14">
        <f t="shared" si="35"/>
        <v>49.775320997880847</v>
      </c>
      <c r="AL64" s="22">
        <f t="shared" si="4"/>
        <v>435.27224940464231</v>
      </c>
      <c r="AM64" s="62">
        <f t="shared" si="5"/>
        <v>728.60558273797562</v>
      </c>
      <c r="AN64" s="62">
        <f ca="1">AVERAGE(OFFSET($AM$3,0,0,'Données projet'!$E$10+1,1))-AVERAGE(OFFSET($H$3,0,0,'Données projet'!$E$10+1,1))</f>
        <v>430.11660085503223</v>
      </c>
      <c r="AO64" s="62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222.00000000000023</v>
      </c>
      <c r="BE64" s="14">
        <f>BD64*VLOOKUP('Données projet'!$B$11,Paramètres!$A$1:$I$89,3,0)*VLOOKUP('Données projet'!$B$11,Paramètres!$A$1:$I$89,5,0)</f>
        <v>193.93920000000023</v>
      </c>
      <c r="BF64" s="14">
        <f t="shared" si="37"/>
        <v>48.409811198069427</v>
      </c>
      <c r="BG64" s="22">
        <f t="shared" si="7"/>
        <v>422.09119450330468</v>
      </c>
      <c r="BH64" s="62">
        <f t="shared" si="8"/>
        <v>715.42452783663794</v>
      </c>
      <c r="BI64" s="62">
        <f ca="1">AVERAGE(OFFSET($BH$3,0,0,'Données projet'!$E$11+1,1))-AVERAGE(OFFSET($H$3,0,0,'Données projet'!$E$11+1,1))</f>
        <v>346.7910845218741</v>
      </c>
      <c r="BJ64" s="62">
        <f t="shared" si="38"/>
        <v>469.89734899725369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-6.7984728957526396E-14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207.59954777160192</v>
      </c>
      <c r="CE64" s="62">
        <f t="shared" si="40"/>
        <v>314.81017053732063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1.9851384100724185</v>
      </c>
      <c r="CL64" s="23">
        <f>EXP(-LN(2)/25)*CL63+(1-EXP(-LN(2)/25))/(LN(2)/25)*Calculateur!CG64*Calculateur!CI64*VLOOKUP('Données projet'!$B$12,Paramètres!$A$1:$I$89,3,0)*0.475*44/12</f>
        <v>2.2656720023948078</v>
      </c>
      <c r="CM64" s="23">
        <f>EXP(-LN(2)/2)*CM63+(1-EXP(-LN(2)/2))/(LN(2)/2)*CG64*CJ64*VLOOKUP('Données projet'!$B$12,Paramètres!$A$1:$I$89,3,0)*0.475*44/12</f>
        <v>1.4860080063324872E-4</v>
      </c>
      <c r="CN64" s="24">
        <f t="shared" si="12"/>
        <v>4.2509590132678596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4.3399999999999981</v>
      </c>
      <c r="CT64" s="13">
        <f>IF('Données projet'!$A$140&gt;35,CT63+CS64-DB63,IF(A64&lt;'Données projet'!$A$140,$CQ$205^A64,IF(A64='Données projet'!$A$140,'Données projet'!$B$140,CT63+CS64-DB63)))</f>
        <v>237.44000000000011</v>
      </c>
      <c r="CU64" s="18">
        <f>CT64*VLOOKUP('Données projet'!$B$13,Paramètres!$A$1:$I$89,3,0)*VLOOKUP('Données projet'!$B$13,Paramètres!$A$1:$I$89,5,0)</f>
        <v>174.09100800000007</v>
      </c>
      <c r="CV64" s="14">
        <f t="shared" si="41"/>
        <v>44.005001364605072</v>
      </c>
      <c r="CW64" s="22">
        <f t="shared" si="13"/>
        <v>379.85054964335399</v>
      </c>
      <c r="CX64" s="62">
        <f t="shared" si="14"/>
        <v>673.1838829766873</v>
      </c>
      <c r="CY64" s="62">
        <f ca="1">AVERAGE(OFFSET($CX$3,0,0,'Données projet'!$E$13+1,1))-AVERAGE(OFFSET($H$3,0,0,'Données projet'!$E$13+1,1))</f>
        <v>290.68086183422963</v>
      </c>
      <c r="CZ64" s="62">
        <f t="shared" si="42"/>
        <v>317.88330630101785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62">
        <f t="shared" si="0"/>
        <v>795.32621974520123</v>
      </c>
      <c r="S65" s="62">
        <f ca="1">AVERAGE(OFFSET($R$3,0,0,'Données projet'!$E$9+1,1))-AVERAGE(OFFSET($H$3,0,0,'Données projet'!$E$9+1,1))</f>
        <v>476.8965664931755</v>
      </c>
      <c r="T65" s="62">
        <f t="shared" si="34"/>
        <v>254.25036207346591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228.39999999999995</v>
      </c>
      <c r="AJ65" s="14">
        <f>AI65*VLOOKUP('Données projet'!$B$10,Paramètres!$A$1:$I$89,3,0)*VLOOKUP('Données projet'!$B$10,Paramètres!$A$1:$I$89,5,0)</f>
        <v>206.65631999999994</v>
      </c>
      <c r="AK65" s="14">
        <f t="shared" si="35"/>
        <v>51.20422634371338</v>
      </c>
      <c r="AL65" s="22">
        <f t="shared" si="4"/>
        <v>449.10711821530072</v>
      </c>
      <c r="AM65" s="62">
        <f t="shared" si="5"/>
        <v>742.44045154863397</v>
      </c>
      <c r="AN65" s="62">
        <f ca="1">AVERAGE(OFFSET($AM$3,0,0,'Données projet'!$E$10+1,1))-AVERAGE(OFFSET($H$3,0,0,'Données projet'!$E$10+1,1))</f>
        <v>430.11660085503223</v>
      </c>
      <c r="AO65" s="62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228.00000000000023</v>
      </c>
      <c r="BE65" s="14">
        <f>BD65*VLOOKUP('Données projet'!$B$11,Paramètres!$A$1:$I$89,3,0)*VLOOKUP('Données projet'!$B$11,Paramètres!$A$1:$I$89,5,0)</f>
        <v>199.1808000000002</v>
      </c>
      <c r="BF65" s="14">
        <f t="shared" si="37"/>
        <v>49.564089376413726</v>
      </c>
      <c r="BG65" s="22">
        <f t="shared" si="7"/>
        <v>433.23068233058763</v>
      </c>
      <c r="BH65" s="62">
        <f t="shared" si="8"/>
        <v>726.56401566392094</v>
      </c>
      <c r="BI65" s="62">
        <f ca="1">AVERAGE(OFFSET($BH$3,0,0,'Données projet'!$E$11+1,1))-AVERAGE(OFFSET($H$3,0,0,'Données projet'!$E$11+1,1))</f>
        <v>346.7910845218741</v>
      </c>
      <c r="BJ65" s="62">
        <f t="shared" si="38"/>
        <v>469.89734899725369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-6.7984728957526396E-14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207.59954777160192</v>
      </c>
      <c r="CE65" s="62">
        <f t="shared" si="40"/>
        <v>314.81017053732063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1.9462110566657704</v>
      </c>
      <c r="CL65" s="23">
        <f>EXP(-LN(2)/25)*CL64+(1-EXP(-LN(2)/25))/(LN(2)/25)*Calculateur!CG65*Calculateur!CI65*VLOOKUP('Données projet'!$B$12,Paramètres!$A$1:$I$89,3,0)*0.475*44/12</f>
        <v>2.2037170823428096</v>
      </c>
      <c r="CM65" s="23">
        <f>EXP(-LN(2)/2)*CM64+(1-EXP(-LN(2)/2))/(LN(2)/2)*CG65*CJ65*VLOOKUP('Données projet'!$B$12,Paramètres!$A$1:$I$89,3,0)*0.475*44/12</f>
        <v>1.0507663381752038E-4</v>
      </c>
      <c r="CN65" s="24">
        <f t="shared" si="12"/>
        <v>4.1500332156423969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4.3399999999999981</v>
      </c>
      <c r="CT65" s="13">
        <f>IF('Données projet'!$A$140&gt;35,CT64+CS65-DB64,IF(A65&lt;'Données projet'!$A$140,$CQ$205^A65,IF(A65='Données projet'!$A$140,'Données projet'!$B$140,CT64+CS65-DB64)))</f>
        <v>241.78000000000011</v>
      </c>
      <c r="CU65" s="18">
        <f>CT65*VLOOKUP('Données projet'!$B$13,Paramètres!$A$1:$I$89,3,0)*VLOOKUP('Données projet'!$B$13,Paramètres!$A$1:$I$89,5,0)</f>
        <v>177.27309600000007</v>
      </c>
      <c r="CV65" s="14">
        <f t="shared" si="41"/>
        <v>44.714962312414976</v>
      </c>
      <c r="CW65" s="22">
        <f t="shared" si="13"/>
        <v>386.62920156078945</v>
      </c>
      <c r="CX65" s="62">
        <f t="shared" si="14"/>
        <v>679.96253489412277</v>
      </c>
      <c r="CY65" s="62">
        <f ca="1">AVERAGE(OFFSET($CX$3,0,0,'Données projet'!$E$13+1,1))-AVERAGE(OFFSET($H$3,0,0,'Données projet'!$E$13+1,1))</f>
        <v>290.68086183422963</v>
      </c>
      <c r="CZ65" s="62">
        <f t="shared" si="42"/>
        <v>317.88330630101785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2">
        <f t="shared" si="0"/>
        <v>810.78398468700493</v>
      </c>
      <c r="S66" s="62">
        <f ca="1">AVERAGE(OFFSET($R$3,0,0,'Données projet'!$E$9+1,1))-AVERAGE(OFFSET($H$3,0,0,'Données projet'!$E$9+1,1))</f>
        <v>476.8965664931755</v>
      </c>
      <c r="T66" s="62">
        <f t="shared" si="34"/>
        <v>254.25036207346591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235.59999999999994</v>
      </c>
      <c r="AJ66" s="14">
        <f>AI66*VLOOKUP('Données projet'!$B$10,Paramètres!$A$1:$I$89,3,0)*VLOOKUP('Données projet'!$B$10,Paramètres!$A$1:$I$89,5,0)</f>
        <v>213.17087999999995</v>
      </c>
      <c r="AK66" s="14">
        <f t="shared" si="35"/>
        <v>52.627897224631596</v>
      </c>
      <c r="AL66" s="22">
        <f t="shared" si="4"/>
        <v>462.93287033289988</v>
      </c>
      <c r="AM66" s="62">
        <f t="shared" si="5"/>
        <v>756.2662036662332</v>
      </c>
      <c r="AN66" s="62">
        <f ca="1">AVERAGE(OFFSET($AM$3,0,0,'Données projet'!$E$10+1,1))-AVERAGE(OFFSET($H$3,0,0,'Données projet'!$E$10+1,1))</f>
        <v>430.11660085503223</v>
      </c>
      <c r="AO66" s="62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234.00000000000023</v>
      </c>
      <c r="BE66" s="14">
        <f>BD66*VLOOKUP('Données projet'!$B$11,Paramètres!$A$1:$I$89,3,0)*VLOOKUP('Données projet'!$B$11,Paramètres!$A$1:$I$89,5,0)</f>
        <v>204.42240000000021</v>
      </c>
      <c r="BF66" s="14">
        <f t="shared" si="37"/>
        <v>50.714836797527312</v>
      </c>
      <c r="BG66" s="22">
        <f t="shared" si="7"/>
        <v>444.36402075569373</v>
      </c>
      <c r="BH66" s="62">
        <f t="shared" si="8"/>
        <v>737.69735408902704</v>
      </c>
      <c r="BI66" s="62">
        <f ca="1">AVERAGE(OFFSET($BH$3,0,0,'Données projet'!$E$11+1,1))-AVERAGE(OFFSET($H$3,0,0,'Données projet'!$E$11+1,1))</f>
        <v>346.7910845218741</v>
      </c>
      <c r="BJ66" s="62">
        <f t="shared" si="38"/>
        <v>469.89734899725369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-6.7984728957526396E-14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207.59954777160192</v>
      </c>
      <c r="CE66" s="62">
        <f t="shared" si="40"/>
        <v>314.81017053732063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1.9080470449160856</v>
      </c>
      <c r="CL66" s="23">
        <f>EXP(-LN(2)/25)*CL65+(1-EXP(-LN(2)/25))/(LN(2)/25)*Calculateur!CG66*Calculateur!CI66*VLOOKUP('Données projet'!$B$12,Paramètres!$A$1:$I$89,3,0)*0.475*44/12</f>
        <v>2.1434563228377006</v>
      </c>
      <c r="CM66" s="23">
        <f>EXP(-LN(2)/2)*CM65+(1-EXP(-LN(2)/2))/(LN(2)/2)*CG66*CJ66*VLOOKUP('Données projet'!$B$12,Paramètres!$A$1:$I$89,3,0)*0.475*44/12</f>
        <v>7.4300400316624362E-5</v>
      </c>
      <c r="CN66" s="24">
        <f t="shared" si="12"/>
        <v>4.0515776681541027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4.3399999999999981</v>
      </c>
      <c r="CT66" s="13">
        <f>IF('Données projet'!$A$140&gt;35,CT65+CS66-DB65,IF(A66&lt;'Données projet'!$A$140,$CQ$205^A66,IF(A66='Données projet'!$A$140,'Données projet'!$B$140,CT65+CS66-DB65)))</f>
        <v>246.12000000000012</v>
      </c>
      <c r="CU66" s="18">
        <f>CT66*VLOOKUP('Données projet'!$B$13,Paramètres!$A$1:$I$89,3,0)*VLOOKUP('Données projet'!$B$13,Paramètres!$A$1:$I$89,5,0)</f>
        <v>180.45518400000009</v>
      </c>
      <c r="CV66" s="14">
        <f t="shared" si="41"/>
        <v>45.423441329766014</v>
      </c>
      <c r="CW66" s="22">
        <f t="shared" si="13"/>
        <v>393.40527244934259</v>
      </c>
      <c r="CX66" s="62">
        <f t="shared" si="14"/>
        <v>686.7386057826759</v>
      </c>
      <c r="CY66" s="62">
        <f ca="1">AVERAGE(OFFSET($CX$3,0,0,'Données projet'!$E$13+1,1))-AVERAGE(OFFSET($H$3,0,0,'Données projet'!$E$13+1,1))</f>
        <v>290.68086183422963</v>
      </c>
      <c r="CZ66" s="62">
        <f t="shared" si="42"/>
        <v>317.88330630101785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62">
        <f t="shared" ref="R67:R130" si="55">Q67+(I67+J67)*44/12</f>
        <v>826.23201074199255</v>
      </c>
      <c r="S67" s="62">
        <f ca="1">AVERAGE(OFFSET($R$3,0,0,'Données projet'!$E$9+1,1))-AVERAGE(OFFSET($H$3,0,0,'Données projet'!$E$9+1,1))</f>
        <v>476.8965664931755</v>
      </c>
      <c r="T67" s="62">
        <f t="shared" si="34"/>
        <v>254.25036207346591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242.79999999999993</v>
      </c>
      <c r="AJ67" s="14">
        <f>AI67*VLOOKUP('Données projet'!$B$10,Paramètres!$A$1:$I$89,3,0)*VLOOKUP('Données projet'!$B$10,Paramètres!$A$1:$I$89,5,0)</f>
        <v>219.68543999999994</v>
      </c>
      <c r="AK67" s="14">
        <f t="shared" si="35"/>
        <v>54.046511966469559</v>
      </c>
      <c r="AL67" s="22">
        <f t="shared" si="4"/>
        <v>476.74981634160105</v>
      </c>
      <c r="AM67" s="62">
        <f t="shared" si="5"/>
        <v>770.08314967493436</v>
      </c>
      <c r="AN67" s="62">
        <f ca="1">AVERAGE(OFFSET($AM$3,0,0,'Données projet'!$E$10+1,1))-AVERAGE(OFFSET($H$3,0,0,'Données projet'!$E$10+1,1))</f>
        <v>430.11660085503223</v>
      </c>
      <c r="AO67" s="62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240.00000000000023</v>
      </c>
      <c r="BE67" s="14">
        <f>BD67*VLOOKUP('Données projet'!$B$11,Paramètres!$A$1:$I$89,3,0)*VLOOKUP('Données projet'!$B$11,Paramètres!$A$1:$I$89,5,0)</f>
        <v>209.66400000000024</v>
      </c>
      <c r="BF67" s="14">
        <f t="shared" si="37"/>
        <v>51.862154403304579</v>
      </c>
      <c r="BG67" s="22">
        <f t="shared" si="7"/>
        <v>455.49138558575584</v>
      </c>
      <c r="BH67" s="62">
        <f t="shared" si="8"/>
        <v>748.82471891908915</v>
      </c>
      <c r="BI67" s="62">
        <f ca="1">AVERAGE(OFFSET($BH$3,0,0,'Données projet'!$E$11+1,1))-AVERAGE(OFFSET($H$3,0,0,'Données projet'!$E$11+1,1))</f>
        <v>346.7910845218741</v>
      </c>
      <c r="BJ67" s="62">
        <f t="shared" si="38"/>
        <v>469.89734899725369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-6.7984728957526396E-14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207.59954777160192</v>
      </c>
      <c r="CE67" s="62">
        <f t="shared" si="40"/>
        <v>314.81017053732063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1.8706314061590634</v>
      </c>
      <c r="CL67" s="23">
        <f>EXP(-LN(2)/25)*CL66+(1-EXP(-LN(2)/25))/(LN(2)/25)*Calculateur!CG67*Calculateur!CI67*VLOOKUP('Données projet'!$B$12,Paramètres!$A$1:$I$89,3,0)*0.475*44/12</f>
        <v>2.0848433969702347</v>
      </c>
      <c r="CM67" s="23">
        <f>EXP(-LN(2)/2)*CM66+(1-EXP(-LN(2)/2))/(LN(2)/2)*CG67*CJ67*VLOOKUP('Données projet'!$B$12,Paramètres!$A$1:$I$89,3,0)*0.475*44/12</f>
        <v>5.2538316908760191E-5</v>
      </c>
      <c r="CN67" s="24">
        <f t="shared" si="12"/>
        <v>3.9555273414462064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4.3399999999999981</v>
      </c>
      <c r="CT67" s="13">
        <f>IF('Données projet'!$A$140&gt;35,CT66+CS67-DB66,IF(A67&lt;'Données projet'!$A$140,$CQ$205^A67,IF(A67='Données projet'!$A$140,'Données projet'!$B$140,CT66+CS67-DB66)))</f>
        <v>250.46000000000012</v>
      </c>
      <c r="CU67" s="18">
        <f>CT67*VLOOKUP('Données projet'!$B$13,Paramètres!$A$1:$I$89,3,0)*VLOOKUP('Données projet'!$B$13,Paramètres!$A$1:$I$89,5,0)</f>
        <v>183.63727200000011</v>
      </c>
      <c r="CV67" s="14">
        <f t="shared" si="41"/>
        <v>46.130467563413795</v>
      </c>
      <c r="CW67" s="22">
        <f t="shared" si="13"/>
        <v>400.17881307294584</v>
      </c>
      <c r="CX67" s="62">
        <f t="shared" si="14"/>
        <v>693.51214640627916</v>
      </c>
      <c r="CY67" s="62">
        <f ca="1">AVERAGE(OFFSET($CX$3,0,0,'Données projet'!$E$13+1,1))-AVERAGE(OFFSET($H$3,0,0,'Données projet'!$E$13+1,1))</f>
        <v>290.68086183422963</v>
      </c>
      <c r="CZ67" s="62">
        <f t="shared" si="42"/>
        <v>317.88330630101785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2">
        <f t="shared" si="55"/>
        <v>841.67061986334102</v>
      </c>
      <c r="S68" s="62">
        <f ca="1">AVERAGE(OFFSET($R$3,0,0,'Données projet'!$E$9+1,1))-AVERAGE(OFFSET($H$3,0,0,'Données projet'!$E$9+1,1))</f>
        <v>476.8965664931755</v>
      </c>
      <c r="T68" s="62">
        <f t="shared" si="34"/>
        <v>254.25036207346591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249.99999999999991</v>
      </c>
      <c r="AJ68" s="14">
        <f>AI68*VLOOKUP('Données projet'!$B$10,Paramètres!$A$1:$I$89,3,0)*VLOOKUP('Données projet'!$B$10,Paramètres!$A$1:$I$89,5,0)</f>
        <v>226.19999999999993</v>
      </c>
      <c r="AK68" s="14">
        <f t="shared" si="35"/>
        <v>55.460237717698107</v>
      </c>
      <c r="AL68" s="22">
        <f t="shared" ref="AL68:AL131" si="58">(AJ68+AK68)*0.475*44/12</f>
        <v>490.55824735832402</v>
      </c>
      <c r="AM68" s="62">
        <f t="shared" ref="AM68:AM131" si="59">AL68+(AD68+AE68)*44/12</f>
        <v>783.89158069165728</v>
      </c>
      <c r="AN68" s="62">
        <f ca="1">AVERAGE(OFFSET($AM$3,0,0,'Données projet'!$E$10+1,1))-AVERAGE(OFFSET($H$3,0,0,'Données projet'!$E$10+1,1))</f>
        <v>430.11660085503223</v>
      </c>
      <c r="AO68" s="62">
        <f t="shared" si="36"/>
        <v>231.36959598460686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246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246.00000000000023</v>
      </c>
      <c r="BE68" s="14">
        <f>BD68*VLOOKUP('Données projet'!$B$11,Paramètres!$A$1:$I$89,3,0)*VLOOKUP('Données projet'!$B$11,Paramètres!$A$1:$I$89,5,0)</f>
        <v>214.90560000000022</v>
      </c>
      <c r="BF68" s="14">
        <f t="shared" si="37"/>
        <v>53.006137800892375</v>
      </c>
      <c r="BG68" s="22">
        <f t="shared" ref="BG68:BG131" si="61">(BE68+BF68)*0.475*44/12</f>
        <v>466.61294333655451</v>
      </c>
      <c r="BH68" s="62">
        <f t="shared" ref="BH68:BH131" si="62">BG68+(AY68+AZ68)*44/12</f>
        <v>759.94627666988777</v>
      </c>
      <c r="BI68" s="62">
        <f ca="1">AVERAGE(OFFSET($BH$3,0,0,'Données projet'!$E$11+1,1))-AVERAGE(OFFSET($H$3,0,0,'Données projet'!$E$11+1,1))</f>
        <v>346.7910845218741</v>
      </c>
      <c r="BJ68" s="62">
        <f t="shared" si="38"/>
        <v>469.89734899725369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-6.7984728957526396E-14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207.59954777160192</v>
      </c>
      <c r="CE68" s="62">
        <f t="shared" si="40"/>
        <v>314.81017053732063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1.8339494652567803</v>
      </c>
      <c r="CL68" s="23">
        <f>EXP(-LN(2)/25)*CL67+(1-EXP(-LN(2)/25))/(LN(2)/25)*Calculateur!CG68*Calculateur!CI68*VLOOKUP('Données projet'!$B$12,Paramètres!$A$1:$I$89,3,0)*0.475*44/12</f>
        <v>2.0278332446429341</v>
      </c>
      <c r="CM68" s="23">
        <f>EXP(-LN(2)/2)*CM67+(1-EXP(-LN(2)/2))/(LN(2)/2)*CG68*CJ68*VLOOKUP('Données projet'!$B$12,Paramètres!$A$1:$I$89,3,0)*0.475*44/12</f>
        <v>3.7150200158312181E-5</v>
      </c>
      <c r="CN68" s="24">
        <f t="shared" ref="CN68:CN131" si="66">SUM(CK68:CM68)</f>
        <v>3.8618198600998728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254.8</v>
      </c>
      <c r="CR68" s="13">
        <f>VLOOKUP(A68,'Données projet'!$A$139:$I$159,9,0)</f>
        <v>4.3399999999999981</v>
      </c>
      <c r="CS68" s="13">
        <f t="array" ref="CS68">INDEX(CR:CR,MIN(IF(ISNUMBER(CR68:CR264),ROW(CR68:CR264),"")))</f>
        <v>4.3399999999999981</v>
      </c>
      <c r="CT68" s="13">
        <f>IF('Données projet'!$A$140&gt;35,CT67+CS68-DB67,IF(A68&lt;'Données projet'!$A$140,$CQ$205^A68,IF(A68='Données projet'!$A$140,'Données projet'!$B$140,CT67+CS68-DB67)))</f>
        <v>254.80000000000013</v>
      </c>
      <c r="CU68" s="18">
        <f>CT68*VLOOKUP('Données projet'!$B$13,Paramètres!$A$1:$I$89,3,0)*VLOOKUP('Données projet'!$B$13,Paramètres!$A$1:$I$89,5,0)</f>
        <v>186.8193600000001</v>
      </c>
      <c r="CV68" s="14">
        <f t="shared" si="41"/>
        <v>46.836069092125975</v>
      </c>
      <c r="CW68" s="22">
        <f t="shared" ref="CW68:CW131" si="67">(CU68+CV68)*0.475*44/12</f>
        <v>406.94987233545288</v>
      </c>
      <c r="CX68" s="62">
        <f t="shared" ref="CX68:CX131" si="68">CW68+(CO68+CP68)*44/12</f>
        <v>700.2832056687862</v>
      </c>
      <c r="CY68" s="62">
        <f ca="1">AVERAGE(OFFSET($CX$3,0,0,'Données projet'!$E$13+1,1))-AVERAGE(OFFSET($H$3,0,0,'Données projet'!$E$13+1,1))</f>
        <v>290.68086183422963</v>
      </c>
      <c r="CZ68" s="62">
        <f t="shared" si="42"/>
        <v>317.88330630101785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2">
        <f t="shared" si="55"/>
        <v>766.10041433772585</v>
      </c>
      <c r="S69" s="62">
        <f ca="1">AVERAGE(OFFSET($R$3,0,0,'Données projet'!$E$9+1,1))-AVERAGE(OFFSET($H$3,0,0,'Données projet'!$E$9+1,1))</f>
        <v>476.8965664931755</v>
      </c>
      <c r="T69" s="62">
        <f t="shared" ref="T69:T132" si="88">$T$3</f>
        <v>254.25036207346591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194.3510399999999</v>
      </c>
      <c r="AK69" s="14">
        <f t="shared" ref="AK69:AK132" si="89">EXP(-1.0587+0.8836*LN(AJ69)+0.284)</f>
        <v>48.500634729810116</v>
      </c>
      <c r="AL69" s="22">
        <f t="shared" si="58"/>
        <v>422.96666682108577</v>
      </c>
      <c r="AM69" s="62">
        <f t="shared" si="59"/>
        <v>716.30000015441908</v>
      </c>
      <c r="AN69" s="62">
        <f ca="1">AVERAGE(OFFSET($AM$3,0,0,'Données projet'!$E$10+1,1))-AVERAGE(OFFSET($H$3,0,0,'Données projet'!$E$10+1,1))</f>
        <v>430.11660085503223</v>
      </c>
      <c r="AO69" s="62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251.20000000000022</v>
      </c>
      <c r="BE69" s="14">
        <f>BD69*VLOOKUP('Données projet'!$B$11,Paramètres!$A$1:$I$89,3,0)*VLOOKUP('Données projet'!$B$11,Paramètres!$A$1:$I$89,5,0)</f>
        <v>219.44832000000022</v>
      </c>
      <c r="BF69" s="14">
        <f t="shared" ref="BF69:BF132" si="91">EXP(-1.0587+0.8836*LN(BE69)+0.284)</f>
        <v>53.994963282531778</v>
      </c>
      <c r="BG69" s="22">
        <f t="shared" si="61"/>
        <v>476.24705171707643</v>
      </c>
      <c r="BH69" s="62">
        <f t="shared" si="62"/>
        <v>769.58038505040975</v>
      </c>
      <c r="BI69" s="62">
        <f ca="1">AVERAGE(OFFSET($BH$3,0,0,'Données projet'!$E$11+1,1))-AVERAGE(OFFSET($H$3,0,0,'Données projet'!$E$11+1,1))</f>
        <v>346.7910845218741</v>
      </c>
      <c r="BJ69" s="62">
        <f t="shared" ref="BJ69:BJ132" si="92">$BJ$3</f>
        <v>469.89734899725369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-6.7984728957526396E-14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207.59954777160192</v>
      </c>
      <c r="CE69" s="62">
        <f t="shared" ref="CE69:CE132" si="94">$CE$3</f>
        <v>314.81017053732063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1.7979868348418162</v>
      </c>
      <c r="CL69" s="23">
        <f>EXP(-LN(2)/25)*CL68+(1-EXP(-LN(2)/25))/(LN(2)/25)*Calculateur!CG69*Calculateur!CI69*VLOOKUP('Données projet'!$B$12,Paramètres!$A$1:$I$89,3,0)*0.475*44/12</f>
        <v>1.9723820379290575</v>
      </c>
      <c r="CM69" s="23">
        <f>EXP(-LN(2)/2)*CM68+(1-EXP(-LN(2)/2))/(LN(2)/2)*CG69*CJ69*VLOOKUP('Données projet'!$B$12,Paramètres!$A$1:$I$89,3,0)*0.475*44/12</f>
        <v>2.6269158454380095E-5</v>
      </c>
      <c r="CN69" s="24">
        <f t="shared" si="66"/>
        <v>3.770395141929328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3.7599999999999909</v>
      </c>
      <c r="CT69" s="13">
        <f>IF('Données projet'!$A$140&gt;35,CT68+CS69-DB68,IF(A69&lt;'Données projet'!$A$140,$CQ$205^A69,IF(A69='Données projet'!$A$140,'Données projet'!$B$140,CT68+CS69-DB68)))</f>
        <v>258.56000000000012</v>
      </c>
      <c r="CU69" s="18">
        <f>CT69*VLOOKUP('Données projet'!$B$13,Paramètres!$A$1:$I$89,3,0)*VLOOKUP('Données projet'!$B$13,Paramètres!$A$1:$I$89,5,0)</f>
        <v>189.57619200000008</v>
      </c>
      <c r="CV69" s="14">
        <f t="shared" ref="CV69:CV132" si="95">EXP(-1.0587+0.8836*LN(CU69)+0.284)</f>
        <v>47.446242745856559</v>
      </c>
      <c r="CW69" s="22">
        <f t="shared" si="67"/>
        <v>412.8140738490336</v>
      </c>
      <c r="CX69" s="62">
        <f t="shared" si="68"/>
        <v>706.14740718236692</v>
      </c>
      <c r="CY69" s="62">
        <f ca="1">AVERAGE(OFFSET($CX$3,0,0,'Données projet'!$E$13+1,1))-AVERAGE(OFFSET($H$3,0,0,'Données projet'!$E$13+1,1))</f>
        <v>290.68086183422963</v>
      </c>
      <c r="CZ69" s="62">
        <f t="shared" ref="CZ69:CZ132" si="96">$CZ$3</f>
        <v>317.88330630101785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2">
        <f t="shared" si="55"/>
        <v>780.71796792246437</v>
      </c>
      <c r="S70" s="62">
        <f ca="1">AVERAGE(OFFSET($R$3,0,0,'Données projet'!$E$9+1,1))-AVERAGE(OFFSET($H$3,0,0,'Données projet'!$E$9+1,1))</f>
        <v>476.8965664931755</v>
      </c>
      <c r="T70" s="62">
        <f t="shared" si="88"/>
        <v>254.25036207346591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200.50367999999992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430.11660085503223</v>
      </c>
      <c r="AO70" s="62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256.4000000000002</v>
      </c>
      <c r="BE70" s="14">
        <f>BD70*VLOOKUP('Données projet'!$B$11,Paramètres!$A$1:$I$89,3,0)*VLOOKUP('Données projet'!$B$11,Paramètres!$A$1:$I$89,5,0)</f>
        <v>223.9910400000002</v>
      </c>
      <c r="BF70" s="14">
        <f t="shared" si="91"/>
        <v>54.981408824201651</v>
      </c>
      <c r="BG70" s="22">
        <f t="shared" si="61"/>
        <v>485.87701503548487</v>
      </c>
      <c r="BH70" s="62">
        <f t="shared" si="62"/>
        <v>779.21034836881813</v>
      </c>
      <c r="BI70" s="62">
        <f ca="1">AVERAGE(OFFSET($BH$3,0,0,'Données projet'!$E$11+1,1))-AVERAGE(OFFSET($H$3,0,0,'Données projet'!$E$11+1,1))</f>
        <v>346.7910845218741</v>
      </c>
      <c r="BJ70" s="62">
        <f t="shared" si="92"/>
        <v>469.89734899725369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-6.7984728957526396E-14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207.59954777160192</v>
      </c>
      <c r="CE70" s="62">
        <f t="shared" si="94"/>
        <v>314.81017053732063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1.762729409674251</v>
      </c>
      <c r="CL70" s="23">
        <f>EXP(-LN(2)/25)*CL69+(1-EXP(-LN(2)/25))/(LN(2)/25)*Calculateur!CG70*Calculateur!CI70*VLOOKUP('Données projet'!$B$12,Paramètres!$A$1:$I$89,3,0)*0.475*44/12</f>
        <v>1.918447147378824</v>
      </c>
      <c r="CM70" s="23">
        <f>EXP(-LN(2)/2)*CM69+(1-EXP(-LN(2)/2))/(LN(2)/2)*CG70*CJ70*VLOOKUP('Données projet'!$B$12,Paramètres!$A$1:$I$89,3,0)*0.475*44/12</f>
        <v>1.8575100079156091E-5</v>
      </c>
      <c r="CN70" s="24">
        <f t="shared" si="66"/>
        <v>3.681195132153154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3.7599999999999909</v>
      </c>
      <c r="CT70" s="13">
        <f>IF('Données projet'!$A$140&gt;35,CT69+CS70-DB69,IF(A70&lt;'Données projet'!$A$140,$CQ$205^A70,IF(A70='Données projet'!$A$140,'Données projet'!$B$140,CT69+CS70-DB69)))</f>
        <v>262.32000000000011</v>
      </c>
      <c r="CU70" s="18">
        <f>CT70*VLOOKUP('Données projet'!$B$13,Paramètres!$A$1:$I$89,3,0)*VLOOKUP('Données projet'!$B$13,Paramètres!$A$1:$I$89,5,0)</f>
        <v>192.33302400000008</v>
      </c>
      <c r="CV70" s="14">
        <f t="shared" si="95"/>
        <v>48.055384395041912</v>
      </c>
      <c r="CW70" s="22">
        <f t="shared" si="67"/>
        <v>418.6764779546981</v>
      </c>
      <c r="CX70" s="62">
        <f t="shared" si="68"/>
        <v>712.00981128803141</v>
      </c>
      <c r="CY70" s="62">
        <f ca="1">AVERAGE(OFFSET($CX$3,0,0,'Données projet'!$E$13+1,1))-AVERAGE(OFFSET($H$3,0,0,'Données projet'!$E$13+1,1))</f>
        <v>290.68086183422963</v>
      </c>
      <c r="CZ70" s="62">
        <f t="shared" si="96"/>
        <v>317.88330630101785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2">
        <f t="shared" si="55"/>
        <v>795.32621974520112</v>
      </c>
      <c r="S71" s="62">
        <f ca="1">AVERAGE(OFFSET($R$3,0,0,'Données projet'!$E$9+1,1))-AVERAGE(OFFSET($H$3,0,0,'Données projet'!$E$9+1,1))</f>
        <v>476.8965664931755</v>
      </c>
      <c r="T71" s="62">
        <f t="shared" si="88"/>
        <v>254.25036207346591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430.11660085503223</v>
      </c>
      <c r="AO71" s="62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261.60000000000019</v>
      </c>
      <c r="BE71" s="14">
        <f>BD71*VLOOKUP('Données projet'!$B$11,Paramètres!$A$1:$I$89,3,0)*VLOOKUP('Données projet'!$B$11,Paramètres!$A$1:$I$89,5,0)</f>
        <v>228.5337600000002</v>
      </c>
      <c r="BF71" s="14">
        <f t="shared" si="91"/>
        <v>55.965528255202493</v>
      </c>
      <c r="BG71" s="22">
        <f t="shared" si="61"/>
        <v>495.5029270444781</v>
      </c>
      <c r="BH71" s="62">
        <f t="shared" si="62"/>
        <v>788.83626037781141</v>
      </c>
      <c r="BI71" s="62">
        <f ca="1">AVERAGE(OFFSET($BH$3,0,0,'Données projet'!$E$11+1,1))-AVERAGE(OFFSET($H$3,0,0,'Données projet'!$E$11+1,1))</f>
        <v>346.7910845218741</v>
      </c>
      <c r="BJ71" s="62">
        <f t="shared" si="92"/>
        <v>469.89734899725369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-6.7984728957526396E-14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207.59954777160192</v>
      </c>
      <c r="CE71" s="62">
        <f t="shared" si="94"/>
        <v>314.81017053732063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1.7281633611093157</v>
      </c>
      <c r="CL71" s="23">
        <f>EXP(-LN(2)/25)*CL70+(1-EXP(-LN(2)/25))/(LN(2)/25)*Calculateur!CG71*Calculateur!CI71*VLOOKUP('Données projet'!$B$12,Paramètres!$A$1:$I$89,3,0)*0.475*44/12</f>
        <v>1.8659871092469993</v>
      </c>
      <c r="CM71" s="23">
        <f>EXP(-LN(2)/2)*CM70+(1-EXP(-LN(2)/2))/(LN(2)/2)*CG71*CJ71*VLOOKUP('Données projet'!$B$12,Paramètres!$A$1:$I$89,3,0)*0.475*44/12</f>
        <v>1.3134579227190048E-5</v>
      </c>
      <c r="CN71" s="24">
        <f t="shared" si="66"/>
        <v>3.5941636049355421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3.7599999999999909</v>
      </c>
      <c r="CT71" s="13">
        <f>IF('Données projet'!$A$140&gt;35,CT70+CS71-DB70,IF(A71&lt;'Données projet'!$A$140,$CQ$205^A71,IF(A71='Données projet'!$A$140,'Données projet'!$B$140,CT70+CS71-DB70)))</f>
        <v>266.0800000000001</v>
      </c>
      <c r="CU71" s="18">
        <f>CT71*VLOOKUP('Données projet'!$B$13,Paramètres!$A$1:$I$89,3,0)*VLOOKUP('Données projet'!$B$13,Paramètres!$A$1:$I$89,5,0)</f>
        <v>195.08985600000005</v>
      </c>
      <c r="CV71" s="14">
        <f t="shared" si="95"/>
        <v>48.663510541263612</v>
      </c>
      <c r="CW71" s="22">
        <f t="shared" si="67"/>
        <v>424.53711339270086</v>
      </c>
      <c r="CX71" s="62">
        <f t="shared" si="68"/>
        <v>717.87044672603417</v>
      </c>
      <c r="CY71" s="62">
        <f ca="1">AVERAGE(OFFSET($CX$3,0,0,'Données projet'!$E$13+1,1))-AVERAGE(OFFSET($H$3,0,0,'Données projet'!$E$13+1,1))</f>
        <v>290.68086183422963</v>
      </c>
      <c r="CZ71" s="62">
        <f t="shared" si="96"/>
        <v>317.88330630101785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2">
        <f t="shared" si="55"/>
        <v>809.92547853368751</v>
      </c>
      <c r="S72" s="62">
        <f ca="1">AVERAGE(OFFSET($R$3,0,0,'Données projet'!$E$9+1,1))-AVERAGE(OFFSET($H$3,0,0,'Données projet'!$E$9+1,1))</f>
        <v>476.8965664931755</v>
      </c>
      <c r="T72" s="62">
        <f t="shared" si="88"/>
        <v>254.25036207346591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212.8089599999999</v>
      </c>
      <c r="AK72" s="14">
        <f t="shared" si="89"/>
        <v>52.548938637485847</v>
      </c>
      <c r="AL72" s="22">
        <f t="shared" si="58"/>
        <v>462.16500679362093</v>
      </c>
      <c r="AM72" s="62">
        <f t="shared" si="59"/>
        <v>755.49834012695419</v>
      </c>
      <c r="AN72" s="62">
        <f ca="1">AVERAGE(OFFSET($AM$3,0,0,'Données projet'!$E$10+1,1))-AVERAGE(OFFSET($H$3,0,0,'Données projet'!$E$10+1,1))</f>
        <v>430.11660085503223</v>
      </c>
      <c r="AO72" s="62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266.80000000000018</v>
      </c>
      <c r="BE72" s="14">
        <f>BD72*VLOOKUP('Données projet'!$B$11,Paramètres!$A$1:$I$89,3,0)*VLOOKUP('Données projet'!$B$11,Paramètres!$A$1:$I$89,5,0)</f>
        <v>233.0764800000002</v>
      </c>
      <c r="BF72" s="14">
        <f t="shared" si="91"/>
        <v>56.947373142454929</v>
      </c>
      <c r="BG72" s="22">
        <f t="shared" si="61"/>
        <v>505.1248775564427</v>
      </c>
      <c r="BH72" s="62">
        <f t="shared" si="62"/>
        <v>798.45821088977596</v>
      </c>
      <c r="BI72" s="62">
        <f ca="1">AVERAGE(OFFSET($BH$3,0,0,'Données projet'!$E$11+1,1))-AVERAGE(OFFSET($H$3,0,0,'Données projet'!$E$11+1,1))</f>
        <v>346.7910845218741</v>
      </c>
      <c r="BJ72" s="62">
        <f t="shared" si="92"/>
        <v>469.89734899725369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-6.7984728957526396E-14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207.59954777160192</v>
      </c>
      <c r="CE72" s="62">
        <f t="shared" si="94"/>
        <v>314.81017053732063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1.6942751316735309</v>
      </c>
      <c r="CL72" s="23">
        <f>EXP(-LN(2)/25)*CL71+(1-EXP(-LN(2)/25))/(LN(2)/25)*Calculateur!CG72*Calculateur!CI72*VLOOKUP('Données projet'!$B$12,Paramètres!$A$1:$I$89,3,0)*0.475*44/12</f>
        <v>1.8149615936166428</v>
      </c>
      <c r="CM72" s="23">
        <f>EXP(-LN(2)/2)*CM71+(1-EXP(-LN(2)/2))/(LN(2)/2)*CG72*CJ72*VLOOKUP('Données projet'!$B$12,Paramètres!$A$1:$I$89,3,0)*0.475*44/12</f>
        <v>9.2875500395780453E-6</v>
      </c>
      <c r="CN72" s="24">
        <f t="shared" si="66"/>
        <v>3.5092460128402134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3.7599999999999909</v>
      </c>
      <c r="CT72" s="13">
        <f>IF('Données projet'!$A$140&gt;35,CT71+CS72-DB71,IF(A72&lt;'Données projet'!$A$140,$CQ$205^A72,IF(A72='Données projet'!$A$140,'Données projet'!$B$140,CT71+CS72-DB71)))</f>
        <v>269.84000000000009</v>
      </c>
      <c r="CU72" s="18">
        <f>CT72*VLOOKUP('Données projet'!$B$13,Paramètres!$A$1:$I$89,3,0)*VLOOKUP('Données projet'!$B$13,Paramètres!$A$1:$I$89,5,0)</f>
        <v>197.84668800000006</v>
      </c>
      <c r="CV72" s="14">
        <f t="shared" si="95"/>
        <v>49.270637192946445</v>
      </c>
      <c r="CW72" s="22">
        <f t="shared" si="67"/>
        <v>430.39600804438186</v>
      </c>
      <c r="CX72" s="62">
        <f t="shared" si="68"/>
        <v>723.72934137771517</v>
      </c>
      <c r="CY72" s="62">
        <f ca="1">AVERAGE(OFFSET($CX$3,0,0,'Données projet'!$E$13+1,1))-AVERAGE(OFFSET($H$3,0,0,'Données projet'!$E$13+1,1))</f>
        <v>290.68086183422963</v>
      </c>
      <c r="CZ72" s="62">
        <f t="shared" si="96"/>
        <v>317.88330630101785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2">
        <f t="shared" si="55"/>
        <v>824.51603414890155</v>
      </c>
      <c r="S73" s="62">
        <f ca="1">AVERAGE(OFFSET($R$3,0,0,'Données projet'!$E$9+1,1))-AVERAGE(OFFSET($H$3,0,0,'Données projet'!$E$9+1,1))</f>
        <v>476.8965664931755</v>
      </c>
      <c r="T73" s="62">
        <f t="shared" si="88"/>
        <v>254.25036207346591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218.96159999999995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430.11660085503223</v>
      </c>
      <c r="AO73" s="62">
        <f t="shared" si="90"/>
        <v>231.36959598460686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272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272.00000000000017</v>
      </c>
      <c r="BE73" s="14">
        <f>BD73*VLOOKUP('Données projet'!$B$11,Paramètres!$A$1:$I$89,3,0)*VLOOKUP('Données projet'!$B$11,Paramètres!$A$1:$I$89,5,0)</f>
        <v>237.61920000000018</v>
      </c>
      <c r="BF73" s="14">
        <f t="shared" si="91"/>
        <v>57.926992927794167</v>
      </c>
      <c r="BG73" s="22">
        <f t="shared" si="61"/>
        <v>514.74295268257515</v>
      </c>
      <c r="BH73" s="62">
        <f t="shared" si="62"/>
        <v>808.07628601590841</v>
      </c>
      <c r="BI73" s="62">
        <f ca="1">AVERAGE(OFFSET($BH$3,0,0,'Données projet'!$E$11+1,1))-AVERAGE(OFFSET($H$3,0,0,'Données projet'!$E$11+1,1))</f>
        <v>346.7910845218741</v>
      </c>
      <c r="BJ73" s="62">
        <f t="shared" si="92"/>
        <v>469.89734899725369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272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-6.7984728957526396E-14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207.59954777160192</v>
      </c>
      <c r="CE73" s="62">
        <f t="shared" si="94"/>
        <v>314.81017053732063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1.661051429747203</v>
      </c>
      <c r="CL73" s="23">
        <f>EXP(-LN(2)/25)*CL72+(1-EXP(-LN(2)/25))/(LN(2)/25)*Calculateur!CG73*Calculateur!CI73*VLOOKUP('Données projet'!$B$12,Paramètres!$A$1:$I$89,3,0)*0.475*44/12</f>
        <v>1.7653313733945135</v>
      </c>
      <c r="CM73" s="23">
        <f>EXP(-LN(2)/2)*CM72+(1-EXP(-LN(2)/2))/(LN(2)/2)*CG73*CJ73*VLOOKUP('Données projet'!$B$12,Paramètres!$A$1:$I$89,3,0)*0.475*44/12</f>
        <v>6.5672896135950238E-6</v>
      </c>
      <c r="CN73" s="24">
        <f t="shared" si="66"/>
        <v>3.42638937043133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273.59999999999997</v>
      </c>
      <c r="CR73" s="13">
        <f>VLOOKUP(A73,'Données projet'!$A$139:$I$159,9,0)</f>
        <v>3.7599999999999909</v>
      </c>
      <c r="CS73" s="13">
        <f t="array" ref="CS73">INDEX(CR:CR,MIN(IF(ISNUMBER(CR73:CR269),ROW(CR73:CR269),"")))</f>
        <v>3.7599999999999909</v>
      </c>
      <c r="CT73" s="13">
        <f>IF('Données projet'!$A$140&gt;35,CT72+CS73-DB72,IF(A73&lt;'Données projet'!$A$140,$CQ$205^A73,IF(A73='Données projet'!$A$140,'Données projet'!$B$140,CT72+CS73-DB72)))</f>
        <v>273.60000000000008</v>
      </c>
      <c r="CU73" s="18">
        <f>CT73*VLOOKUP('Données projet'!$B$13,Paramètres!$A$1:$I$89,3,0)*VLOOKUP('Données projet'!$B$13,Paramètres!$A$1:$I$89,5,0)</f>
        <v>200.60352000000006</v>
      </c>
      <c r="CV73" s="14">
        <f t="shared" si="95"/>
        <v>49.87677988675906</v>
      </c>
      <c r="CW73" s="22">
        <f t="shared" si="67"/>
        <v>436.25318896943878</v>
      </c>
      <c r="CX73" s="62">
        <f t="shared" si="68"/>
        <v>729.5865223027721</v>
      </c>
      <c r="CY73" s="62">
        <f ca="1">AVERAGE(OFFSET($CX$3,0,0,'Données projet'!$E$13+1,1))-AVERAGE(OFFSET($H$3,0,0,'Données projet'!$E$13+1,1))</f>
        <v>290.68086183422963</v>
      </c>
      <c r="CZ73" s="62">
        <f t="shared" si="96"/>
        <v>317.88330630101785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20.9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2">
        <f t="shared" si="55"/>
        <v>837.81183356737438</v>
      </c>
      <c r="S74" s="62">
        <f ca="1">AVERAGE(OFFSET($R$3,0,0,'Données projet'!$E$9+1,1))-AVERAGE(OFFSET($H$3,0,0,'Données projet'!$E$9+1,1))</f>
        <v>476.8965664931755</v>
      </c>
      <c r="T74" s="62">
        <f t="shared" si="88"/>
        <v>254.25036207346591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224.57135999999994</v>
      </c>
      <c r="AK74" s="14">
        <f t="shared" si="89"/>
        <v>55.107255873104265</v>
      </c>
      <c r="AL74" s="22">
        <f t="shared" si="58"/>
        <v>487.10692264565643</v>
      </c>
      <c r="AM74" s="62">
        <f t="shared" si="59"/>
        <v>780.44025597898974</v>
      </c>
      <c r="AN74" s="62">
        <f ca="1">AVERAGE(OFFSET($AM$3,0,0,'Données projet'!$E$10+1,1))-AVERAGE(OFFSET($H$3,0,0,'Données projet'!$E$10+1,1))</f>
        <v>430.11660085503223</v>
      </c>
      <c r="AO74" s="62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1.7053025658242404E-13</v>
      </c>
      <c r="BE74" s="14">
        <f>BD74*VLOOKUP('Données projet'!$B$11,Paramètres!$A$1:$I$89,3,0)*VLOOKUP('Données projet'!$B$11,Paramètres!$A$1:$I$89,5,0)</f>
        <v>1.4897523215040567E-13</v>
      </c>
      <c r="BF74" s="14">
        <f t="shared" si="91"/>
        <v>2.136562777003313E-12</v>
      </c>
      <c r="BG74" s="22">
        <f t="shared" si="61"/>
        <v>3.9806453659427267E-12</v>
      </c>
      <c r="BH74" s="62">
        <f t="shared" si="62"/>
        <v>293.33333333333729</v>
      </c>
      <c r="BI74" s="62">
        <f ca="1">AVERAGE(OFFSET($BH$3,0,0,'Données projet'!$E$11+1,1))-AVERAGE(OFFSET($H$3,0,0,'Données projet'!$E$11+1,1))</f>
        <v>346.7910845218741</v>
      </c>
      <c r="BJ74" s="62">
        <f t="shared" si="92"/>
        <v>469.89734899725369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-6.7984728957526396E-14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207.59954777160192</v>
      </c>
      <c r="CE74" s="62">
        <f t="shared" si="94"/>
        <v>314.81017053732063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1.6284792243511932</v>
      </c>
      <c r="CL74" s="23">
        <f>EXP(-LN(2)/25)*CL73+(1-EXP(-LN(2)/25))/(LN(2)/25)*Calculateur!CG74*Calculateur!CI74*VLOOKUP('Données projet'!$B$12,Paramètres!$A$1:$I$89,3,0)*0.475*44/12</f>
        <v>1.7170582941542982</v>
      </c>
      <c r="CM74" s="23">
        <f>EXP(-LN(2)/2)*CM73+(1-EXP(-LN(2)/2))/(LN(2)/2)*CG74*CJ74*VLOOKUP('Données projet'!$B$12,Paramètres!$A$1:$I$89,3,0)*0.475*44/12</f>
        <v>4.6437750197890227E-6</v>
      </c>
      <c r="CN74" s="24">
        <f t="shared" si="66"/>
        <v>3.3455421622805108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3.4000000000000172</v>
      </c>
      <c r="CT74" s="13">
        <f>IF('Données projet'!$A$140&gt;35,CT73+CS74-DB73,IF(A74&lt;'Données projet'!$A$140,$CQ$205^A74,IF(A74='Données projet'!$A$140,'Données projet'!$B$140,CT73+CS74-DB73)))</f>
        <v>256.10000000000014</v>
      </c>
      <c r="CU74" s="18">
        <f>CT74*VLOOKUP('Données projet'!$B$13,Paramètres!$A$1:$I$89,3,0)*VLOOKUP('Données projet'!$B$13,Paramètres!$A$1:$I$89,5,0)</f>
        <v>187.7725200000001</v>
      </c>
      <c r="CV74" s="14">
        <f t="shared" si="95"/>
        <v>47.047151159984438</v>
      </c>
      <c r="CW74" s="22">
        <f t="shared" si="67"/>
        <v>408.97759393697305</v>
      </c>
      <c r="CX74" s="62">
        <f t="shared" si="68"/>
        <v>702.31092727030637</v>
      </c>
      <c r="CY74" s="62">
        <f ca="1">AVERAGE(OFFSET($CX$3,0,0,'Données projet'!$E$13+1,1))-AVERAGE(OFFSET($H$3,0,0,'Données projet'!$E$13+1,1))</f>
        <v>290.68086183422963</v>
      </c>
      <c r="CZ74" s="62">
        <f t="shared" si="96"/>
        <v>317.88330630101785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2">
        <f t="shared" si="55"/>
        <v>851.10081994530128</v>
      </c>
      <c r="S75" s="62">
        <f ca="1">AVERAGE(OFFSET($R$3,0,0,'Données projet'!$E$9+1,1))-AVERAGE(OFFSET($H$3,0,0,'Données projet'!$E$9+1,1))</f>
        <v>476.8965664931755</v>
      </c>
      <c r="T75" s="62">
        <f t="shared" si="88"/>
        <v>254.25036207346591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230.18111999999991</v>
      </c>
      <c r="AK75" s="14">
        <f t="shared" si="89"/>
        <v>56.321842115392933</v>
      </c>
      <c r="AL75" s="22">
        <f t="shared" si="58"/>
        <v>498.99265901764255</v>
      </c>
      <c r="AM75" s="62">
        <f t="shared" si="59"/>
        <v>792.32599235097587</v>
      </c>
      <c r="AN75" s="62">
        <f ca="1">AVERAGE(OFFSET($AM$3,0,0,'Données projet'!$E$10+1,1))-AVERAGE(OFFSET($H$3,0,0,'Données projet'!$E$10+1,1))</f>
        <v>430.11660085503223</v>
      </c>
      <c r="AO75" s="62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1.7053025658242404E-13</v>
      </c>
      <c r="BE75" s="14">
        <f>BD75*VLOOKUP('Données projet'!$B$11,Paramètres!$A$1:$I$89,3,0)*VLOOKUP('Données projet'!$B$11,Paramètres!$A$1:$I$89,5,0)</f>
        <v>1.4897523215040567E-13</v>
      </c>
      <c r="BF75" s="14">
        <f t="shared" si="91"/>
        <v>2.136562777003313E-12</v>
      </c>
      <c r="BG75" s="22">
        <f t="shared" si="61"/>
        <v>3.9806453659427267E-12</v>
      </c>
      <c r="BH75" s="62">
        <f t="shared" si="62"/>
        <v>293.33333333333729</v>
      </c>
      <c r="BI75" s="62">
        <f ca="1">AVERAGE(OFFSET($BH$3,0,0,'Données projet'!$E$11+1,1))-AVERAGE(OFFSET($H$3,0,0,'Données projet'!$E$11+1,1))</f>
        <v>346.7910845218741</v>
      </c>
      <c r="BJ75" s="62">
        <f t="shared" si="92"/>
        <v>469.89734899725369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-6.7984728957526396E-14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207.59954777160192</v>
      </c>
      <c r="CE75" s="62">
        <f t="shared" si="94"/>
        <v>314.81017053732063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1.5965457400359155</v>
      </c>
      <c r="CL75" s="23">
        <f>EXP(-LN(2)/25)*CL74+(1-EXP(-LN(2)/25))/(LN(2)/25)*Calculateur!CG75*Calculateur!CI75*VLOOKUP('Données projet'!$B$12,Paramètres!$A$1:$I$89,3,0)*0.475*44/12</f>
        <v>1.6701052448044778</v>
      </c>
      <c r="CM75" s="23">
        <f>EXP(-LN(2)/2)*CM74+(1-EXP(-LN(2)/2))/(LN(2)/2)*CG75*CJ75*VLOOKUP('Données projet'!$B$12,Paramètres!$A$1:$I$89,3,0)*0.475*44/12</f>
        <v>3.2836448067975119E-6</v>
      </c>
      <c r="CN75" s="24">
        <f t="shared" si="66"/>
        <v>3.2666542684852002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3.4000000000000172</v>
      </c>
      <c r="CT75" s="13">
        <f>IF('Données projet'!$A$140&gt;35,CT74+CS75-DB74,IF(A75&lt;'Données projet'!$A$140,$CQ$205^A75,IF(A75='Données projet'!$A$140,'Données projet'!$B$140,CT74+CS75-DB74)))</f>
        <v>259.50000000000017</v>
      </c>
      <c r="CU75" s="18">
        <f>CT75*VLOOKUP('Données projet'!$B$13,Paramètres!$A$1:$I$89,3,0)*VLOOKUP('Données projet'!$B$13,Paramètres!$A$1:$I$89,5,0)</f>
        <v>190.26540000000011</v>
      </c>
      <c r="CV75" s="14">
        <f t="shared" si="95"/>
        <v>47.598624255349414</v>
      </c>
      <c r="CW75" s="22">
        <f t="shared" si="67"/>
        <v>414.2798422447338</v>
      </c>
      <c r="CX75" s="62">
        <f t="shared" si="68"/>
        <v>707.61317557806706</v>
      </c>
      <c r="CY75" s="62">
        <f ca="1">AVERAGE(OFFSET($CX$3,0,0,'Données projet'!$E$13+1,1))-AVERAGE(OFFSET($H$3,0,0,'Données projet'!$E$13+1,1))</f>
        <v>290.68086183422963</v>
      </c>
      <c r="CZ75" s="62">
        <f t="shared" si="96"/>
        <v>317.88330630101785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2">
        <f t="shared" si="55"/>
        <v>864.3831784253357</v>
      </c>
      <c r="S76" s="62">
        <f ca="1">AVERAGE(OFFSET($R$3,0,0,'Données projet'!$E$9+1,1))-AVERAGE(OFFSET($H$3,0,0,'Données projet'!$E$9+1,1))</f>
        <v>476.8965664931755</v>
      </c>
      <c r="T76" s="62">
        <f t="shared" si="88"/>
        <v>254.25036207346591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235.7908799999999</v>
      </c>
      <c r="AK76" s="14">
        <f t="shared" si="89"/>
        <v>57.532987351107714</v>
      </c>
      <c r="AL76" s="22">
        <f t="shared" si="58"/>
        <v>510.87240230317911</v>
      </c>
      <c r="AM76" s="62">
        <f t="shared" si="59"/>
        <v>804.20573563651237</v>
      </c>
      <c r="AN76" s="62">
        <f ca="1">AVERAGE(OFFSET($AM$3,0,0,'Données projet'!$E$10+1,1))-AVERAGE(OFFSET($H$3,0,0,'Données projet'!$E$10+1,1))</f>
        <v>430.11660085503223</v>
      </c>
      <c r="AO76" s="62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1.7053025658242404E-13</v>
      </c>
      <c r="BE76" s="14">
        <f>BD76*VLOOKUP('Données projet'!$B$11,Paramètres!$A$1:$I$89,3,0)*VLOOKUP('Données projet'!$B$11,Paramètres!$A$1:$I$89,5,0)</f>
        <v>1.4897523215040567E-13</v>
      </c>
      <c r="BF76" s="14">
        <f t="shared" si="91"/>
        <v>2.136562777003313E-12</v>
      </c>
      <c r="BG76" s="22">
        <f t="shared" si="61"/>
        <v>3.9806453659427267E-12</v>
      </c>
      <c r="BH76" s="62">
        <f t="shared" si="62"/>
        <v>293.33333333333729</v>
      </c>
      <c r="BI76" s="62">
        <f ca="1">AVERAGE(OFFSET($BH$3,0,0,'Données projet'!$E$11+1,1))-AVERAGE(OFFSET($H$3,0,0,'Données projet'!$E$11+1,1))</f>
        <v>346.7910845218741</v>
      </c>
      <c r="BJ76" s="62">
        <f t="shared" si="92"/>
        <v>469.89734899725369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-6.7984728957526396E-14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207.59954777160192</v>
      </c>
      <c r="CE76" s="62">
        <f t="shared" si="94"/>
        <v>314.81017053732063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1.5652384518705582</v>
      </c>
      <c r="CL76" s="23">
        <f>EXP(-LN(2)/25)*CL75+(1-EXP(-LN(2)/25))/(LN(2)/25)*Calculateur!CG76*Calculateur!CI76*VLOOKUP('Données projet'!$B$12,Paramètres!$A$1:$I$89,3,0)*0.475*44/12</f>
        <v>1.6244361290582816</v>
      </c>
      <c r="CM76" s="23">
        <f>EXP(-LN(2)/2)*CM75+(1-EXP(-LN(2)/2))/(LN(2)/2)*CG76*CJ76*VLOOKUP('Données projet'!$B$12,Paramètres!$A$1:$I$89,3,0)*0.475*44/12</f>
        <v>2.3218875098945113E-6</v>
      </c>
      <c r="CN76" s="24">
        <f t="shared" si="66"/>
        <v>3.1896769028163496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3.4000000000000172</v>
      </c>
      <c r="CT76" s="13">
        <f>IF('Données projet'!$A$140&gt;35,CT75+CS76-DB75,IF(A76&lt;'Données projet'!$A$140,$CQ$205^A76,IF(A76='Données projet'!$A$140,'Données projet'!$B$140,CT75+CS76-DB75)))</f>
        <v>262.9000000000002</v>
      </c>
      <c r="CU76" s="18">
        <f>CT76*VLOOKUP('Données projet'!$B$13,Paramètres!$A$1:$I$89,3,0)*VLOOKUP('Données projet'!$B$13,Paramètres!$A$1:$I$89,5,0)</f>
        <v>192.75828000000016</v>
      </c>
      <c r="CV76" s="14">
        <f t="shared" si="95"/>
        <v>48.149256922008618</v>
      </c>
      <c r="CW76" s="22">
        <f t="shared" si="67"/>
        <v>419.58062680583197</v>
      </c>
      <c r="CX76" s="62">
        <f t="shared" si="68"/>
        <v>712.91396013916528</v>
      </c>
      <c r="CY76" s="62">
        <f ca="1">AVERAGE(OFFSET($CX$3,0,0,'Données projet'!$E$13+1,1))-AVERAGE(OFFSET($H$3,0,0,'Données projet'!$E$13+1,1))</f>
        <v>290.68086183422963</v>
      </c>
      <c r="CZ76" s="62">
        <f t="shared" si="96"/>
        <v>317.88330630101785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2">
        <f t="shared" si="55"/>
        <v>877.65908483811472</v>
      </c>
      <c r="S77" s="62">
        <f ca="1">AVERAGE(OFFSET($R$3,0,0,'Données projet'!$E$9+1,1))-AVERAGE(OFFSET($H$3,0,0,'Données projet'!$E$9+1,1))</f>
        <v>476.8965664931755</v>
      </c>
      <c r="T77" s="62">
        <f t="shared" si="88"/>
        <v>254.25036207346591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241.40063999999992</v>
      </c>
      <c r="AK77" s="14">
        <f t="shared" si="89"/>
        <v>58.740782866262698</v>
      </c>
      <c r="AL77" s="22">
        <f t="shared" si="58"/>
        <v>522.74631149207403</v>
      </c>
      <c r="AM77" s="62">
        <f t="shared" si="59"/>
        <v>816.07964482540729</v>
      </c>
      <c r="AN77" s="62">
        <f ca="1">AVERAGE(OFFSET($AM$3,0,0,'Données projet'!$E$10+1,1))-AVERAGE(OFFSET($H$3,0,0,'Données projet'!$E$10+1,1))</f>
        <v>430.11660085503223</v>
      </c>
      <c r="AO77" s="62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1.7053025658242404E-13</v>
      </c>
      <c r="BE77" s="14">
        <f>BD77*VLOOKUP('Données projet'!$B$11,Paramètres!$A$1:$I$89,3,0)*VLOOKUP('Données projet'!$B$11,Paramètres!$A$1:$I$89,5,0)</f>
        <v>1.4897523215040567E-13</v>
      </c>
      <c r="BF77" s="14">
        <f t="shared" si="91"/>
        <v>2.136562777003313E-12</v>
      </c>
      <c r="BG77" s="22">
        <f t="shared" si="61"/>
        <v>3.9806453659427267E-12</v>
      </c>
      <c r="BH77" s="62">
        <f t="shared" si="62"/>
        <v>293.33333333333729</v>
      </c>
      <c r="BI77" s="62">
        <f ca="1">AVERAGE(OFFSET($BH$3,0,0,'Données projet'!$E$11+1,1))-AVERAGE(OFFSET($H$3,0,0,'Données projet'!$E$11+1,1))</f>
        <v>346.7910845218741</v>
      </c>
      <c r="BJ77" s="62">
        <f t="shared" si="92"/>
        <v>469.89734899725369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-6.7984728957526396E-14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207.59954777160192</v>
      </c>
      <c r="CE77" s="62">
        <f t="shared" si="94"/>
        <v>314.81017053732063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1.5345450805305634</v>
      </c>
      <c r="CL77" s="23">
        <f>EXP(-LN(2)/25)*CL76+(1-EXP(-LN(2)/25))/(LN(2)/25)*Calculateur!CG77*Calculateur!CI77*VLOOKUP('Données projet'!$B$12,Paramètres!$A$1:$I$89,3,0)*0.475*44/12</f>
        <v>1.5800158376837996</v>
      </c>
      <c r="CM77" s="23">
        <f>EXP(-LN(2)/2)*CM76+(1-EXP(-LN(2)/2))/(LN(2)/2)*CG77*CJ77*VLOOKUP('Données projet'!$B$12,Paramètres!$A$1:$I$89,3,0)*0.475*44/12</f>
        <v>1.641822403398756E-6</v>
      </c>
      <c r="CN77" s="24">
        <f t="shared" si="66"/>
        <v>3.1145625600367666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3.4000000000000172</v>
      </c>
      <c r="CT77" s="13">
        <f>IF('Données projet'!$A$140&gt;35,CT76+CS77-DB76,IF(A77&lt;'Données projet'!$A$140,$CQ$205^A77,IF(A77='Données projet'!$A$140,'Données projet'!$B$140,CT76+CS77-DB76)))</f>
        <v>266.30000000000024</v>
      </c>
      <c r="CU77" s="18">
        <f>CT77*VLOOKUP('Données projet'!$B$13,Paramètres!$A$1:$I$89,3,0)*VLOOKUP('Données projet'!$B$13,Paramètres!$A$1:$I$89,5,0)</f>
        <v>195.25116000000017</v>
      </c>
      <c r="CV77" s="14">
        <f t="shared" si="95"/>
        <v>48.699061285654452</v>
      </c>
      <c r="CW77" s="22">
        <f t="shared" si="67"/>
        <v>424.87996873918178</v>
      </c>
      <c r="CX77" s="62">
        <f t="shared" si="68"/>
        <v>718.21330207251503</v>
      </c>
      <c r="CY77" s="62">
        <f ca="1">AVERAGE(OFFSET($CX$3,0,0,'Données projet'!$E$13+1,1))-AVERAGE(OFFSET($H$3,0,0,'Données projet'!$E$13+1,1))</f>
        <v>290.68086183422963</v>
      </c>
      <c r="CZ77" s="62">
        <f t="shared" si="96"/>
        <v>317.88330630101785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2">
        <f t="shared" si="55"/>
        <v>890.92870637597093</v>
      </c>
      <c r="S78" s="62">
        <f ca="1">AVERAGE(OFFSET($R$3,0,0,'Données projet'!$E$9+1,1))-AVERAGE(OFFSET($H$3,0,0,'Données projet'!$E$9+1,1))</f>
        <v>476.8965664931755</v>
      </c>
      <c r="T78" s="62">
        <f t="shared" si="88"/>
        <v>254.25036207346591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247.01039999999989</v>
      </c>
      <c r="AK78" s="14">
        <f t="shared" si="89"/>
        <v>59.945315462121812</v>
      </c>
      <c r="AL78" s="22">
        <f t="shared" si="58"/>
        <v>534.61453776319524</v>
      </c>
      <c r="AM78" s="62">
        <f t="shared" si="59"/>
        <v>827.94787109652862</v>
      </c>
      <c r="AN78" s="62">
        <f ca="1">AVERAGE(OFFSET($AM$3,0,0,'Données projet'!$E$10+1,1))-AVERAGE(OFFSET($H$3,0,0,'Données projet'!$E$10+1,1))</f>
        <v>430.11660085503223</v>
      </c>
      <c r="AO78" s="62">
        <f t="shared" si="90"/>
        <v>231.36959598460686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1.7053025658242404E-13</v>
      </c>
      <c r="BE78" s="14">
        <f>BD78*VLOOKUP('Données projet'!$B$11,Paramètres!$A$1:$I$89,3,0)*VLOOKUP('Données projet'!$B$11,Paramètres!$A$1:$I$89,5,0)</f>
        <v>1.4897523215040567E-13</v>
      </c>
      <c r="BF78" s="14">
        <f t="shared" si="91"/>
        <v>2.136562777003313E-12</v>
      </c>
      <c r="BG78" s="22">
        <f t="shared" si="61"/>
        <v>3.9806453659427267E-12</v>
      </c>
      <c r="BH78" s="62">
        <f t="shared" si="62"/>
        <v>293.33333333333729</v>
      </c>
      <c r="BI78" s="62">
        <f ca="1">AVERAGE(OFFSET($BH$3,0,0,'Données projet'!$E$11+1,1))-AVERAGE(OFFSET($H$3,0,0,'Données projet'!$E$11+1,1))</f>
        <v>346.7910845218741</v>
      </c>
      <c r="BJ78" s="62">
        <f t="shared" si="92"/>
        <v>469.89734899725369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-6.7984728957526396E-14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207.59954777160192</v>
      </c>
      <c r="CE78" s="62">
        <f t="shared" si="94"/>
        <v>314.81017053732063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1.5044535874814378</v>
      </c>
      <c r="CL78" s="23">
        <f>EXP(-LN(2)/25)*CL77+(1-EXP(-LN(2)/25))/(LN(2)/25)*Calculateur!CG78*Calculateur!CI78*VLOOKUP('Données projet'!$B$12,Paramètres!$A$1:$I$89,3,0)*0.475*44/12</f>
        <v>1.5368102215129145</v>
      </c>
      <c r="CM78" s="23">
        <f>EXP(-LN(2)/2)*CM77+(1-EXP(-LN(2)/2))/(LN(2)/2)*CG78*CJ78*VLOOKUP('Données projet'!$B$12,Paramètres!$A$1:$I$89,3,0)*0.475*44/12</f>
        <v>1.1609437549472557E-6</v>
      </c>
      <c r="CN78" s="24">
        <f t="shared" si="66"/>
        <v>3.0412649699381071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269.70000000000005</v>
      </c>
      <c r="CR78" s="13">
        <f>VLOOKUP(A78,'Données projet'!$A$139:$I$159,9,0)</f>
        <v>3.4000000000000172</v>
      </c>
      <c r="CS78" s="13">
        <f t="array" ref="CS78">INDEX(CR:CR,MIN(IF(ISNUMBER(CR78:CR274),ROW(CR78:CR274),"")))</f>
        <v>3.4000000000000172</v>
      </c>
      <c r="CT78" s="13">
        <f>IF('Données projet'!$A$140&gt;35,CT77+CS78-DB77,IF(A78&lt;'Données projet'!$A$140,$CQ$205^A78,IF(A78='Données projet'!$A$140,'Données projet'!$B$140,CT77+CS78-DB77)))</f>
        <v>269.70000000000027</v>
      </c>
      <c r="CU78" s="18">
        <f>CT78*VLOOKUP('Données projet'!$B$13,Paramètres!$A$1:$I$89,3,0)*VLOOKUP('Données projet'!$B$13,Paramètres!$A$1:$I$89,5,0)</f>
        <v>197.74404000000018</v>
      </c>
      <c r="CV78" s="14">
        <f t="shared" si="95"/>
        <v>49.248049144544709</v>
      </c>
      <c r="CW78" s="22">
        <f t="shared" si="67"/>
        <v>430.17788859341562</v>
      </c>
      <c r="CX78" s="62">
        <f t="shared" si="68"/>
        <v>723.51122192674893</v>
      </c>
      <c r="CY78" s="62">
        <f ca="1">AVERAGE(OFFSET($CX$3,0,0,'Données projet'!$E$13+1,1))-AVERAGE(OFFSET($H$3,0,0,'Données projet'!$E$13+1,1))</f>
        <v>290.68086183422963</v>
      </c>
      <c r="CZ78" s="62">
        <f t="shared" si="96"/>
        <v>317.88330630101785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240.3179999999999</v>
      </c>
      <c r="P79" s="14">
        <f t="shared" si="87"/>
        <v>58.507944457766484</v>
      </c>
      <c r="Q79" s="22">
        <f t="shared" si="54"/>
        <v>520.45518659727634</v>
      </c>
      <c r="R79" s="62">
        <f t="shared" si="55"/>
        <v>813.78851993060971</v>
      </c>
      <c r="S79" s="62">
        <f ca="1">AVERAGE(OFFSET($R$3,0,0,'Données projet'!$E$9+1,1))-AVERAGE(OFFSET($H$3,0,0,'Données projet'!$E$9+1,1))</f>
        <v>476.8965664931755</v>
      </c>
      <c r="T79" s="62">
        <f t="shared" si="88"/>
        <v>254.25036207346591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430.11660085503223</v>
      </c>
      <c r="AO79" s="62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1.7053025658242404E-13</v>
      </c>
      <c r="BE79" s="14">
        <f>BD79*VLOOKUP('Données projet'!$B$11,Paramètres!$A$1:$I$89,3,0)*VLOOKUP('Données projet'!$B$11,Paramètres!$A$1:$I$89,5,0)</f>
        <v>1.4897523215040567E-13</v>
      </c>
      <c r="BF79" s="14">
        <f t="shared" si="91"/>
        <v>2.136562777003313E-12</v>
      </c>
      <c r="BG79" s="22">
        <f t="shared" si="61"/>
        <v>3.9806453659427267E-12</v>
      </c>
      <c r="BH79" s="62">
        <f t="shared" si="62"/>
        <v>293.33333333333729</v>
      </c>
      <c r="BI79" s="62">
        <f ca="1">AVERAGE(OFFSET($BH$3,0,0,'Données projet'!$E$11+1,1))-AVERAGE(OFFSET($H$3,0,0,'Données projet'!$E$11+1,1))</f>
        <v>346.7910845218741</v>
      </c>
      <c r="BJ79" s="62">
        <f t="shared" si="92"/>
        <v>469.89734899725369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-6.7984728957526396E-14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207.59954777160192</v>
      </c>
      <c r="CE79" s="62">
        <f t="shared" si="94"/>
        <v>314.81017053732063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1.474952170257007</v>
      </c>
      <c r="CL79" s="23">
        <f>EXP(-LN(2)/25)*CL78+(1-EXP(-LN(2)/25))/(LN(2)/25)*Calculateur!CG79*Calculateur!CI79*VLOOKUP('Données projet'!$B$12,Paramètres!$A$1:$I$89,3,0)*0.475*44/12</f>
        <v>1.4947860651883067</v>
      </c>
      <c r="CM79" s="23">
        <f>EXP(-LN(2)/2)*CM78+(1-EXP(-LN(2)/2))/(LN(2)/2)*CG79*CJ79*VLOOKUP('Données projet'!$B$12,Paramètres!$A$1:$I$89,3,0)*0.475*44/12</f>
        <v>8.2091120169937798E-7</v>
      </c>
      <c r="CN79" s="24">
        <f t="shared" si="66"/>
        <v>2.9697390563565151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2.9799999999999955</v>
      </c>
      <c r="CT79" s="13">
        <f>IF('Données projet'!$A$140&gt;35,CT78+CS79-DB78,IF(A79&lt;'Données projet'!$A$140,$CQ$205^A79,IF(A79='Données projet'!$A$140,'Données projet'!$B$140,CT78+CS79-DB78)))</f>
        <v>272.68000000000029</v>
      </c>
      <c r="CU79" s="18">
        <f>CT79*VLOOKUP('Données projet'!$B$13,Paramètres!$A$1:$I$89,3,0)*VLOOKUP('Données projet'!$B$13,Paramètres!$A$1:$I$89,5,0)</f>
        <v>199.9289760000002</v>
      </c>
      <c r="CV79" s="14">
        <f t="shared" si="95"/>
        <v>49.728558477218208</v>
      </c>
      <c r="CW79" s="22">
        <f t="shared" si="67"/>
        <v>434.82020588115535</v>
      </c>
      <c r="CX79" s="62">
        <f t="shared" si="68"/>
        <v>728.15353921448866</v>
      </c>
      <c r="CY79" s="62">
        <f ca="1">AVERAGE(OFFSET($CX$3,0,0,'Données projet'!$E$13+1,1))-AVERAGE(OFFSET($H$3,0,0,'Données projet'!$E$13+1,1))</f>
        <v>290.68086183422963</v>
      </c>
      <c r="CZ79" s="62">
        <f t="shared" si="96"/>
        <v>317.88330630101785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246.4019999999999</v>
      </c>
      <c r="P80" s="14">
        <f t="shared" si="87"/>
        <v>59.814834475385474</v>
      </c>
      <c r="Q80" s="22">
        <f t="shared" si="54"/>
        <v>533.32765337796286</v>
      </c>
      <c r="R80" s="62">
        <f t="shared" si="55"/>
        <v>826.66098671129612</v>
      </c>
      <c r="S80" s="62">
        <f ca="1">AVERAGE(OFFSET($R$3,0,0,'Données projet'!$E$9+1,1))-AVERAGE(OFFSET($H$3,0,0,'Données projet'!$E$9+1,1))</f>
        <v>476.8965664931755</v>
      </c>
      <c r="T80" s="62">
        <f t="shared" si="88"/>
        <v>254.25036207346591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430.11660085503223</v>
      </c>
      <c r="AO80" s="62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1.7053025658242404E-13</v>
      </c>
      <c r="BE80" s="14">
        <f>BD80*VLOOKUP('Données projet'!$B$11,Paramètres!$A$1:$I$89,3,0)*VLOOKUP('Données projet'!$B$11,Paramètres!$A$1:$I$89,5,0)</f>
        <v>1.4897523215040567E-13</v>
      </c>
      <c r="BF80" s="14">
        <f t="shared" si="91"/>
        <v>2.136562777003313E-12</v>
      </c>
      <c r="BG80" s="22">
        <f t="shared" si="61"/>
        <v>3.9806453659427267E-12</v>
      </c>
      <c r="BH80" s="62">
        <f t="shared" si="62"/>
        <v>293.33333333333729</v>
      </c>
      <c r="BI80" s="62">
        <f ca="1">AVERAGE(OFFSET($BH$3,0,0,'Données projet'!$E$11+1,1))-AVERAGE(OFFSET($H$3,0,0,'Données projet'!$E$11+1,1))</f>
        <v>346.7910845218741</v>
      </c>
      <c r="BJ80" s="62">
        <f t="shared" si="92"/>
        <v>469.89734899725369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-6.7984728957526396E-14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207.59954777160192</v>
      </c>
      <c r="CE80" s="62">
        <f t="shared" si="94"/>
        <v>314.81017053732063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1.4460292578302596</v>
      </c>
      <c r="CL80" s="23">
        <f>EXP(-LN(2)/25)*CL79+(1-EXP(-LN(2)/25))/(LN(2)/25)*Calculateur!CG80*Calculateur!CI80*VLOOKUP('Données projet'!$B$12,Paramètres!$A$1:$I$89,3,0)*0.475*44/12</f>
        <v>1.4539110616283497</v>
      </c>
      <c r="CM80" s="23">
        <f>EXP(-LN(2)/2)*CM79+(1-EXP(-LN(2)/2))/(LN(2)/2)*CG80*CJ80*VLOOKUP('Données projet'!$B$12,Paramètres!$A$1:$I$89,3,0)*0.475*44/12</f>
        <v>5.8047187747362783E-7</v>
      </c>
      <c r="CN80" s="24">
        <f t="shared" si="66"/>
        <v>2.899940899930487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2.9799999999999955</v>
      </c>
      <c r="CT80" s="13">
        <f>IF('Données projet'!$A$140&gt;35,CT79+CS80-DB79,IF(A80&lt;'Données projet'!$A$140,$CQ$205^A80,IF(A80='Données projet'!$A$140,'Données projet'!$B$140,CT79+CS80-DB79)))</f>
        <v>275.66000000000031</v>
      </c>
      <c r="CU80" s="18">
        <f>CT80*VLOOKUP('Données projet'!$B$13,Paramètres!$A$1:$I$89,3,0)*VLOOKUP('Données projet'!$B$13,Paramètres!$A$1:$I$89,5,0)</f>
        <v>202.11391200000025</v>
      </c>
      <c r="CV80" s="14">
        <f t="shared" si="95"/>
        <v>50.208456937175463</v>
      </c>
      <c r="CW80" s="22">
        <f t="shared" si="67"/>
        <v>439.46145923224771</v>
      </c>
      <c r="CX80" s="62">
        <f t="shared" si="68"/>
        <v>732.79479256558102</v>
      </c>
      <c r="CY80" s="62">
        <f ca="1">AVERAGE(OFFSET($CX$3,0,0,'Données projet'!$E$13+1,1))-AVERAGE(OFFSET($H$3,0,0,'Données projet'!$E$13+1,1))</f>
        <v>290.68086183422963</v>
      </c>
      <c r="CZ80" s="62">
        <f t="shared" si="96"/>
        <v>317.88330630101785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252.4859999999999</v>
      </c>
      <c r="P81" s="14">
        <f t="shared" si="87"/>
        <v>61.117973383957384</v>
      </c>
      <c r="Q81" s="22">
        <f t="shared" si="54"/>
        <v>546.193586977059</v>
      </c>
      <c r="R81" s="62">
        <f t="shared" si="55"/>
        <v>839.52692031039237</v>
      </c>
      <c r="S81" s="62">
        <f ca="1">AVERAGE(OFFSET($R$3,0,0,'Données projet'!$E$9+1,1))-AVERAGE(OFFSET($H$3,0,0,'Données projet'!$E$9+1,1))</f>
        <v>476.8965664931755</v>
      </c>
      <c r="T81" s="62">
        <f t="shared" si="88"/>
        <v>254.25036207346591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430.11660085503223</v>
      </c>
      <c r="AO81" s="62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1.7053025658242404E-13</v>
      </c>
      <c r="BE81" s="14">
        <f>BD81*VLOOKUP('Données projet'!$B$11,Paramètres!$A$1:$I$89,3,0)*VLOOKUP('Données projet'!$B$11,Paramètres!$A$1:$I$89,5,0)</f>
        <v>1.4897523215040567E-13</v>
      </c>
      <c r="BF81" s="14">
        <f t="shared" si="91"/>
        <v>2.136562777003313E-12</v>
      </c>
      <c r="BG81" s="22">
        <f t="shared" si="61"/>
        <v>3.9806453659427267E-12</v>
      </c>
      <c r="BH81" s="62">
        <f t="shared" si="62"/>
        <v>293.33333333333729</v>
      </c>
      <c r="BI81" s="62">
        <f ca="1">AVERAGE(OFFSET($BH$3,0,0,'Données projet'!$E$11+1,1))-AVERAGE(OFFSET($H$3,0,0,'Données projet'!$E$11+1,1))</f>
        <v>346.7910845218741</v>
      </c>
      <c r="BJ81" s="62">
        <f t="shared" si="92"/>
        <v>469.89734899725369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-6.7984728957526396E-14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207.59954777160192</v>
      </c>
      <c r="CE81" s="62">
        <f t="shared" si="94"/>
        <v>314.81017053732063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1.4176735060749661</v>
      </c>
      <c r="CL81" s="23">
        <f>EXP(-LN(2)/25)*CL80+(1-EXP(-LN(2)/25))/(LN(2)/25)*Calculateur!CG81*Calculateur!CI81*VLOOKUP('Données projet'!$B$12,Paramètres!$A$1:$I$89,3,0)*0.475*44/12</f>
        <v>1.4141537871902627</v>
      </c>
      <c r="CM81" s="23">
        <f>EXP(-LN(2)/2)*CM80+(1-EXP(-LN(2)/2))/(LN(2)/2)*CG81*CJ81*VLOOKUP('Données projet'!$B$12,Paramètres!$A$1:$I$89,3,0)*0.475*44/12</f>
        <v>4.1045560084968899E-7</v>
      </c>
      <c r="CN81" s="24">
        <f t="shared" si="66"/>
        <v>2.8318277037208297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2.9799999999999955</v>
      </c>
      <c r="CT81" s="13">
        <f>IF('Données projet'!$A$140&gt;35,CT80+CS81-DB80,IF(A81&lt;'Données projet'!$A$140,$CQ$205^A81,IF(A81='Données projet'!$A$140,'Données projet'!$B$140,CT80+CS81-DB80)))</f>
        <v>278.64000000000033</v>
      </c>
      <c r="CU81" s="18">
        <f>CT81*VLOOKUP('Données projet'!$B$13,Paramètres!$A$1:$I$89,3,0)*VLOOKUP('Données projet'!$B$13,Paramètres!$A$1:$I$89,5,0)</f>
        <v>204.29884800000025</v>
      </c>
      <c r="CV81" s="14">
        <f t="shared" si="95"/>
        <v>50.687751892539211</v>
      </c>
      <c r="CW81" s="22">
        <f t="shared" si="67"/>
        <v>444.10166147950622</v>
      </c>
      <c r="CX81" s="62">
        <f t="shared" si="68"/>
        <v>737.43499481283948</v>
      </c>
      <c r="CY81" s="62">
        <f ca="1">AVERAGE(OFFSET($CX$3,0,0,'Données projet'!$E$13+1,1))-AVERAGE(OFFSET($H$3,0,0,'Données projet'!$E$13+1,1))</f>
        <v>290.68086183422963</v>
      </c>
      <c r="CZ81" s="62">
        <f t="shared" si="96"/>
        <v>317.88330630101785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258.56999999999994</v>
      </c>
      <c r="P82" s="14">
        <f t="shared" si="87"/>
        <v>62.417461971173843</v>
      </c>
      <c r="Q82" s="22">
        <f t="shared" si="54"/>
        <v>559.05316293312762</v>
      </c>
      <c r="R82" s="62">
        <f t="shared" si="55"/>
        <v>852.38649626646088</v>
      </c>
      <c r="S82" s="62">
        <f ca="1">AVERAGE(OFFSET($R$3,0,0,'Données projet'!$E$9+1,1))-AVERAGE(OFFSET($H$3,0,0,'Données projet'!$E$9+1,1))</f>
        <v>476.8965664931755</v>
      </c>
      <c r="T82" s="62">
        <f t="shared" si="88"/>
        <v>254.25036207346591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430.11660085503223</v>
      </c>
      <c r="AO82" s="62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1.7053025658242404E-13</v>
      </c>
      <c r="BE82" s="14">
        <f>BD82*VLOOKUP('Données projet'!$B$11,Paramètres!$A$1:$I$89,3,0)*VLOOKUP('Données projet'!$B$11,Paramètres!$A$1:$I$89,5,0)</f>
        <v>1.4897523215040567E-13</v>
      </c>
      <c r="BF82" s="14">
        <f t="shared" si="91"/>
        <v>2.136562777003313E-12</v>
      </c>
      <c r="BG82" s="22">
        <f t="shared" si="61"/>
        <v>3.9806453659427267E-12</v>
      </c>
      <c r="BH82" s="62">
        <f t="shared" si="62"/>
        <v>293.33333333333729</v>
      </c>
      <c r="BI82" s="62">
        <f ca="1">AVERAGE(OFFSET($BH$3,0,0,'Données projet'!$E$11+1,1))-AVERAGE(OFFSET($H$3,0,0,'Données projet'!$E$11+1,1))</f>
        <v>346.7910845218741</v>
      </c>
      <c r="BJ82" s="62">
        <f t="shared" si="92"/>
        <v>469.89734899725369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-6.7984728957526396E-14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207.59954777160192</v>
      </c>
      <c r="CE82" s="62">
        <f t="shared" si="94"/>
        <v>314.81017053732063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1.3898737933162932</v>
      </c>
      <c r="CL82" s="23">
        <f>EXP(-LN(2)/25)*CL81+(1-EXP(-LN(2)/25))/(LN(2)/25)*Calculateur!CG82*Calculateur!CI82*VLOOKUP('Données projet'!$B$12,Paramètres!$A$1:$I$89,3,0)*0.475*44/12</f>
        <v>1.3754836775124295</v>
      </c>
      <c r="CM82" s="23">
        <f>EXP(-LN(2)/2)*CM81+(1-EXP(-LN(2)/2))/(LN(2)/2)*CG82*CJ82*VLOOKUP('Données projet'!$B$12,Paramètres!$A$1:$I$89,3,0)*0.475*44/12</f>
        <v>2.9023593873681392E-7</v>
      </c>
      <c r="CN82" s="24">
        <f t="shared" si="66"/>
        <v>2.7653577610646614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2.9799999999999955</v>
      </c>
      <c r="CT82" s="13">
        <f>IF('Données projet'!$A$140&gt;35,CT81+CS82-DB81,IF(A82&lt;'Données projet'!$A$140,$CQ$205^A82,IF(A82='Données projet'!$A$140,'Données projet'!$B$140,CT81+CS82-DB81)))</f>
        <v>281.62000000000035</v>
      </c>
      <c r="CU82" s="18">
        <f>CT82*VLOOKUP('Données projet'!$B$13,Paramètres!$A$1:$I$89,3,0)*VLOOKUP('Données projet'!$B$13,Paramètres!$A$1:$I$89,5,0)</f>
        <v>206.48378400000024</v>
      </c>
      <c r="CV82" s="14">
        <f t="shared" si="95"/>
        <v>51.166450544752927</v>
      </c>
      <c r="CW82" s="22">
        <f t="shared" si="67"/>
        <v>448.74082516544513</v>
      </c>
      <c r="CX82" s="62">
        <f t="shared" si="68"/>
        <v>742.07415849877839</v>
      </c>
      <c r="CY82" s="62">
        <f ca="1">AVERAGE(OFFSET($CX$3,0,0,'Données projet'!$E$13+1,1))-AVERAGE(OFFSET($H$3,0,0,'Données projet'!$E$13+1,1))</f>
        <v>290.68086183422963</v>
      </c>
      <c r="CZ82" s="62">
        <f t="shared" si="96"/>
        <v>317.88330630101785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264.65399999999988</v>
      </c>
      <c r="P83" s="14">
        <f t="shared" si="87"/>
        <v>63.71339601121106</v>
      </c>
      <c r="Q83" s="22">
        <f t="shared" si="54"/>
        <v>571.90654805285897</v>
      </c>
      <c r="R83" s="62">
        <f t="shared" si="55"/>
        <v>865.23988138619234</v>
      </c>
      <c r="S83" s="62">
        <f ca="1">AVERAGE(OFFSET($R$3,0,0,'Données projet'!$E$9+1,1))-AVERAGE(OFFSET($H$3,0,0,'Données projet'!$E$9+1,1))</f>
        <v>476.8965664931755</v>
      </c>
      <c r="T83" s="62">
        <f t="shared" si="88"/>
        <v>254.25036207346591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430.11660085503223</v>
      </c>
      <c r="AO83" s="62">
        <f t="shared" si="90"/>
        <v>231.36959598460686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1.7053025658242404E-13</v>
      </c>
      <c r="BE83" s="14">
        <f>BD83*VLOOKUP('Données projet'!$B$11,Paramètres!$A$1:$I$89,3,0)*VLOOKUP('Données projet'!$B$11,Paramètres!$A$1:$I$89,5,0)</f>
        <v>1.4897523215040567E-13</v>
      </c>
      <c r="BF83" s="14">
        <f t="shared" si="91"/>
        <v>2.136562777003313E-12</v>
      </c>
      <c r="BG83" s="22">
        <f t="shared" si="61"/>
        <v>3.9806453659427267E-12</v>
      </c>
      <c r="BH83" s="62">
        <f t="shared" si="62"/>
        <v>293.33333333333729</v>
      </c>
      <c r="BI83" s="62">
        <f ca="1">AVERAGE(OFFSET($BH$3,0,0,'Données projet'!$E$11+1,1))-AVERAGE(OFFSET($H$3,0,0,'Données projet'!$E$11+1,1))</f>
        <v>346.7910845218741</v>
      </c>
      <c r="BJ83" s="62">
        <f t="shared" si="92"/>
        <v>469.89734899725369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-6.7984728957526396E-14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207.59954777160192</v>
      </c>
      <c r="CE83" s="62">
        <f t="shared" si="94"/>
        <v>314.81017053732063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1.3626192159686674</v>
      </c>
      <c r="CL83" s="23">
        <f>EXP(-LN(2)/25)*CL82+(1-EXP(-LN(2)/25))/(LN(2)/25)*Calculateur!CG83*Calculateur!CI83*VLOOKUP('Données projet'!$B$12,Paramètres!$A$1:$I$89,3,0)*0.475*44/12</f>
        <v>1.3378710040173092</v>
      </c>
      <c r="CM83" s="23">
        <f>EXP(-LN(2)/2)*CM82+(1-EXP(-LN(2)/2))/(LN(2)/2)*CG83*CJ83*VLOOKUP('Données projet'!$B$12,Paramètres!$A$1:$I$89,3,0)*0.475*44/12</f>
        <v>2.0522780042484449E-7</v>
      </c>
      <c r="CN83" s="24">
        <f t="shared" si="66"/>
        <v>2.7004904252137769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284.60000000000002</v>
      </c>
      <c r="CR83" s="13">
        <f>VLOOKUP(A83,'Données projet'!$A$139:$I$159,9,0)</f>
        <v>2.9799999999999955</v>
      </c>
      <c r="CS83" s="13">
        <f t="array" ref="CS83">INDEX(CR:CR,MIN(IF(ISNUMBER(CR83:CR279),ROW(CR83:CR279),"")))</f>
        <v>2.9799999999999955</v>
      </c>
      <c r="CT83" s="13">
        <f>IF('Données projet'!$A$140&gt;35,CT82+CS83-DB82,IF(A83&lt;'Données projet'!$A$140,$CQ$205^A83,IF(A83='Données projet'!$A$140,'Données projet'!$B$140,CT82+CS83-DB82)))</f>
        <v>284.60000000000036</v>
      </c>
      <c r="CU83" s="18">
        <f>CT83*VLOOKUP('Données projet'!$B$13,Paramètres!$A$1:$I$89,3,0)*VLOOKUP('Données projet'!$B$13,Paramètres!$A$1:$I$89,5,0)</f>
        <v>208.66872000000026</v>
      </c>
      <c r="CV83" s="14">
        <f t="shared" si="95"/>
        <v>51.644559934074373</v>
      </c>
      <c r="CW83" s="22">
        <f t="shared" si="67"/>
        <v>453.3789625518466</v>
      </c>
      <c r="CX83" s="62">
        <f t="shared" si="68"/>
        <v>746.71229588517986</v>
      </c>
      <c r="CY83" s="62">
        <f ca="1">AVERAGE(OFFSET($CX$3,0,0,'Données projet'!$E$13+1,1))-AVERAGE(OFFSET($H$3,0,0,'Données projet'!$E$13+1,1))</f>
        <v>290.68086183422963</v>
      </c>
      <c r="CZ83" s="62">
        <f t="shared" si="96"/>
        <v>317.88330630101785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284.60000000000002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270.53519999999992</v>
      </c>
      <c r="P84" s="14">
        <f t="shared" si="87"/>
        <v>64.962839141501405</v>
      </c>
      <c r="Q84" s="22">
        <f t="shared" si="54"/>
        <v>584.32575150478135</v>
      </c>
      <c r="R84" s="62">
        <f t="shared" si="55"/>
        <v>877.65908483811472</v>
      </c>
      <c r="S84" s="62">
        <f ca="1">AVERAGE(OFFSET($R$3,0,0,'Données projet'!$E$9+1,1))-AVERAGE(OFFSET($H$3,0,0,'Données projet'!$E$9+1,1))</f>
        <v>476.8965664931755</v>
      </c>
      <c r="T84" s="62">
        <f t="shared" si="88"/>
        <v>254.25036207346591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266.7999999999999</v>
      </c>
      <c r="AJ84" s="14">
        <f>AI84*VLOOKUP('Données projet'!$B$10,Paramètres!$A$1:$I$89,3,0)*VLOOKUP('Données projet'!$B$10,Paramètres!$A$1:$I$89,5,0)</f>
        <v>241.40063999999992</v>
      </c>
      <c r="AK84" s="14">
        <f t="shared" si="89"/>
        <v>58.740782866262698</v>
      </c>
      <c r="AL84" s="22">
        <f t="shared" si="58"/>
        <v>522.74631149207403</v>
      </c>
      <c r="AM84" s="62">
        <f t="shared" si="59"/>
        <v>816.07964482540729</v>
      </c>
      <c r="AN84" s="62">
        <f ca="1">AVERAGE(OFFSET($AM$3,0,0,'Données projet'!$E$10+1,1))-AVERAGE(OFFSET($H$3,0,0,'Données projet'!$E$10+1,1))</f>
        <v>430.11660085503223</v>
      </c>
      <c r="AO84" s="62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1.7053025658242404E-13</v>
      </c>
      <c r="BE84" s="14">
        <f>BD84*VLOOKUP('Données projet'!$B$11,Paramètres!$A$1:$I$89,3,0)*VLOOKUP('Données projet'!$B$11,Paramètres!$A$1:$I$89,5,0)</f>
        <v>1.4897523215040567E-13</v>
      </c>
      <c r="BF84" s="14">
        <f t="shared" si="91"/>
        <v>2.136562777003313E-12</v>
      </c>
      <c r="BG84" s="22">
        <f t="shared" si="61"/>
        <v>3.9806453659427267E-12</v>
      </c>
      <c r="BH84" s="62">
        <f t="shared" si="62"/>
        <v>293.33333333333729</v>
      </c>
      <c r="BI84" s="62">
        <f ca="1">AVERAGE(OFFSET($BH$3,0,0,'Données projet'!$E$11+1,1))-AVERAGE(OFFSET($H$3,0,0,'Données projet'!$E$11+1,1))</f>
        <v>346.7910845218741</v>
      </c>
      <c r="BJ84" s="62">
        <f t="shared" si="92"/>
        <v>469.89734899725369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-6.7984728957526396E-14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207.59954777160192</v>
      </c>
      <c r="CE84" s="62">
        <f t="shared" si="94"/>
        <v>314.81017053732063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1.3358990842591778</v>
      </c>
      <c r="CL84" s="23">
        <f>EXP(-LN(2)/25)*CL83+(1-EXP(-LN(2)/25))/(LN(2)/25)*Calculateur!CG84*Calculateur!CI84*VLOOKUP('Données projet'!$B$12,Paramètres!$A$1:$I$89,3,0)*0.475*44/12</f>
        <v>1.3012868510568776</v>
      </c>
      <c r="CM84" s="23">
        <f>EXP(-LN(2)/2)*CM83+(1-EXP(-LN(2)/2))/(LN(2)/2)*CG84*CJ84*VLOOKUP('Données projet'!$B$12,Paramètres!$A$1:$I$89,3,0)*0.475*44/12</f>
        <v>1.4511796936840696E-7</v>
      </c>
      <c r="CN84" s="24">
        <f t="shared" si="66"/>
        <v>2.6371860804340246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3.4106051316484809E-13</v>
      </c>
      <c r="CU84" s="18">
        <f>CT84*VLOOKUP('Données projet'!$B$13,Paramètres!$A$1:$I$89,3,0)*VLOOKUP('Données projet'!$B$13,Paramètres!$A$1:$I$89,5,0)</f>
        <v>2.5006556825246659E-13</v>
      </c>
      <c r="CV84" s="14">
        <f t="shared" si="95"/>
        <v>3.3765445850268018E-12</v>
      </c>
      <c r="CW84" s="22">
        <f t="shared" si="67"/>
        <v>6.3163460169613921E-12</v>
      </c>
      <c r="CX84" s="62">
        <f t="shared" si="68"/>
        <v>293.33333333333962</v>
      </c>
      <c r="CY84" s="62">
        <f ca="1">AVERAGE(OFFSET($CX$3,0,0,'Données projet'!$E$13+1,1))-AVERAGE(OFFSET($H$3,0,0,'Données projet'!$E$13+1,1))</f>
        <v>290.68086183422963</v>
      </c>
      <c r="CZ84" s="62">
        <f t="shared" si="96"/>
        <v>317.88330630101785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276.4163999999999</v>
      </c>
      <c r="P85" s="14">
        <f t="shared" si="87"/>
        <v>66.209124371313408</v>
      </c>
      <c r="Q85" s="22">
        <f t="shared" si="54"/>
        <v>596.73945494670397</v>
      </c>
      <c r="R85" s="62">
        <f t="shared" si="55"/>
        <v>890.07278828003723</v>
      </c>
      <c r="S85" s="62">
        <f ca="1">AVERAGE(OFFSET($R$3,0,0,'Données projet'!$E$9+1,1))-AVERAGE(OFFSET($H$3,0,0,'Données projet'!$E$9+1,1))</f>
        <v>476.8965664931755</v>
      </c>
      <c r="T85" s="62">
        <f t="shared" si="88"/>
        <v>254.25036207346591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272.59999999999991</v>
      </c>
      <c r="AJ85" s="14">
        <f>AI85*VLOOKUP('Données projet'!$B$10,Paramètres!$A$1:$I$89,3,0)*VLOOKUP('Données projet'!$B$10,Paramètres!$A$1:$I$89,5,0)</f>
        <v>246.64847999999992</v>
      </c>
      <c r="AK85" s="14">
        <f t="shared" si="89"/>
        <v>59.867700517050096</v>
      </c>
      <c r="AL85" s="22">
        <f t="shared" si="58"/>
        <v>533.84901440052874</v>
      </c>
      <c r="AM85" s="62">
        <f t="shared" si="59"/>
        <v>827.18234773386212</v>
      </c>
      <c r="AN85" s="62">
        <f ca="1">AVERAGE(OFFSET($AM$3,0,0,'Données projet'!$E$10+1,1))-AVERAGE(OFFSET($H$3,0,0,'Données projet'!$E$10+1,1))</f>
        <v>430.11660085503223</v>
      </c>
      <c r="AO85" s="62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1.7053025658242404E-13</v>
      </c>
      <c r="BE85" s="14">
        <f>BD85*VLOOKUP('Données projet'!$B$11,Paramètres!$A$1:$I$89,3,0)*VLOOKUP('Données projet'!$B$11,Paramètres!$A$1:$I$89,5,0)</f>
        <v>1.4897523215040567E-13</v>
      </c>
      <c r="BF85" s="14">
        <f t="shared" si="91"/>
        <v>2.136562777003313E-12</v>
      </c>
      <c r="BG85" s="22">
        <f t="shared" si="61"/>
        <v>3.9806453659427267E-12</v>
      </c>
      <c r="BH85" s="62">
        <f t="shared" si="62"/>
        <v>293.33333333333729</v>
      </c>
      <c r="BI85" s="62">
        <f ca="1">AVERAGE(OFFSET($BH$3,0,0,'Données projet'!$E$11+1,1))-AVERAGE(OFFSET($H$3,0,0,'Données projet'!$E$11+1,1))</f>
        <v>346.7910845218741</v>
      </c>
      <c r="BJ85" s="62">
        <f t="shared" si="92"/>
        <v>469.89734899725369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-6.7984728957526396E-14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207.59954777160192</v>
      </c>
      <c r="CE85" s="62">
        <f t="shared" si="94"/>
        <v>314.81017053732063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1.3097029180348401</v>
      </c>
      <c r="CL85" s="23">
        <f>EXP(-LN(2)/25)*CL84+(1-EXP(-LN(2)/25))/(LN(2)/25)*Calculateur!CG85*Calculateur!CI85*VLOOKUP('Données projet'!$B$12,Paramètres!$A$1:$I$89,3,0)*0.475*44/12</f>
        <v>1.2657030936830258</v>
      </c>
      <c r="CM85" s="23">
        <f>EXP(-LN(2)/2)*CM84+(1-EXP(-LN(2)/2))/(LN(2)/2)*CG85*CJ85*VLOOKUP('Données projet'!$B$12,Paramètres!$A$1:$I$89,3,0)*0.475*44/12</f>
        <v>1.0261390021242225E-7</v>
      </c>
      <c r="CN85" s="24">
        <f t="shared" si="66"/>
        <v>2.5754061143317659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3.4106051316484809E-13</v>
      </c>
      <c r="CU85" s="18">
        <f>CT85*VLOOKUP('Données projet'!$B$13,Paramètres!$A$1:$I$89,3,0)*VLOOKUP('Données projet'!$B$13,Paramètres!$A$1:$I$89,5,0)</f>
        <v>2.5006556825246659E-13</v>
      </c>
      <c r="CV85" s="14">
        <f t="shared" si="95"/>
        <v>3.3765445850268018E-12</v>
      </c>
      <c r="CW85" s="22">
        <f t="shared" si="67"/>
        <v>6.3163460169613921E-12</v>
      </c>
      <c r="CX85" s="62">
        <f t="shared" si="68"/>
        <v>293.33333333333962</v>
      </c>
      <c r="CY85" s="62">
        <f ca="1">AVERAGE(OFFSET($CX$3,0,0,'Données projet'!$E$13+1,1))-AVERAGE(OFFSET($H$3,0,0,'Données projet'!$E$13+1,1))</f>
        <v>290.68086183422963</v>
      </c>
      <c r="CZ85" s="62">
        <f t="shared" si="96"/>
        <v>317.88330630101785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282.29759999999993</v>
      </c>
      <c r="P86" s="14">
        <f t="shared" si="87"/>
        <v>67.452326629470178</v>
      </c>
      <c r="Q86" s="22">
        <f t="shared" si="54"/>
        <v>609.14778887966042</v>
      </c>
      <c r="R86" s="62">
        <f t="shared" si="55"/>
        <v>902.4811222129938</v>
      </c>
      <c r="S86" s="62">
        <f ca="1">AVERAGE(OFFSET($R$3,0,0,'Données projet'!$E$9+1,1))-AVERAGE(OFFSET($H$3,0,0,'Données projet'!$E$9+1,1))</f>
        <v>476.8965664931755</v>
      </c>
      <c r="T86" s="62">
        <f t="shared" si="88"/>
        <v>254.25036207346591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278.39999999999992</v>
      </c>
      <c r="AJ86" s="14">
        <f>AI86*VLOOKUP('Données projet'!$B$10,Paramètres!$A$1:$I$89,3,0)*VLOOKUP('Données projet'!$B$10,Paramètres!$A$1:$I$89,5,0)</f>
        <v>251.89631999999995</v>
      </c>
      <c r="AK86" s="14">
        <f t="shared" si="89"/>
        <v>60.991830479199145</v>
      </c>
      <c r="AL86" s="22">
        <f t="shared" si="58"/>
        <v>544.94686208460519</v>
      </c>
      <c r="AM86" s="62">
        <f t="shared" si="59"/>
        <v>838.28019541793856</v>
      </c>
      <c r="AN86" s="62">
        <f ca="1">AVERAGE(OFFSET($AM$3,0,0,'Données projet'!$E$10+1,1))-AVERAGE(OFFSET($H$3,0,0,'Données projet'!$E$10+1,1))</f>
        <v>430.11660085503223</v>
      </c>
      <c r="AO86" s="62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1.7053025658242404E-13</v>
      </c>
      <c r="BE86" s="14">
        <f>BD86*VLOOKUP('Données projet'!$B$11,Paramètres!$A$1:$I$89,3,0)*VLOOKUP('Données projet'!$B$11,Paramètres!$A$1:$I$89,5,0)</f>
        <v>1.4897523215040567E-13</v>
      </c>
      <c r="BF86" s="14">
        <f t="shared" si="91"/>
        <v>2.136562777003313E-12</v>
      </c>
      <c r="BG86" s="22">
        <f t="shared" si="61"/>
        <v>3.9806453659427267E-12</v>
      </c>
      <c r="BH86" s="62">
        <f t="shared" si="62"/>
        <v>293.33333333333729</v>
      </c>
      <c r="BI86" s="62">
        <f ca="1">AVERAGE(OFFSET($BH$3,0,0,'Données projet'!$E$11+1,1))-AVERAGE(OFFSET($H$3,0,0,'Données projet'!$E$11+1,1))</f>
        <v>346.7910845218741</v>
      </c>
      <c r="BJ86" s="62">
        <f t="shared" si="92"/>
        <v>469.89734899725369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-6.7984728957526396E-14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207.59954777160192</v>
      </c>
      <c r="CE86" s="62">
        <f t="shared" si="94"/>
        <v>314.81017053732063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1.284020442652078</v>
      </c>
      <c r="CL86" s="23">
        <f>EXP(-LN(2)/25)*CL85+(1-EXP(-LN(2)/25))/(LN(2)/25)*Calculateur!CG86*Calculateur!CI86*VLOOKUP('Données projet'!$B$12,Paramètres!$A$1:$I$89,3,0)*0.475*44/12</f>
        <v>1.2310923760258305</v>
      </c>
      <c r="CM86" s="23">
        <f>EXP(-LN(2)/2)*CM85+(1-EXP(-LN(2)/2))/(LN(2)/2)*CG86*CJ86*VLOOKUP('Données projet'!$B$12,Paramètres!$A$1:$I$89,3,0)*0.475*44/12</f>
        <v>7.2558984684203479E-8</v>
      </c>
      <c r="CN86" s="24">
        <f t="shared" si="66"/>
        <v>2.5151128912368934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3.4106051316484809E-13</v>
      </c>
      <c r="CU86" s="18">
        <f>CT86*VLOOKUP('Données projet'!$B$13,Paramètres!$A$1:$I$89,3,0)*VLOOKUP('Données projet'!$B$13,Paramètres!$A$1:$I$89,5,0)</f>
        <v>2.5006556825246659E-13</v>
      </c>
      <c r="CV86" s="14">
        <f t="shared" si="95"/>
        <v>3.3765445850268018E-12</v>
      </c>
      <c r="CW86" s="22">
        <f t="shared" si="67"/>
        <v>6.3163460169613921E-12</v>
      </c>
      <c r="CX86" s="62">
        <f t="shared" si="68"/>
        <v>293.33333333333962</v>
      </c>
      <c r="CY86" s="62">
        <f ca="1">AVERAGE(OFFSET($CX$3,0,0,'Données projet'!$E$13+1,1))-AVERAGE(OFFSET($H$3,0,0,'Données projet'!$E$13+1,1))</f>
        <v>290.68086183422963</v>
      </c>
      <c r="CZ86" s="62">
        <f t="shared" si="96"/>
        <v>317.88330630101785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288.17879999999997</v>
      </c>
      <c r="P87" s="14">
        <f t="shared" si="87"/>
        <v>68.692517544343744</v>
      </c>
      <c r="Q87" s="22">
        <f t="shared" si="54"/>
        <v>621.55087805639857</v>
      </c>
      <c r="R87" s="62">
        <f t="shared" si="55"/>
        <v>914.88421138973195</v>
      </c>
      <c r="S87" s="62">
        <f ca="1">AVERAGE(OFFSET($R$3,0,0,'Données projet'!$E$9+1,1))-AVERAGE(OFFSET($H$3,0,0,'Données projet'!$E$9+1,1))</f>
        <v>476.8965664931755</v>
      </c>
      <c r="T87" s="62">
        <f t="shared" si="88"/>
        <v>254.25036207346591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284.19999999999993</v>
      </c>
      <c r="AJ87" s="14">
        <f>AI87*VLOOKUP('Données projet'!$B$10,Paramètres!$A$1:$I$89,3,0)*VLOOKUP('Données projet'!$B$10,Paramètres!$A$1:$I$89,5,0)</f>
        <v>257.14415999999994</v>
      </c>
      <c r="AK87" s="14">
        <f t="shared" si="89"/>
        <v>62.113237520609751</v>
      </c>
      <c r="AL87" s="22">
        <f t="shared" si="58"/>
        <v>556.03996734839518</v>
      </c>
      <c r="AM87" s="62">
        <f t="shared" si="59"/>
        <v>849.37330068172855</v>
      </c>
      <c r="AN87" s="62">
        <f ca="1">AVERAGE(OFFSET($AM$3,0,0,'Données projet'!$E$10+1,1))-AVERAGE(OFFSET($H$3,0,0,'Données projet'!$E$10+1,1))</f>
        <v>430.11660085503223</v>
      </c>
      <c r="AO87" s="62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1.7053025658242404E-13</v>
      </c>
      <c r="BE87" s="14">
        <f>BD87*VLOOKUP('Données projet'!$B$11,Paramètres!$A$1:$I$89,3,0)*VLOOKUP('Données projet'!$B$11,Paramètres!$A$1:$I$89,5,0)</f>
        <v>1.4897523215040567E-13</v>
      </c>
      <c r="BF87" s="14">
        <f t="shared" si="91"/>
        <v>2.136562777003313E-12</v>
      </c>
      <c r="BG87" s="22">
        <f t="shared" si="61"/>
        <v>3.9806453659427267E-12</v>
      </c>
      <c r="BH87" s="62">
        <f t="shared" si="62"/>
        <v>293.33333333333729</v>
      </c>
      <c r="BI87" s="62">
        <f ca="1">AVERAGE(OFFSET($BH$3,0,0,'Données projet'!$E$11+1,1))-AVERAGE(OFFSET($H$3,0,0,'Données projet'!$E$11+1,1))</f>
        <v>346.7910845218741</v>
      </c>
      <c r="BJ87" s="62">
        <f t="shared" si="92"/>
        <v>469.89734899725369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-6.7984728957526396E-14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207.59954777160192</v>
      </c>
      <c r="CE87" s="62">
        <f t="shared" si="94"/>
        <v>314.81017053732063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1.2588415849468086</v>
      </c>
      <c r="CL87" s="23">
        <f>EXP(-LN(2)/25)*CL86+(1-EXP(-LN(2)/25))/(LN(2)/25)*Calculateur!CG87*Calculateur!CI87*VLOOKUP('Données projet'!$B$12,Paramètres!$A$1:$I$89,3,0)*0.475*44/12</f>
        <v>1.1974280902630698</v>
      </c>
      <c r="CM87" s="23">
        <f>EXP(-LN(2)/2)*CM86+(1-EXP(-LN(2)/2))/(LN(2)/2)*CG87*CJ87*VLOOKUP('Données projet'!$B$12,Paramètres!$A$1:$I$89,3,0)*0.475*44/12</f>
        <v>5.1306950106211124E-8</v>
      </c>
      <c r="CN87" s="24">
        <f t="shared" si="66"/>
        <v>2.4562697265168287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3.4106051316484809E-13</v>
      </c>
      <c r="CU87" s="18">
        <f>CT87*VLOOKUP('Données projet'!$B$13,Paramètres!$A$1:$I$89,3,0)*VLOOKUP('Données projet'!$B$13,Paramètres!$A$1:$I$89,5,0)</f>
        <v>2.5006556825246659E-13</v>
      </c>
      <c r="CV87" s="14">
        <f t="shared" si="95"/>
        <v>3.3765445850268018E-12</v>
      </c>
      <c r="CW87" s="22">
        <f t="shared" si="67"/>
        <v>6.3163460169613921E-12</v>
      </c>
      <c r="CX87" s="62">
        <f t="shared" si="68"/>
        <v>293.33333333333962</v>
      </c>
      <c r="CY87" s="62">
        <f ca="1">AVERAGE(OFFSET($CX$3,0,0,'Données projet'!$E$13+1,1))-AVERAGE(OFFSET($H$3,0,0,'Données projet'!$E$13+1,1))</f>
        <v>290.68086183422963</v>
      </c>
      <c r="CZ87" s="62">
        <f t="shared" si="96"/>
        <v>317.88330630101785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294.05999999999995</v>
      </c>
      <c r="P88" s="14">
        <f t="shared" si="87"/>
        <v>69.929765653573313</v>
      </c>
      <c r="Q88" s="22">
        <f t="shared" si="54"/>
        <v>633.94884184664011</v>
      </c>
      <c r="R88" s="62">
        <f t="shared" si="55"/>
        <v>927.28217517997336</v>
      </c>
      <c r="S88" s="62">
        <f ca="1">AVERAGE(OFFSET($R$3,0,0,'Données projet'!$E$9+1,1))-AVERAGE(OFFSET($H$3,0,0,'Données projet'!$E$9+1,1))</f>
        <v>476.8965664931755</v>
      </c>
      <c r="T88" s="62">
        <f t="shared" si="88"/>
        <v>254.25036207346591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289.99999999999994</v>
      </c>
      <c r="AJ88" s="14">
        <f>AI88*VLOOKUP('Données projet'!$B$10,Paramètres!$A$1:$I$89,3,0)*VLOOKUP('Données projet'!$B$10,Paramètres!$A$1:$I$89,5,0)</f>
        <v>262.39199999999994</v>
      </c>
      <c r="AK88" s="14">
        <f t="shared" si="89"/>
        <v>63.231983614474942</v>
      </c>
      <c r="AL88" s="22">
        <f t="shared" si="58"/>
        <v>567.12843812854373</v>
      </c>
      <c r="AM88" s="62">
        <f t="shared" si="59"/>
        <v>860.46177146187711</v>
      </c>
      <c r="AN88" s="62">
        <f ca="1">AVERAGE(OFFSET($AM$3,0,0,'Données projet'!$E$10+1,1))-AVERAGE(OFFSET($H$3,0,0,'Données projet'!$E$10+1,1))</f>
        <v>430.11660085503223</v>
      </c>
      <c r="AO88" s="62">
        <f t="shared" si="90"/>
        <v>231.36959598460686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1.7053025658242404E-13</v>
      </c>
      <c r="BE88" s="14">
        <f>BD88*VLOOKUP('Données projet'!$B$11,Paramètres!$A$1:$I$89,3,0)*VLOOKUP('Données projet'!$B$11,Paramètres!$A$1:$I$89,5,0)</f>
        <v>1.4897523215040567E-13</v>
      </c>
      <c r="BF88" s="14">
        <f t="shared" si="91"/>
        <v>2.136562777003313E-12</v>
      </c>
      <c r="BG88" s="22">
        <f t="shared" si="61"/>
        <v>3.9806453659427267E-12</v>
      </c>
      <c r="BH88" s="62">
        <f t="shared" si="62"/>
        <v>293.33333333333729</v>
      </c>
      <c r="BI88" s="62">
        <f ca="1">AVERAGE(OFFSET($BH$3,0,0,'Données projet'!$E$11+1,1))-AVERAGE(OFFSET($H$3,0,0,'Données projet'!$E$11+1,1))</f>
        <v>346.7910845218741</v>
      </c>
      <c r="BJ88" s="62">
        <f t="shared" si="92"/>
        <v>469.89734899725369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-6.7984728957526396E-14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207.59954777160192</v>
      </c>
      <c r="CE88" s="62">
        <f t="shared" si="94"/>
        <v>314.81017053732063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1.2341564692835529</v>
      </c>
      <c r="CL88" s="23">
        <f>EXP(-LN(2)/25)*CL87+(1-EXP(-LN(2)/25))/(LN(2)/25)*Calculateur!CG88*Calculateur!CI88*VLOOKUP('Données projet'!$B$12,Paramètres!$A$1:$I$89,3,0)*0.475*44/12</f>
        <v>1.1646843561648197</v>
      </c>
      <c r="CM88" s="23">
        <f>EXP(-LN(2)/2)*CM87+(1-EXP(-LN(2)/2))/(LN(2)/2)*CG88*CJ88*VLOOKUP('Données projet'!$B$12,Paramètres!$A$1:$I$89,3,0)*0.475*44/12</f>
        <v>3.6279492342101739E-8</v>
      </c>
      <c r="CN88" s="24">
        <f t="shared" si="66"/>
        <v>2.3988408617278649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3.4106051316484809E-13</v>
      </c>
      <c r="CU88" s="18">
        <f>CT88*VLOOKUP('Données projet'!$B$13,Paramètres!$A$1:$I$89,3,0)*VLOOKUP('Données projet'!$B$13,Paramètres!$A$1:$I$89,5,0)</f>
        <v>2.5006556825246659E-13</v>
      </c>
      <c r="CV88" s="14">
        <f t="shared" si="95"/>
        <v>3.3765445850268018E-12</v>
      </c>
      <c r="CW88" s="22">
        <f t="shared" si="67"/>
        <v>6.3163460169613921E-12</v>
      </c>
      <c r="CX88" s="62">
        <f t="shared" si="68"/>
        <v>293.33333333333962</v>
      </c>
      <c r="CY88" s="62">
        <f ca="1">AVERAGE(OFFSET($CX$3,0,0,'Données projet'!$E$13+1,1))-AVERAGE(OFFSET($H$3,0,0,'Données projet'!$E$13+1,1))</f>
        <v>290.68086183422963</v>
      </c>
      <c r="CZ88" s="62">
        <f t="shared" si="96"/>
        <v>317.88330630101785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256.74479999999994</v>
      </c>
      <c r="P89" s="14">
        <f t="shared" si="87"/>
        <v>62.02799288712616</v>
      </c>
      <c r="Q89" s="22">
        <f t="shared" si="54"/>
        <v>555.1959476117446</v>
      </c>
      <c r="R89" s="62">
        <f t="shared" si="55"/>
        <v>848.52928094507797</v>
      </c>
      <c r="S89" s="62">
        <f ca="1">AVERAGE(OFFSET($R$3,0,0,'Données projet'!$E$9+1,1))-AVERAGE(OFFSET($H$3,0,0,'Données projet'!$E$9+1,1))</f>
        <v>476.8965664931755</v>
      </c>
      <c r="T89" s="62">
        <f t="shared" si="88"/>
        <v>254.25036207346591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253.19999999999993</v>
      </c>
      <c r="AJ89" s="14">
        <f>AI89*VLOOKUP('Données projet'!$B$10,Paramètres!$A$1:$I$89,3,0)*VLOOKUP('Données projet'!$B$10,Paramètres!$A$1:$I$89,5,0)</f>
        <v>229.09535999999991</v>
      </c>
      <c r="AK89" s="14">
        <f t="shared" si="89"/>
        <v>56.087032370558362</v>
      </c>
      <c r="AL89" s="22">
        <f t="shared" si="58"/>
        <v>496.69266671205565</v>
      </c>
      <c r="AM89" s="62">
        <f t="shared" si="59"/>
        <v>790.02600004538897</v>
      </c>
      <c r="AN89" s="62">
        <f ca="1">AVERAGE(OFFSET($AM$3,0,0,'Données projet'!$E$10+1,1))-AVERAGE(OFFSET($H$3,0,0,'Données projet'!$E$10+1,1))</f>
        <v>430.11660085503223</v>
      </c>
      <c r="AO89" s="62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1.7053025658242404E-13</v>
      </c>
      <c r="BE89" s="14">
        <f>BD89*VLOOKUP('Données projet'!$B$11,Paramètres!$A$1:$I$89,3,0)*VLOOKUP('Données projet'!$B$11,Paramètres!$A$1:$I$89,5,0)</f>
        <v>1.4897523215040567E-13</v>
      </c>
      <c r="BF89" s="14">
        <f t="shared" si="91"/>
        <v>2.136562777003313E-12</v>
      </c>
      <c r="BG89" s="22">
        <f t="shared" si="61"/>
        <v>3.9806453659427267E-12</v>
      </c>
      <c r="BH89" s="62">
        <f t="shared" si="62"/>
        <v>293.33333333333729</v>
      </c>
      <c r="BI89" s="62">
        <f ca="1">AVERAGE(OFFSET($BH$3,0,0,'Données projet'!$E$11+1,1))-AVERAGE(OFFSET($H$3,0,0,'Données projet'!$E$11+1,1))</f>
        <v>346.7910845218741</v>
      </c>
      <c r="BJ89" s="62">
        <f t="shared" si="92"/>
        <v>469.89734899725369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-6.7984728957526396E-14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207.59954777160192</v>
      </c>
      <c r="CE89" s="62">
        <f t="shared" si="94"/>
        <v>314.81017053732063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1.2099554136820196</v>
      </c>
      <c r="CL89" s="23">
        <f>EXP(-LN(2)/25)*CL88+(1-EXP(-LN(2)/25))/(LN(2)/25)*Calculateur!CG89*Calculateur!CI89*VLOOKUP('Données projet'!$B$12,Paramètres!$A$1:$I$89,3,0)*0.475*44/12</f>
        <v>1.1328360011974044</v>
      </c>
      <c r="CM89" s="23">
        <f>EXP(-LN(2)/2)*CM88+(1-EXP(-LN(2)/2))/(LN(2)/2)*CG89*CJ89*VLOOKUP('Données projet'!$B$12,Paramètres!$A$1:$I$89,3,0)*0.475*44/12</f>
        <v>2.5653475053105562E-8</v>
      </c>
      <c r="CN89" s="24">
        <f t="shared" si="66"/>
        <v>2.3427914405328991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3.4106051316484809E-13</v>
      </c>
      <c r="CU89" s="18">
        <f>CT89*VLOOKUP('Données projet'!$B$13,Paramètres!$A$1:$I$89,3,0)*VLOOKUP('Données projet'!$B$13,Paramètres!$A$1:$I$89,5,0)</f>
        <v>2.5006556825246659E-13</v>
      </c>
      <c r="CV89" s="14">
        <f t="shared" si="95"/>
        <v>3.3765445850268018E-12</v>
      </c>
      <c r="CW89" s="22">
        <f t="shared" si="67"/>
        <v>6.3163460169613921E-12</v>
      </c>
      <c r="CX89" s="62">
        <f t="shared" si="68"/>
        <v>293.33333333333962</v>
      </c>
      <c r="CY89" s="62">
        <f ca="1">AVERAGE(OFFSET($CX$3,0,0,'Données projet'!$E$13+1,1))-AVERAGE(OFFSET($H$3,0,0,'Données projet'!$E$13+1,1))</f>
        <v>290.68086183422963</v>
      </c>
      <c r="CZ89" s="62">
        <f t="shared" si="96"/>
        <v>317.88330630101785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262.01759999999996</v>
      </c>
      <c r="P90" s="14">
        <f t="shared" si="87"/>
        <v>63.15225506797816</v>
      </c>
      <c r="Q90" s="22">
        <f t="shared" si="54"/>
        <v>566.33749757672854</v>
      </c>
      <c r="R90" s="62">
        <f t="shared" si="55"/>
        <v>859.6708309100618</v>
      </c>
      <c r="S90" s="62">
        <f ca="1">AVERAGE(OFFSET($R$3,0,0,'Données projet'!$E$9+1,1))-AVERAGE(OFFSET($H$3,0,0,'Données projet'!$E$9+1,1))</f>
        <v>476.8965664931755</v>
      </c>
      <c r="T90" s="62">
        <f t="shared" si="88"/>
        <v>254.25036207346591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258.39999999999992</v>
      </c>
      <c r="AJ90" s="14">
        <f>AI90*VLOOKUP('Données projet'!$B$10,Paramètres!$A$1:$I$89,3,0)*VLOOKUP('Données projet'!$B$10,Paramètres!$A$1:$I$89,5,0)</f>
        <v>233.80031999999994</v>
      </c>
      <c r="AK90" s="14">
        <f t="shared" si="89"/>
        <v>57.103614181373779</v>
      </c>
      <c r="AL90" s="22">
        <f t="shared" si="58"/>
        <v>506.65768536589252</v>
      </c>
      <c r="AM90" s="62">
        <f t="shared" si="59"/>
        <v>799.99101869922583</v>
      </c>
      <c r="AN90" s="62">
        <f ca="1">AVERAGE(OFFSET($AM$3,0,0,'Données projet'!$E$10+1,1))-AVERAGE(OFFSET($H$3,0,0,'Données projet'!$E$10+1,1))</f>
        <v>430.11660085503223</v>
      </c>
      <c r="AO90" s="62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1.7053025658242404E-13</v>
      </c>
      <c r="BE90" s="14">
        <f>BD90*VLOOKUP('Données projet'!$B$11,Paramètres!$A$1:$I$89,3,0)*VLOOKUP('Données projet'!$B$11,Paramètres!$A$1:$I$89,5,0)</f>
        <v>1.4897523215040567E-13</v>
      </c>
      <c r="BF90" s="14">
        <f t="shared" si="91"/>
        <v>2.136562777003313E-12</v>
      </c>
      <c r="BG90" s="22">
        <f t="shared" si="61"/>
        <v>3.9806453659427267E-12</v>
      </c>
      <c r="BH90" s="62">
        <f t="shared" si="62"/>
        <v>293.33333333333729</v>
      </c>
      <c r="BI90" s="62">
        <f ca="1">AVERAGE(OFFSET($BH$3,0,0,'Données projet'!$E$11+1,1))-AVERAGE(OFFSET($H$3,0,0,'Données projet'!$E$11+1,1))</f>
        <v>346.7910845218741</v>
      </c>
      <c r="BJ90" s="62">
        <f t="shared" si="92"/>
        <v>469.89734899725369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-6.7984728957526396E-14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207.59954777160192</v>
      </c>
      <c r="CE90" s="62">
        <f t="shared" si="94"/>
        <v>314.81017053732063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1.1862289260196461</v>
      </c>
      <c r="CL90" s="23">
        <f>EXP(-LN(2)/25)*CL89+(1-EXP(-LN(2)/25))/(LN(2)/25)*Calculateur!CG90*Calculateur!CI90*VLOOKUP('Données projet'!$B$12,Paramètres!$A$1:$I$89,3,0)*0.475*44/12</f>
        <v>1.1018585411714052</v>
      </c>
      <c r="CM90" s="23">
        <f>EXP(-LN(2)/2)*CM89+(1-EXP(-LN(2)/2))/(LN(2)/2)*CG90*CJ90*VLOOKUP('Données projet'!$B$12,Paramètres!$A$1:$I$89,3,0)*0.475*44/12</f>
        <v>1.813974617105087E-8</v>
      </c>
      <c r="CN90" s="24">
        <f t="shared" si="66"/>
        <v>2.2880874853307973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3.4106051316484809E-13</v>
      </c>
      <c r="CU90" s="18">
        <f>CT90*VLOOKUP('Données projet'!$B$13,Paramètres!$A$1:$I$89,3,0)*VLOOKUP('Données projet'!$B$13,Paramètres!$A$1:$I$89,5,0)</f>
        <v>2.5006556825246659E-13</v>
      </c>
      <c r="CV90" s="14">
        <f t="shared" si="95"/>
        <v>3.3765445850268018E-12</v>
      </c>
      <c r="CW90" s="22">
        <f t="shared" si="67"/>
        <v>6.3163460169613921E-12</v>
      </c>
      <c r="CX90" s="62">
        <f t="shared" si="68"/>
        <v>293.33333333333962</v>
      </c>
      <c r="CY90" s="62">
        <f ca="1">AVERAGE(OFFSET($CX$3,0,0,'Données projet'!$E$13+1,1))-AVERAGE(OFFSET($H$3,0,0,'Données projet'!$E$13+1,1))</f>
        <v>290.68086183422963</v>
      </c>
      <c r="CZ90" s="62">
        <f t="shared" si="96"/>
        <v>317.88330630101785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267.29039999999992</v>
      </c>
      <c r="P91" s="14">
        <f t="shared" si="87"/>
        <v>64.273886654661325</v>
      </c>
      <c r="Q91" s="22">
        <f t="shared" si="54"/>
        <v>577.47446592353504</v>
      </c>
      <c r="R91" s="62">
        <f t="shared" si="55"/>
        <v>870.80779925686829</v>
      </c>
      <c r="S91" s="62">
        <f ca="1">AVERAGE(OFFSET($R$3,0,0,'Données projet'!$E$9+1,1))-AVERAGE(OFFSET($H$3,0,0,'Données projet'!$E$9+1,1))</f>
        <v>476.8965664931755</v>
      </c>
      <c r="T91" s="62">
        <f t="shared" si="88"/>
        <v>254.25036207346591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263.59999999999991</v>
      </c>
      <c r="AJ91" s="14">
        <f>AI91*VLOOKUP('Données projet'!$B$10,Paramètres!$A$1:$I$89,3,0)*VLOOKUP('Données projet'!$B$10,Paramètres!$A$1:$I$89,5,0)</f>
        <v>238.50527999999991</v>
      </c>
      <c r="AK91" s="14">
        <f t="shared" si="89"/>
        <v>58.117817352909881</v>
      </c>
      <c r="AL91" s="22">
        <f t="shared" si="58"/>
        <v>516.61856122298445</v>
      </c>
      <c r="AM91" s="62">
        <f t="shared" si="59"/>
        <v>809.95189455631771</v>
      </c>
      <c r="AN91" s="62">
        <f ca="1">AVERAGE(OFFSET($AM$3,0,0,'Données projet'!$E$10+1,1))-AVERAGE(OFFSET($H$3,0,0,'Données projet'!$E$10+1,1))</f>
        <v>430.11660085503223</v>
      </c>
      <c r="AO91" s="62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1.7053025658242404E-13</v>
      </c>
      <c r="BE91" s="14">
        <f>BD91*VLOOKUP('Données projet'!$B$11,Paramètres!$A$1:$I$89,3,0)*VLOOKUP('Données projet'!$B$11,Paramètres!$A$1:$I$89,5,0)</f>
        <v>1.4897523215040567E-13</v>
      </c>
      <c r="BF91" s="14">
        <f t="shared" si="91"/>
        <v>2.136562777003313E-12</v>
      </c>
      <c r="BG91" s="22">
        <f t="shared" si="61"/>
        <v>3.9806453659427267E-12</v>
      </c>
      <c r="BH91" s="62">
        <f t="shared" si="62"/>
        <v>293.33333333333729</v>
      </c>
      <c r="BI91" s="62">
        <f ca="1">AVERAGE(OFFSET($BH$3,0,0,'Données projet'!$E$11+1,1))-AVERAGE(OFFSET($H$3,0,0,'Données projet'!$E$11+1,1))</f>
        <v>346.7910845218741</v>
      </c>
      <c r="BJ91" s="62">
        <f t="shared" si="92"/>
        <v>469.89734899725369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-6.7984728957526396E-14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207.59954777160192</v>
      </c>
      <c r="CE91" s="62">
        <f t="shared" si="94"/>
        <v>314.81017053732063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1.1629677003086032</v>
      </c>
      <c r="CL91" s="23">
        <f>EXP(-LN(2)/25)*CL90+(1-EXP(-LN(2)/25))/(LN(2)/25)*Calculateur!CG91*Calculateur!CI91*VLOOKUP('Données projet'!$B$12,Paramètres!$A$1:$I$89,3,0)*0.475*44/12</f>
        <v>1.0717281614188507</v>
      </c>
      <c r="CM91" s="23">
        <f>EXP(-LN(2)/2)*CM90+(1-EXP(-LN(2)/2))/(LN(2)/2)*CG91*CJ91*VLOOKUP('Données projet'!$B$12,Paramètres!$A$1:$I$89,3,0)*0.475*44/12</f>
        <v>1.2826737526552781E-8</v>
      </c>
      <c r="CN91" s="24">
        <f t="shared" si="66"/>
        <v>2.2346958745541916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3.4106051316484809E-13</v>
      </c>
      <c r="CU91" s="18">
        <f>CT91*VLOOKUP('Données projet'!$B$13,Paramètres!$A$1:$I$89,3,0)*VLOOKUP('Données projet'!$B$13,Paramètres!$A$1:$I$89,5,0)</f>
        <v>2.5006556825246659E-13</v>
      </c>
      <c r="CV91" s="14">
        <f t="shared" si="95"/>
        <v>3.3765445850268018E-12</v>
      </c>
      <c r="CW91" s="22">
        <f t="shared" si="67"/>
        <v>6.3163460169613921E-12</v>
      </c>
      <c r="CX91" s="62">
        <f t="shared" si="68"/>
        <v>293.33333333333962</v>
      </c>
      <c r="CY91" s="62">
        <f ca="1">AVERAGE(OFFSET($CX$3,0,0,'Données projet'!$E$13+1,1))-AVERAGE(OFFSET($H$3,0,0,'Données projet'!$E$13+1,1))</f>
        <v>290.68086183422963</v>
      </c>
      <c r="CZ91" s="62">
        <f t="shared" si="96"/>
        <v>317.88330630101785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272.56319999999994</v>
      </c>
      <c r="P92" s="14">
        <f t="shared" si="87"/>
        <v>65.392945522034609</v>
      </c>
      <c r="Q92" s="22">
        <f t="shared" si="54"/>
        <v>588.60695345087686</v>
      </c>
      <c r="R92" s="62">
        <f t="shared" si="55"/>
        <v>881.94028678421023</v>
      </c>
      <c r="S92" s="62">
        <f ca="1">AVERAGE(OFFSET($R$3,0,0,'Données projet'!$E$9+1,1))-AVERAGE(OFFSET($H$3,0,0,'Données projet'!$E$9+1,1))</f>
        <v>476.8965664931755</v>
      </c>
      <c r="T92" s="62">
        <f t="shared" si="88"/>
        <v>254.25036207346591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268.7999999999999</v>
      </c>
      <c r="AJ92" s="14">
        <f>AI92*VLOOKUP('Données projet'!$B$10,Paramètres!$A$1:$I$89,3,0)*VLOOKUP('Données projet'!$B$10,Paramètres!$A$1:$I$89,5,0)</f>
        <v>243.21023999999991</v>
      </c>
      <c r="AK92" s="14">
        <f t="shared" si="89"/>
        <v>59.129694216846737</v>
      </c>
      <c r="AL92" s="22">
        <f t="shared" si="58"/>
        <v>526.57538542767463</v>
      </c>
      <c r="AM92" s="62">
        <f t="shared" si="59"/>
        <v>819.908718761008</v>
      </c>
      <c r="AN92" s="62">
        <f ca="1">AVERAGE(OFFSET($AM$3,0,0,'Données projet'!$E$10+1,1))-AVERAGE(OFFSET($H$3,0,0,'Données projet'!$E$10+1,1))</f>
        <v>430.11660085503223</v>
      </c>
      <c r="AO92" s="62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1.7053025658242404E-13</v>
      </c>
      <c r="BE92" s="14">
        <f>BD92*VLOOKUP('Données projet'!$B$11,Paramètres!$A$1:$I$89,3,0)*VLOOKUP('Données projet'!$B$11,Paramètres!$A$1:$I$89,5,0)</f>
        <v>1.4897523215040567E-13</v>
      </c>
      <c r="BF92" s="14">
        <f t="shared" si="91"/>
        <v>2.136562777003313E-12</v>
      </c>
      <c r="BG92" s="22">
        <f t="shared" si="61"/>
        <v>3.9806453659427267E-12</v>
      </c>
      <c r="BH92" s="62">
        <f t="shared" si="62"/>
        <v>293.33333333333729</v>
      </c>
      <c r="BI92" s="62">
        <f ca="1">AVERAGE(OFFSET($BH$3,0,0,'Données projet'!$E$11+1,1))-AVERAGE(OFFSET($H$3,0,0,'Données projet'!$E$11+1,1))</f>
        <v>346.7910845218741</v>
      </c>
      <c r="BJ92" s="62">
        <f t="shared" si="92"/>
        <v>469.89734899725369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-6.7984728957526396E-14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207.59954777160192</v>
      </c>
      <c r="CE92" s="62">
        <f t="shared" si="94"/>
        <v>314.81017053732063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1.1401626130458071</v>
      </c>
      <c r="CL92" s="23">
        <f>EXP(-LN(2)/25)*CL91+(1-EXP(-LN(2)/25))/(LN(2)/25)*Calculateur!CG92*Calculateur!CI92*VLOOKUP('Données projet'!$B$12,Paramètres!$A$1:$I$89,3,0)*0.475*44/12</f>
        <v>1.0424216984851178</v>
      </c>
      <c r="CM92" s="23">
        <f>EXP(-LN(2)/2)*CM91+(1-EXP(-LN(2)/2))/(LN(2)/2)*CG92*CJ92*VLOOKUP('Données projet'!$B$12,Paramètres!$A$1:$I$89,3,0)*0.475*44/12</f>
        <v>9.0698730855254349E-9</v>
      </c>
      <c r="CN92" s="24">
        <f t="shared" si="66"/>
        <v>2.1825843206007982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3.4106051316484809E-13</v>
      </c>
      <c r="CU92" s="18">
        <f>CT92*VLOOKUP('Données projet'!$B$13,Paramètres!$A$1:$I$89,3,0)*VLOOKUP('Données projet'!$B$13,Paramètres!$A$1:$I$89,5,0)</f>
        <v>2.5006556825246659E-13</v>
      </c>
      <c r="CV92" s="14">
        <f t="shared" si="95"/>
        <v>3.3765445850268018E-12</v>
      </c>
      <c r="CW92" s="22">
        <f t="shared" si="67"/>
        <v>6.3163460169613921E-12</v>
      </c>
      <c r="CX92" s="62">
        <f t="shared" si="68"/>
        <v>293.33333333333962</v>
      </c>
      <c r="CY92" s="62">
        <f ca="1">AVERAGE(OFFSET($CX$3,0,0,'Données projet'!$E$13+1,1))-AVERAGE(OFFSET($H$3,0,0,'Données projet'!$E$13+1,1))</f>
        <v>290.68086183422963</v>
      </c>
      <c r="CZ92" s="62">
        <f t="shared" si="96"/>
        <v>317.88330630101785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277.8359999999999</v>
      </c>
      <c r="P93" s="14">
        <f t="shared" si="87"/>
        <v>66.509487177652318</v>
      </c>
      <c r="Q93" s="22">
        <f t="shared" si="54"/>
        <v>599.73505683441101</v>
      </c>
      <c r="R93" s="62">
        <f t="shared" si="55"/>
        <v>893.06839016774438</v>
      </c>
      <c r="S93" s="62">
        <f ca="1">AVERAGE(OFFSET($R$3,0,0,'Données projet'!$E$9+1,1))-AVERAGE(OFFSET($H$3,0,0,'Données projet'!$E$9+1,1))</f>
        <v>476.8965664931755</v>
      </c>
      <c r="T93" s="62">
        <f t="shared" si="88"/>
        <v>254.25036207346591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273.99999999999989</v>
      </c>
      <c r="AJ93" s="14">
        <f>AI93*VLOOKUP('Données projet'!$B$10,Paramètres!$A$1:$I$89,3,0)*VLOOKUP('Données projet'!$B$10,Paramètres!$A$1:$I$89,5,0)</f>
        <v>247.91519999999991</v>
      </c>
      <c r="AK93" s="14">
        <f t="shared" si="89"/>
        <v>60.139294964297406</v>
      </c>
      <c r="AL93" s="22">
        <f t="shared" si="58"/>
        <v>536.52824539615108</v>
      </c>
      <c r="AM93" s="62">
        <f t="shared" si="59"/>
        <v>829.86157872948434</v>
      </c>
      <c r="AN93" s="62">
        <f ca="1">AVERAGE(OFFSET($AM$3,0,0,'Données projet'!$E$10+1,1))-AVERAGE(OFFSET($H$3,0,0,'Données projet'!$E$10+1,1))</f>
        <v>430.11660085503223</v>
      </c>
      <c r="AO93" s="62">
        <f t="shared" si="90"/>
        <v>231.36959598460686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1.7053025658242404E-13</v>
      </c>
      <c r="BE93" s="14">
        <f>BD93*VLOOKUP('Données projet'!$B$11,Paramètres!$A$1:$I$89,3,0)*VLOOKUP('Données projet'!$B$11,Paramètres!$A$1:$I$89,5,0)</f>
        <v>1.4897523215040567E-13</v>
      </c>
      <c r="BF93" s="14">
        <f t="shared" si="91"/>
        <v>2.136562777003313E-12</v>
      </c>
      <c r="BG93" s="22">
        <f t="shared" si="61"/>
        <v>3.9806453659427267E-12</v>
      </c>
      <c r="BH93" s="62">
        <f t="shared" si="62"/>
        <v>293.33333333333729</v>
      </c>
      <c r="BI93" s="62">
        <f ca="1">AVERAGE(OFFSET($BH$3,0,0,'Données projet'!$E$11+1,1))-AVERAGE(OFFSET($H$3,0,0,'Données projet'!$E$11+1,1))</f>
        <v>346.7910845218741</v>
      </c>
      <c r="BJ93" s="62">
        <f t="shared" si="92"/>
        <v>469.89734899725369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-6.7984728957526396E-14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207.59954777160192</v>
      </c>
      <c r="CE93" s="62">
        <f t="shared" si="94"/>
        <v>314.81017053732063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1.1178047196345047</v>
      </c>
      <c r="CL93" s="23">
        <f>EXP(-LN(2)/25)*CL92+(1-EXP(-LN(2)/25))/(LN(2)/25)*Calculateur!CG93*Calculateur!CI93*VLOOKUP('Données projet'!$B$12,Paramètres!$A$1:$I$89,3,0)*0.475*44/12</f>
        <v>1.0139166223214675</v>
      </c>
      <c r="CM93" s="23">
        <f>EXP(-LN(2)/2)*CM92+(1-EXP(-LN(2)/2))/(LN(2)/2)*CG93*CJ93*VLOOKUP('Données projet'!$B$12,Paramètres!$A$1:$I$89,3,0)*0.475*44/12</f>
        <v>6.4133687632763905E-9</v>
      </c>
      <c r="CN93" s="24">
        <f t="shared" si="66"/>
        <v>2.1317213483693411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3.4106051316484809E-13</v>
      </c>
      <c r="CU93" s="18">
        <f>CT93*VLOOKUP('Données projet'!$B$13,Paramètres!$A$1:$I$89,3,0)*VLOOKUP('Données projet'!$B$13,Paramètres!$A$1:$I$89,5,0)</f>
        <v>2.5006556825246659E-13</v>
      </c>
      <c r="CV93" s="14">
        <f t="shared" si="95"/>
        <v>3.3765445850268018E-12</v>
      </c>
      <c r="CW93" s="22">
        <f t="shared" si="67"/>
        <v>6.3163460169613921E-12</v>
      </c>
      <c r="CX93" s="62">
        <f t="shared" si="68"/>
        <v>293.33333333333962</v>
      </c>
      <c r="CY93" s="62">
        <f ca="1">AVERAGE(OFFSET($CX$3,0,0,'Données projet'!$E$13+1,1))-AVERAGE(OFFSET($H$3,0,0,'Données projet'!$E$13+1,1))</f>
        <v>290.68086183422963</v>
      </c>
      <c r="CZ93" s="62">
        <f t="shared" si="96"/>
        <v>317.88330630101785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283.10879999999992</v>
      </c>
      <c r="P94" s="14">
        <f t="shared" si="87"/>
        <v>67.623564901653808</v>
      </c>
      <c r="Q94" s="22">
        <f t="shared" si="54"/>
        <v>610.85886887038021</v>
      </c>
      <c r="R94" s="62">
        <f t="shared" si="55"/>
        <v>904.19220220371358</v>
      </c>
      <c r="S94" s="62">
        <f ca="1">AVERAGE(OFFSET($R$3,0,0,'Données projet'!$E$9+1,1))-AVERAGE(OFFSET($H$3,0,0,'Données projet'!$E$9+1,1))</f>
        <v>476.8965664931755</v>
      </c>
      <c r="T94" s="62">
        <f t="shared" si="88"/>
        <v>254.25036207346591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279.19999999999987</v>
      </c>
      <c r="AJ94" s="14">
        <f>AI94*VLOOKUP('Données projet'!$B$10,Paramètres!$A$1:$I$89,3,0)*VLOOKUP('Données projet'!$B$10,Paramètres!$A$1:$I$89,5,0)</f>
        <v>252.62015999999988</v>
      </c>
      <c r="AK94" s="14">
        <f t="shared" si="89"/>
        <v>61.14666777229877</v>
      </c>
      <c r="AL94" s="22">
        <f t="shared" si="58"/>
        <v>546.47722503675345</v>
      </c>
      <c r="AM94" s="62">
        <f t="shared" si="59"/>
        <v>839.81055837008671</v>
      </c>
      <c r="AN94" s="62">
        <f ca="1">AVERAGE(OFFSET($AM$3,0,0,'Données projet'!$E$10+1,1))-AVERAGE(OFFSET($H$3,0,0,'Données projet'!$E$10+1,1))</f>
        <v>430.11660085503223</v>
      </c>
      <c r="AO94" s="62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1.7053025658242404E-13</v>
      </c>
      <c r="BE94" s="14">
        <f>BD94*VLOOKUP('Données projet'!$B$11,Paramètres!$A$1:$I$89,3,0)*VLOOKUP('Données projet'!$B$11,Paramètres!$A$1:$I$89,5,0)</f>
        <v>1.4897523215040567E-13</v>
      </c>
      <c r="BF94" s="14">
        <f t="shared" si="91"/>
        <v>2.136562777003313E-12</v>
      </c>
      <c r="BG94" s="22">
        <f t="shared" si="61"/>
        <v>3.9806453659427267E-12</v>
      </c>
      <c r="BH94" s="62">
        <f t="shared" si="62"/>
        <v>293.33333333333729</v>
      </c>
      <c r="BI94" s="62">
        <f ca="1">AVERAGE(OFFSET($BH$3,0,0,'Données projet'!$E$11+1,1))-AVERAGE(OFFSET($H$3,0,0,'Données projet'!$E$11+1,1))</f>
        <v>346.7910845218741</v>
      </c>
      <c r="BJ94" s="62">
        <f t="shared" si="92"/>
        <v>469.89734899725369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-6.7984728957526396E-14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207.59954777160192</v>
      </c>
      <c r="CE94" s="62">
        <f t="shared" si="94"/>
        <v>314.81017053732063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1.0958852508760295</v>
      </c>
      <c r="CL94" s="23">
        <f>EXP(-LN(2)/25)*CL93+(1-EXP(-LN(2)/25))/(LN(2)/25)*Calculateur!CG94*Calculateur!CI94*VLOOKUP('Données projet'!$B$12,Paramètres!$A$1:$I$89,3,0)*0.475*44/12</f>
        <v>0.9861910189645291</v>
      </c>
      <c r="CM94" s="23">
        <f>EXP(-LN(2)/2)*CM93+(1-EXP(-LN(2)/2))/(LN(2)/2)*CG94*CJ94*VLOOKUP('Données projet'!$B$12,Paramètres!$A$1:$I$89,3,0)*0.475*44/12</f>
        <v>4.5349365427627174E-9</v>
      </c>
      <c r="CN94" s="24">
        <f t="shared" si="66"/>
        <v>2.082076274375495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3.4106051316484809E-13</v>
      </c>
      <c r="CU94" s="18">
        <f>CT94*VLOOKUP('Données projet'!$B$13,Paramètres!$A$1:$I$89,3,0)*VLOOKUP('Données projet'!$B$13,Paramètres!$A$1:$I$89,5,0)</f>
        <v>2.5006556825246659E-13</v>
      </c>
      <c r="CV94" s="14">
        <f t="shared" si="95"/>
        <v>3.3765445850268018E-12</v>
      </c>
      <c r="CW94" s="22">
        <f t="shared" si="67"/>
        <v>6.3163460169613921E-12</v>
      </c>
      <c r="CX94" s="62">
        <f t="shared" si="68"/>
        <v>293.33333333333962</v>
      </c>
      <c r="CY94" s="62">
        <f ca="1">AVERAGE(OFFSET($CX$3,0,0,'Données projet'!$E$13+1,1))-AVERAGE(OFFSET($H$3,0,0,'Données projet'!$E$13+1,1))</f>
        <v>290.68086183422963</v>
      </c>
      <c r="CZ94" s="62">
        <f t="shared" si="96"/>
        <v>317.88330630101785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288.38159999999988</v>
      </c>
      <c r="P95" s="14">
        <f t="shared" si="87"/>
        <v>68.735229875936611</v>
      </c>
      <c r="Q95" s="22">
        <f t="shared" si="54"/>
        <v>621.97847870058933</v>
      </c>
      <c r="R95" s="62">
        <f t="shared" si="55"/>
        <v>915.31181203392271</v>
      </c>
      <c r="S95" s="62">
        <f ca="1">AVERAGE(OFFSET($R$3,0,0,'Données projet'!$E$9+1,1))-AVERAGE(OFFSET($H$3,0,0,'Données projet'!$E$9+1,1))</f>
        <v>476.8965664931755</v>
      </c>
      <c r="T95" s="62">
        <f t="shared" si="88"/>
        <v>254.25036207346591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284.39999999999986</v>
      </c>
      <c r="AJ95" s="14">
        <f>AI95*VLOOKUP('Données projet'!$B$10,Paramètres!$A$1:$I$89,3,0)*VLOOKUP('Données projet'!$B$10,Paramètres!$A$1:$I$89,5,0)</f>
        <v>257.32511999999986</v>
      </c>
      <c r="AK95" s="14">
        <f t="shared" si="89"/>
        <v>62.151858920612646</v>
      </c>
      <c r="AL95" s="22">
        <f t="shared" si="58"/>
        <v>556.42240495340013</v>
      </c>
      <c r="AM95" s="62">
        <f t="shared" si="59"/>
        <v>849.7557382867335</v>
      </c>
      <c r="AN95" s="62">
        <f ca="1">AVERAGE(OFFSET($AM$3,0,0,'Données projet'!$E$10+1,1))-AVERAGE(OFFSET($H$3,0,0,'Données projet'!$E$10+1,1))</f>
        <v>430.11660085503223</v>
      </c>
      <c r="AO95" s="62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1.7053025658242404E-13</v>
      </c>
      <c r="BE95" s="14">
        <f>BD95*VLOOKUP('Données projet'!$B$11,Paramètres!$A$1:$I$89,3,0)*VLOOKUP('Données projet'!$B$11,Paramètres!$A$1:$I$89,5,0)</f>
        <v>1.4897523215040567E-13</v>
      </c>
      <c r="BF95" s="14">
        <f t="shared" si="91"/>
        <v>2.136562777003313E-12</v>
      </c>
      <c r="BG95" s="22">
        <f t="shared" si="61"/>
        <v>3.9806453659427267E-12</v>
      </c>
      <c r="BH95" s="62">
        <f t="shared" si="62"/>
        <v>293.33333333333729</v>
      </c>
      <c r="BI95" s="62">
        <f ca="1">AVERAGE(OFFSET($BH$3,0,0,'Données projet'!$E$11+1,1))-AVERAGE(OFFSET($H$3,0,0,'Données projet'!$E$11+1,1))</f>
        <v>346.7910845218741</v>
      </c>
      <c r="BJ95" s="62">
        <f t="shared" si="92"/>
        <v>469.89734899725369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-6.7984728957526396E-14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207.59954777160192</v>
      </c>
      <c r="CE95" s="62">
        <f t="shared" si="94"/>
        <v>314.81017053732063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1.0743956095303522</v>
      </c>
      <c r="CL95" s="23">
        <f>EXP(-LN(2)/25)*CL94+(1-EXP(-LN(2)/25))/(LN(2)/25)*Calculateur!CG95*Calculateur!CI95*VLOOKUP('Données projet'!$B$12,Paramètres!$A$1:$I$89,3,0)*0.475*44/12</f>
        <v>0.95922357368941236</v>
      </c>
      <c r="CM95" s="23">
        <f>EXP(-LN(2)/2)*CM94+(1-EXP(-LN(2)/2))/(LN(2)/2)*CG95*CJ95*VLOOKUP('Données projet'!$B$12,Paramètres!$A$1:$I$89,3,0)*0.475*44/12</f>
        <v>3.2066843816381952E-9</v>
      </c>
      <c r="CN95" s="24">
        <f t="shared" si="66"/>
        <v>2.0336191864264488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3.4106051316484809E-13</v>
      </c>
      <c r="CU95" s="18">
        <f>CT95*VLOOKUP('Données projet'!$B$13,Paramètres!$A$1:$I$89,3,0)*VLOOKUP('Données projet'!$B$13,Paramètres!$A$1:$I$89,5,0)</f>
        <v>2.5006556825246659E-13</v>
      </c>
      <c r="CV95" s="14">
        <f t="shared" si="95"/>
        <v>3.3765445850268018E-12</v>
      </c>
      <c r="CW95" s="22">
        <f t="shared" si="67"/>
        <v>6.3163460169613921E-12</v>
      </c>
      <c r="CX95" s="62">
        <f t="shared" si="68"/>
        <v>293.33333333333962</v>
      </c>
      <c r="CY95" s="62">
        <f ca="1">AVERAGE(OFFSET($CX$3,0,0,'Données projet'!$E$13+1,1))-AVERAGE(OFFSET($H$3,0,0,'Données projet'!$E$13+1,1))</f>
        <v>290.68086183422963</v>
      </c>
      <c r="CZ95" s="62">
        <f t="shared" si="96"/>
        <v>317.88330630101785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293.6543999999999</v>
      </c>
      <c r="P96" s="14">
        <f t="shared" si="87"/>
        <v>69.844531303614474</v>
      </c>
      <c r="Q96" s="22">
        <f t="shared" si="54"/>
        <v>633.09397202046159</v>
      </c>
      <c r="R96" s="62">
        <f t="shared" si="55"/>
        <v>926.42730535379496</v>
      </c>
      <c r="S96" s="62">
        <f ca="1">AVERAGE(OFFSET($R$3,0,0,'Données projet'!$E$9+1,1))-AVERAGE(OFFSET($H$3,0,0,'Données projet'!$E$9+1,1))</f>
        <v>476.8965664931755</v>
      </c>
      <c r="T96" s="62">
        <f t="shared" si="88"/>
        <v>254.25036207346591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289.59999999999985</v>
      </c>
      <c r="AJ96" s="14">
        <f>AI96*VLOOKUP('Données projet'!$B$10,Paramètres!$A$1:$I$89,3,0)*VLOOKUP('Données projet'!$B$10,Paramètres!$A$1:$I$89,5,0)</f>
        <v>262.03007999999988</v>
      </c>
      <c r="AK96" s="14">
        <f t="shared" si="89"/>
        <v>63.154912899742584</v>
      </c>
      <c r="AL96" s="22">
        <f t="shared" si="58"/>
        <v>566.3638626337181</v>
      </c>
      <c r="AM96" s="62">
        <f t="shared" si="59"/>
        <v>859.69719596705136</v>
      </c>
      <c r="AN96" s="62">
        <f ca="1">AVERAGE(OFFSET($AM$3,0,0,'Données projet'!$E$10+1,1))-AVERAGE(OFFSET($H$3,0,0,'Données projet'!$E$10+1,1))</f>
        <v>430.11660085503223</v>
      </c>
      <c r="AO96" s="62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1.7053025658242404E-13</v>
      </c>
      <c r="BE96" s="14">
        <f>BD96*VLOOKUP('Données projet'!$B$11,Paramètres!$A$1:$I$89,3,0)*VLOOKUP('Données projet'!$B$11,Paramètres!$A$1:$I$89,5,0)</f>
        <v>1.4897523215040567E-13</v>
      </c>
      <c r="BF96" s="14">
        <f t="shared" si="91"/>
        <v>2.136562777003313E-12</v>
      </c>
      <c r="BG96" s="22">
        <f t="shared" si="61"/>
        <v>3.9806453659427267E-12</v>
      </c>
      <c r="BH96" s="62">
        <f t="shared" si="62"/>
        <v>293.33333333333729</v>
      </c>
      <c r="BI96" s="62">
        <f ca="1">AVERAGE(OFFSET($BH$3,0,0,'Données projet'!$E$11+1,1))-AVERAGE(OFFSET($H$3,0,0,'Données projet'!$E$11+1,1))</f>
        <v>346.7910845218741</v>
      </c>
      <c r="BJ96" s="62">
        <f t="shared" si="92"/>
        <v>469.89734899725369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-6.7984728957526396E-14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207.59954777160192</v>
      </c>
      <c r="CE96" s="62">
        <f t="shared" si="94"/>
        <v>314.81017053732063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1.0533273669440766</v>
      </c>
      <c r="CL96" s="23">
        <f>EXP(-LN(2)/25)*CL95+(1-EXP(-LN(2)/25))/(LN(2)/25)*Calculateur!CG96*Calculateur!CI96*VLOOKUP('Données projet'!$B$12,Paramètres!$A$1:$I$89,3,0)*0.475*44/12</f>
        <v>0.93299355462349998</v>
      </c>
      <c r="CM96" s="23">
        <f>EXP(-LN(2)/2)*CM95+(1-EXP(-LN(2)/2))/(LN(2)/2)*CG96*CJ96*VLOOKUP('Données projet'!$B$12,Paramètres!$A$1:$I$89,3,0)*0.475*44/12</f>
        <v>2.2674682713813587E-9</v>
      </c>
      <c r="CN96" s="24">
        <f t="shared" si="66"/>
        <v>1.9863209238350448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3.4106051316484809E-13</v>
      </c>
      <c r="CU96" s="18">
        <f>CT96*VLOOKUP('Données projet'!$B$13,Paramètres!$A$1:$I$89,3,0)*VLOOKUP('Données projet'!$B$13,Paramètres!$A$1:$I$89,5,0)</f>
        <v>2.5006556825246659E-13</v>
      </c>
      <c r="CV96" s="14">
        <f t="shared" si="95"/>
        <v>3.3765445850268018E-12</v>
      </c>
      <c r="CW96" s="22">
        <f t="shared" si="67"/>
        <v>6.3163460169613921E-12</v>
      </c>
      <c r="CX96" s="62">
        <f t="shared" si="68"/>
        <v>293.33333333333962</v>
      </c>
      <c r="CY96" s="62">
        <f ca="1">AVERAGE(OFFSET($CX$3,0,0,'Données projet'!$E$13+1,1))-AVERAGE(OFFSET($H$3,0,0,'Données projet'!$E$13+1,1))</f>
        <v>290.68086183422963</v>
      </c>
      <c r="CZ96" s="62">
        <f t="shared" si="96"/>
        <v>317.88330630101785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298.92719999999986</v>
      </c>
      <c r="P97" s="14">
        <f t="shared" si="87"/>
        <v>70.95151651965358</v>
      </c>
      <c r="Q97" s="22">
        <f t="shared" si="54"/>
        <v>644.20543127172971</v>
      </c>
      <c r="R97" s="62">
        <f t="shared" si="55"/>
        <v>937.53876460506308</v>
      </c>
      <c r="S97" s="62">
        <f ca="1">AVERAGE(OFFSET($R$3,0,0,'Données projet'!$E$9+1,1))-AVERAGE(OFFSET($H$3,0,0,'Données projet'!$E$9+1,1))</f>
        <v>476.8965664931755</v>
      </c>
      <c r="T97" s="62">
        <f t="shared" si="88"/>
        <v>254.25036207346591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294.79999999999984</v>
      </c>
      <c r="AJ97" s="14">
        <f>AI97*VLOOKUP('Données projet'!$B$10,Paramètres!$A$1:$I$89,3,0)*VLOOKUP('Données projet'!$B$10,Paramètres!$A$1:$I$89,5,0)</f>
        <v>266.73503999999986</v>
      </c>
      <c r="AK97" s="14">
        <f t="shared" si="89"/>
        <v>64.155872510973225</v>
      </c>
      <c r="AL97" s="22">
        <f t="shared" si="58"/>
        <v>576.30167262327802</v>
      </c>
      <c r="AM97" s="62">
        <f t="shared" si="59"/>
        <v>869.63500595661139</v>
      </c>
      <c r="AN97" s="62">
        <f ca="1">AVERAGE(OFFSET($AM$3,0,0,'Données projet'!$E$10+1,1))-AVERAGE(OFFSET($H$3,0,0,'Données projet'!$E$10+1,1))</f>
        <v>430.11660085503223</v>
      </c>
      <c r="AO97" s="62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1.7053025658242404E-13</v>
      </c>
      <c r="BE97" s="14">
        <f>BD97*VLOOKUP('Données projet'!$B$11,Paramètres!$A$1:$I$89,3,0)*VLOOKUP('Données projet'!$B$11,Paramètres!$A$1:$I$89,5,0)</f>
        <v>1.4897523215040567E-13</v>
      </c>
      <c r="BF97" s="14">
        <f t="shared" si="91"/>
        <v>2.136562777003313E-12</v>
      </c>
      <c r="BG97" s="22">
        <f t="shared" si="61"/>
        <v>3.9806453659427267E-12</v>
      </c>
      <c r="BH97" s="62">
        <f t="shared" si="62"/>
        <v>293.33333333333729</v>
      </c>
      <c r="BI97" s="62">
        <f ca="1">AVERAGE(OFFSET($BH$3,0,0,'Données projet'!$E$11+1,1))-AVERAGE(OFFSET($H$3,0,0,'Données projet'!$E$11+1,1))</f>
        <v>346.7910845218741</v>
      </c>
      <c r="BJ97" s="62">
        <f t="shared" si="92"/>
        <v>469.89734899725369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-6.7984728957526396E-14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207.59954777160192</v>
      </c>
      <c r="CE97" s="62">
        <f t="shared" si="94"/>
        <v>314.81017053732063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1.0326722597445588</v>
      </c>
      <c r="CL97" s="23">
        <f>EXP(-LN(2)/25)*CL96+(1-EXP(-LN(2)/25))/(LN(2)/25)*Calculateur!CG97*Calculateur!CI97*VLOOKUP('Données projet'!$B$12,Paramètres!$A$1:$I$89,3,0)*0.475*44/12</f>
        <v>0.90748079680832172</v>
      </c>
      <c r="CM97" s="23">
        <f>EXP(-LN(2)/2)*CM96+(1-EXP(-LN(2)/2))/(LN(2)/2)*CG97*CJ97*VLOOKUP('Données projet'!$B$12,Paramètres!$A$1:$I$89,3,0)*0.475*44/12</f>
        <v>1.6033421908190976E-9</v>
      </c>
      <c r="CN97" s="24">
        <f t="shared" si="66"/>
        <v>1.9401530581562227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3.4106051316484809E-13</v>
      </c>
      <c r="CU97" s="18">
        <f>CT97*VLOOKUP('Données projet'!$B$13,Paramètres!$A$1:$I$89,3,0)*VLOOKUP('Données projet'!$B$13,Paramètres!$A$1:$I$89,5,0)</f>
        <v>2.5006556825246659E-13</v>
      </c>
      <c r="CV97" s="14">
        <f t="shared" si="95"/>
        <v>3.3765445850268018E-12</v>
      </c>
      <c r="CW97" s="22">
        <f t="shared" si="67"/>
        <v>6.3163460169613921E-12</v>
      </c>
      <c r="CX97" s="62">
        <f t="shared" si="68"/>
        <v>293.33333333333962</v>
      </c>
      <c r="CY97" s="62">
        <f ca="1">AVERAGE(OFFSET($CX$3,0,0,'Données projet'!$E$13+1,1))-AVERAGE(OFFSET($H$3,0,0,'Données projet'!$E$13+1,1))</f>
        <v>290.68086183422963</v>
      </c>
      <c r="CZ97" s="62">
        <f t="shared" si="96"/>
        <v>317.88330630101785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304.19999999999982</v>
      </c>
      <c r="P98" s="14">
        <f t="shared" si="87"/>
        <v>72.056231093481074</v>
      </c>
      <c r="Q98" s="22">
        <f t="shared" si="54"/>
        <v>655.31293582114586</v>
      </c>
      <c r="R98" s="62">
        <f t="shared" si="55"/>
        <v>948.64626915447911</v>
      </c>
      <c r="S98" s="62">
        <f ca="1">AVERAGE(OFFSET($R$3,0,0,'Données projet'!$E$9+1,1))-AVERAGE(OFFSET($H$3,0,0,'Données projet'!$E$9+1,1))</f>
        <v>476.8965664931755</v>
      </c>
      <c r="T98" s="62">
        <f t="shared" si="88"/>
        <v>254.25036207346591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299.99999999999983</v>
      </c>
      <c r="AJ98" s="14">
        <f>AI98*VLOOKUP('Données projet'!$B$10,Paramètres!$A$1:$I$89,3,0)*VLOOKUP('Données projet'!$B$10,Paramètres!$A$1:$I$89,5,0)</f>
        <v>271.43999999999983</v>
      </c>
      <c r="AK98" s="14">
        <f t="shared" si="89"/>
        <v>65.154778959151173</v>
      </c>
      <c r="AL98" s="22">
        <f t="shared" si="58"/>
        <v>586.23590668718793</v>
      </c>
      <c r="AM98" s="62">
        <f t="shared" si="59"/>
        <v>879.56924002052119</v>
      </c>
      <c r="AN98" s="62">
        <f ca="1">AVERAGE(OFFSET($AM$3,0,0,'Données projet'!$E$10+1,1))-AVERAGE(OFFSET($H$3,0,0,'Données projet'!$E$10+1,1))</f>
        <v>430.11660085503223</v>
      </c>
      <c r="AO98" s="62">
        <f t="shared" si="90"/>
        <v>231.36959598460686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1.7053025658242404E-13</v>
      </c>
      <c r="BE98" s="14">
        <f>BD98*VLOOKUP('Données projet'!$B$11,Paramètres!$A$1:$I$89,3,0)*VLOOKUP('Données projet'!$B$11,Paramètres!$A$1:$I$89,5,0)</f>
        <v>1.4897523215040567E-13</v>
      </c>
      <c r="BF98" s="14">
        <f t="shared" si="91"/>
        <v>2.136562777003313E-12</v>
      </c>
      <c r="BG98" s="22">
        <f t="shared" si="61"/>
        <v>3.9806453659427267E-12</v>
      </c>
      <c r="BH98" s="62">
        <f t="shared" si="62"/>
        <v>293.33333333333729</v>
      </c>
      <c r="BI98" s="62">
        <f ca="1">AVERAGE(OFFSET($BH$3,0,0,'Données projet'!$E$11+1,1))-AVERAGE(OFFSET($H$3,0,0,'Données projet'!$E$11+1,1))</f>
        <v>346.7910845218741</v>
      </c>
      <c r="BJ98" s="62">
        <f t="shared" si="92"/>
        <v>469.89734899725369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-6.7984728957526396E-14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207.59954777160192</v>
      </c>
      <c r="CE98" s="62">
        <f t="shared" si="94"/>
        <v>314.81017053732063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1.0124221865988521</v>
      </c>
      <c r="CL98" s="23">
        <f>EXP(-LN(2)/25)*CL97+(1-EXP(-LN(2)/25))/(LN(2)/25)*Calculateur!CG98*Calculateur!CI98*VLOOKUP('Données projet'!$B$12,Paramètres!$A$1:$I$89,3,0)*0.475*44/12</f>
        <v>0.88266568669725709</v>
      </c>
      <c r="CM98" s="23">
        <f>EXP(-LN(2)/2)*CM97+(1-EXP(-LN(2)/2))/(LN(2)/2)*CG98*CJ98*VLOOKUP('Données projet'!$B$12,Paramètres!$A$1:$I$89,3,0)*0.475*44/12</f>
        <v>1.1337341356906794E-9</v>
      </c>
      <c r="CN98" s="24">
        <f t="shared" si="66"/>
        <v>1.8950878744298434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3.4106051316484809E-13</v>
      </c>
      <c r="CU98" s="18">
        <f>CT98*VLOOKUP('Données projet'!$B$13,Paramètres!$A$1:$I$89,3,0)*VLOOKUP('Données projet'!$B$13,Paramètres!$A$1:$I$89,5,0)</f>
        <v>2.5006556825246659E-13</v>
      </c>
      <c r="CV98" s="14">
        <f t="shared" si="95"/>
        <v>3.3765445850268018E-12</v>
      </c>
      <c r="CW98" s="22">
        <f t="shared" si="67"/>
        <v>6.3163460169613921E-12</v>
      </c>
      <c r="CX98" s="62">
        <f t="shared" si="68"/>
        <v>293.33333333333962</v>
      </c>
      <c r="CY98" s="62">
        <f ca="1">AVERAGE(OFFSET($CX$3,0,0,'Données projet'!$E$13+1,1))-AVERAGE(OFFSET($H$3,0,0,'Données projet'!$E$13+1,1))</f>
        <v>290.68086183422963</v>
      </c>
      <c r="CZ98" s="62">
        <f t="shared" si="96"/>
        <v>317.88330630101785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266.37779999999981</v>
      </c>
      <c r="P99" s="14">
        <f t="shared" si="87"/>
        <v>64.079943804672666</v>
      </c>
      <c r="Q99" s="22">
        <f t="shared" ref="Q99:Q130" si="107">(O99+P99)*0.475*44/12</f>
        <v>575.54723712647126</v>
      </c>
      <c r="R99" s="62">
        <f t="shared" si="55"/>
        <v>868.88057045980463</v>
      </c>
      <c r="S99" s="62">
        <f ca="1">AVERAGE(OFFSET($R$3,0,0,'Données projet'!$E$9+1,1))-AVERAGE(OFFSET($H$3,0,0,'Données projet'!$E$9+1,1))</f>
        <v>476.8965664931755</v>
      </c>
      <c r="T99" s="62">
        <f t="shared" si="88"/>
        <v>254.25036207346591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262.69999999999982</v>
      </c>
      <c r="AJ99" s="14">
        <f>AI99*VLOOKUP('Données projet'!$B$10,Paramètres!$A$1:$I$89,3,0)*VLOOKUP('Données projet'!$B$10,Paramètres!$A$1:$I$89,5,0)</f>
        <v>237.69095999999982</v>
      </c>
      <c r="AK99" s="14">
        <f t="shared" si="89"/>
        <v>57.942450096949393</v>
      </c>
      <c r="AL99" s="22">
        <f t="shared" si="58"/>
        <v>514.89485591885318</v>
      </c>
      <c r="AM99" s="62">
        <f t="shared" si="59"/>
        <v>808.22818925218644</v>
      </c>
      <c r="AN99" s="62">
        <f ca="1">AVERAGE(OFFSET($AM$3,0,0,'Données projet'!$E$10+1,1))-AVERAGE(OFFSET($H$3,0,0,'Données projet'!$E$10+1,1))</f>
        <v>430.11660085503223</v>
      </c>
      <c r="AO99" s="62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1.7053025658242404E-13</v>
      </c>
      <c r="BE99" s="14">
        <f>BD99*VLOOKUP('Données projet'!$B$11,Paramètres!$A$1:$I$89,3,0)*VLOOKUP('Données projet'!$B$11,Paramètres!$A$1:$I$89,5,0)</f>
        <v>1.4897523215040567E-13</v>
      </c>
      <c r="BF99" s="14">
        <f t="shared" si="91"/>
        <v>2.136562777003313E-12</v>
      </c>
      <c r="BG99" s="22">
        <f t="shared" si="61"/>
        <v>3.9806453659427267E-12</v>
      </c>
      <c r="BH99" s="62">
        <f t="shared" si="62"/>
        <v>293.33333333333729</v>
      </c>
      <c r="BI99" s="62">
        <f ca="1">AVERAGE(OFFSET($BH$3,0,0,'Données projet'!$E$11+1,1))-AVERAGE(OFFSET($H$3,0,0,'Données projet'!$E$11+1,1))</f>
        <v>346.7910845218741</v>
      </c>
      <c r="BJ99" s="62">
        <f t="shared" si="92"/>
        <v>469.89734899725369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-6.7984728957526396E-14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207.59954777160192</v>
      </c>
      <c r="CE99" s="62">
        <f t="shared" si="94"/>
        <v>314.81017053732063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0.99256920503620771</v>
      </c>
      <c r="CL99" s="23">
        <f>EXP(-LN(2)/25)*CL98+(1-EXP(-LN(2)/25))/(LN(2)/25)*Calculateur!CG99*Calculateur!CI99*VLOOKUP('Données projet'!$B$12,Paramètres!$A$1:$I$89,3,0)*0.475*44/12</f>
        <v>0.85852914707714945</v>
      </c>
      <c r="CM99" s="23">
        <f>EXP(-LN(2)/2)*CM98+(1-EXP(-LN(2)/2))/(LN(2)/2)*CG99*CJ99*VLOOKUP('Données projet'!$B$12,Paramètres!$A$1:$I$89,3,0)*0.475*44/12</f>
        <v>8.0167109540954881E-10</v>
      </c>
      <c r="CN99" s="24">
        <f t="shared" si="66"/>
        <v>1.8510983529150282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3.4106051316484809E-13</v>
      </c>
      <c r="CU99" s="18">
        <f>CT99*VLOOKUP('Données projet'!$B$13,Paramètres!$A$1:$I$89,3,0)*VLOOKUP('Données projet'!$B$13,Paramètres!$A$1:$I$89,5,0)</f>
        <v>2.5006556825246659E-13</v>
      </c>
      <c r="CV99" s="14">
        <f t="shared" si="95"/>
        <v>3.3765445850268018E-12</v>
      </c>
      <c r="CW99" s="22">
        <f t="shared" si="67"/>
        <v>6.3163460169613921E-12</v>
      </c>
      <c r="CX99" s="62">
        <f t="shared" si="68"/>
        <v>293.33333333333962</v>
      </c>
      <c r="CY99" s="62">
        <f ca="1">AVERAGE(OFFSET($CX$3,0,0,'Données projet'!$E$13+1,1))-AVERAGE(OFFSET($H$3,0,0,'Données projet'!$E$13+1,1))</f>
        <v>290.68086183422963</v>
      </c>
      <c r="CZ99" s="62">
        <f t="shared" si="96"/>
        <v>317.88330630101785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271.14359999999982</v>
      </c>
      <c r="P100" s="14">
        <f t="shared" si="87"/>
        <v>65.091910336447413</v>
      </c>
      <c r="Q100" s="22">
        <f t="shared" si="107"/>
        <v>585.61018050264568</v>
      </c>
      <c r="R100" s="62">
        <f t="shared" si="55"/>
        <v>878.94351383597905</v>
      </c>
      <c r="S100" s="62">
        <f ca="1">AVERAGE(OFFSET($R$3,0,0,'Données projet'!$E$9+1,1))-AVERAGE(OFFSET($H$3,0,0,'Données projet'!$E$9+1,1))</f>
        <v>476.8965664931755</v>
      </c>
      <c r="T100" s="62">
        <f t="shared" si="88"/>
        <v>254.25036207346591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267.39999999999981</v>
      </c>
      <c r="AJ100" s="14">
        <f>AI100*VLOOKUP('Données projet'!$B$10,Paramètres!$A$1:$I$89,3,0)*VLOOKUP('Données projet'!$B$10,Paramètres!$A$1:$I$89,5,0)</f>
        <v>241.94351999999981</v>
      </c>
      <c r="AK100" s="14">
        <f t="shared" si="89"/>
        <v>58.857491789961337</v>
      </c>
      <c r="AL100" s="22">
        <f t="shared" si="58"/>
        <v>523.89509553418225</v>
      </c>
      <c r="AM100" s="62">
        <f t="shared" si="59"/>
        <v>817.2284288675155</v>
      </c>
      <c r="AN100" s="62">
        <f ca="1">AVERAGE(OFFSET($AM$3,0,0,'Données projet'!$E$10+1,1))-AVERAGE(OFFSET($H$3,0,0,'Données projet'!$E$10+1,1))</f>
        <v>430.11660085503223</v>
      </c>
      <c r="AO100" s="62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1.7053025658242404E-13</v>
      </c>
      <c r="BE100" s="14">
        <f>BD100*VLOOKUP('Données projet'!$B$11,Paramètres!$A$1:$I$89,3,0)*VLOOKUP('Données projet'!$B$11,Paramètres!$A$1:$I$89,5,0)</f>
        <v>1.4897523215040567E-13</v>
      </c>
      <c r="BF100" s="14">
        <f t="shared" si="91"/>
        <v>2.136562777003313E-12</v>
      </c>
      <c r="BG100" s="22">
        <f t="shared" si="61"/>
        <v>3.9806453659427267E-12</v>
      </c>
      <c r="BH100" s="62">
        <f t="shared" si="62"/>
        <v>293.33333333333729</v>
      </c>
      <c r="BI100" s="62">
        <f ca="1">AVERAGE(OFFSET($BH$3,0,0,'Données projet'!$E$11+1,1))-AVERAGE(OFFSET($H$3,0,0,'Données projet'!$E$11+1,1))</f>
        <v>346.7910845218741</v>
      </c>
      <c r="BJ100" s="62">
        <f t="shared" si="92"/>
        <v>469.89734899725369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-6.7984728957526396E-14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207.59954777160192</v>
      </c>
      <c r="CE100" s="62">
        <f t="shared" si="94"/>
        <v>314.81017053732063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0.97310552833288377</v>
      </c>
      <c r="CL100" s="23">
        <f>EXP(-LN(2)/25)*CL99+(1-EXP(-LN(2)/25))/(LN(2)/25)*Calculateur!CG100*Calculateur!CI100*VLOOKUP('Données projet'!$B$12,Paramètres!$A$1:$I$89,3,0)*0.475*44/12</f>
        <v>0.8350526224022391</v>
      </c>
      <c r="CM100" s="23">
        <f>EXP(-LN(2)/2)*CM99+(1-EXP(-LN(2)/2))/(LN(2)/2)*CG100*CJ100*VLOOKUP('Données projet'!$B$12,Paramètres!$A$1:$I$89,3,0)*0.475*44/12</f>
        <v>5.6686706784533968E-10</v>
      </c>
      <c r="CN100" s="24">
        <f t="shared" si="66"/>
        <v>1.8081581513019898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3.4106051316484809E-13</v>
      </c>
      <c r="CU100" s="18">
        <f>CT100*VLOOKUP('Données projet'!$B$13,Paramètres!$A$1:$I$89,3,0)*VLOOKUP('Données projet'!$B$13,Paramètres!$A$1:$I$89,5,0)</f>
        <v>2.5006556825246659E-13</v>
      </c>
      <c r="CV100" s="14">
        <f t="shared" si="95"/>
        <v>3.3765445850268018E-12</v>
      </c>
      <c r="CW100" s="22">
        <f t="shared" si="67"/>
        <v>6.3163460169613921E-12</v>
      </c>
      <c r="CX100" s="62">
        <f t="shared" si="68"/>
        <v>293.33333333333962</v>
      </c>
      <c r="CY100" s="62">
        <f ca="1">AVERAGE(OFFSET($CX$3,0,0,'Données projet'!$E$13+1,1))-AVERAGE(OFFSET($H$3,0,0,'Données projet'!$E$13+1,1))</f>
        <v>290.68086183422963</v>
      </c>
      <c r="CZ100" s="62">
        <f t="shared" si="96"/>
        <v>317.88330630101785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275.90939999999978</v>
      </c>
      <c r="P101" s="14">
        <f t="shared" si="87"/>
        <v>66.101808465811018</v>
      </c>
      <c r="Q101" s="22">
        <f t="shared" si="107"/>
        <v>595.66952141128706</v>
      </c>
      <c r="R101" s="62">
        <f t="shared" si="55"/>
        <v>889.00285474462044</v>
      </c>
      <c r="S101" s="62">
        <f ca="1">AVERAGE(OFFSET($R$3,0,0,'Données projet'!$E$9+1,1))-AVERAGE(OFFSET($H$3,0,0,'Données projet'!$E$9+1,1))</f>
        <v>476.8965664931755</v>
      </c>
      <c r="T101" s="62">
        <f t="shared" si="88"/>
        <v>254.25036207346591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272.0999999999998</v>
      </c>
      <c r="AJ101" s="14">
        <f>AI101*VLOOKUP('Données projet'!$B$10,Paramètres!$A$1:$I$89,3,0)*VLOOKUP('Données projet'!$B$10,Paramètres!$A$1:$I$89,5,0)</f>
        <v>246.1960799999998</v>
      </c>
      <c r="AK101" s="14">
        <f t="shared" si="89"/>
        <v>59.770663189456066</v>
      </c>
      <c r="AL101" s="22">
        <f t="shared" si="58"/>
        <v>532.8920777216357</v>
      </c>
      <c r="AM101" s="62">
        <f t="shared" si="59"/>
        <v>826.22541105496907</v>
      </c>
      <c r="AN101" s="62">
        <f ca="1">AVERAGE(OFFSET($AM$3,0,0,'Données projet'!$E$10+1,1))-AVERAGE(OFFSET($H$3,0,0,'Données projet'!$E$10+1,1))</f>
        <v>430.11660085503223</v>
      </c>
      <c r="AO101" s="62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1.7053025658242404E-13</v>
      </c>
      <c r="BE101" s="14">
        <f>BD101*VLOOKUP('Données projet'!$B$11,Paramètres!$A$1:$I$89,3,0)*VLOOKUP('Données projet'!$B$11,Paramètres!$A$1:$I$89,5,0)</f>
        <v>1.4897523215040567E-13</v>
      </c>
      <c r="BF101" s="14">
        <f t="shared" si="91"/>
        <v>2.136562777003313E-12</v>
      </c>
      <c r="BG101" s="22">
        <f t="shared" si="61"/>
        <v>3.9806453659427267E-12</v>
      </c>
      <c r="BH101" s="62">
        <f t="shared" si="62"/>
        <v>293.33333333333729</v>
      </c>
      <c r="BI101" s="62">
        <f ca="1">AVERAGE(OFFSET($BH$3,0,0,'Données projet'!$E$11+1,1))-AVERAGE(OFFSET($H$3,0,0,'Données projet'!$E$11+1,1))</f>
        <v>346.7910845218741</v>
      </c>
      <c r="BJ101" s="62">
        <f t="shared" si="92"/>
        <v>469.89734899725369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-6.7984728957526396E-14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207.59954777160192</v>
      </c>
      <c r="CE101" s="62">
        <f t="shared" si="94"/>
        <v>314.81017053732063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0.95402352245804145</v>
      </c>
      <c r="CL101" s="23">
        <f>EXP(-LN(2)/25)*CL100+(1-EXP(-LN(2)/25))/(LN(2)/25)*Calculateur!CG101*Calculateur!CI101*VLOOKUP('Données projet'!$B$12,Paramètres!$A$1:$I$89,3,0)*0.475*44/12</f>
        <v>0.81221806452914103</v>
      </c>
      <c r="CM101" s="23">
        <f>EXP(-LN(2)/2)*CM100+(1-EXP(-LN(2)/2))/(LN(2)/2)*CG101*CJ101*VLOOKUP('Données projet'!$B$12,Paramètres!$A$1:$I$89,3,0)*0.475*44/12</f>
        <v>4.008355477047744E-10</v>
      </c>
      <c r="CN101" s="24">
        <f t="shared" si="66"/>
        <v>1.766241587388018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3.4106051316484809E-13</v>
      </c>
      <c r="CU101" s="18">
        <f>CT101*VLOOKUP('Données projet'!$B$13,Paramètres!$A$1:$I$89,3,0)*VLOOKUP('Données projet'!$B$13,Paramètres!$A$1:$I$89,5,0)</f>
        <v>2.5006556825246659E-13</v>
      </c>
      <c r="CV101" s="14">
        <f t="shared" si="95"/>
        <v>3.3765445850268018E-12</v>
      </c>
      <c r="CW101" s="22">
        <f t="shared" si="67"/>
        <v>6.3163460169613921E-12</v>
      </c>
      <c r="CX101" s="62">
        <f t="shared" si="68"/>
        <v>293.33333333333962</v>
      </c>
      <c r="CY101" s="62">
        <f ca="1">AVERAGE(OFFSET($CX$3,0,0,'Données projet'!$E$13+1,1))-AVERAGE(OFFSET($H$3,0,0,'Données projet'!$E$13+1,1))</f>
        <v>290.68086183422963</v>
      </c>
      <c r="CZ101" s="62">
        <f t="shared" si="96"/>
        <v>317.88330630101785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280.67519999999979</v>
      </c>
      <c r="P102" s="14">
        <f t="shared" si="87"/>
        <v>67.109678043026435</v>
      </c>
      <c r="Q102" s="22">
        <f t="shared" si="107"/>
        <v>605.72532925827056</v>
      </c>
      <c r="R102" s="62">
        <f t="shared" si="55"/>
        <v>899.05866259160393</v>
      </c>
      <c r="S102" s="62">
        <f ca="1">AVERAGE(OFFSET($R$3,0,0,'Données projet'!$E$9+1,1))-AVERAGE(OFFSET($H$3,0,0,'Données projet'!$E$9+1,1))</f>
        <v>476.8965664931755</v>
      </c>
      <c r="T102" s="62">
        <f t="shared" si="88"/>
        <v>254.25036207346591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276.79999999999978</v>
      </c>
      <c r="AJ102" s="14">
        <f>AI102*VLOOKUP('Données projet'!$B$10,Paramètres!$A$1:$I$89,3,0)*VLOOKUP('Données projet'!$B$10,Paramètres!$A$1:$I$89,5,0)</f>
        <v>250.44863999999981</v>
      </c>
      <c r="AK102" s="14">
        <f t="shared" si="89"/>
        <v>60.682000328889998</v>
      </c>
      <c r="AL102" s="22">
        <f t="shared" si="58"/>
        <v>541.885865239483</v>
      </c>
      <c r="AM102" s="62">
        <f t="shared" si="59"/>
        <v>835.21919857281637</v>
      </c>
      <c r="AN102" s="62">
        <f ca="1">AVERAGE(OFFSET($AM$3,0,0,'Données projet'!$E$10+1,1))-AVERAGE(OFFSET($H$3,0,0,'Données projet'!$E$10+1,1))</f>
        <v>430.11660085503223</v>
      </c>
      <c r="AO102" s="62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1.7053025658242404E-13</v>
      </c>
      <c r="BE102" s="14">
        <f>BD102*VLOOKUP('Données projet'!$B$11,Paramètres!$A$1:$I$89,3,0)*VLOOKUP('Données projet'!$B$11,Paramètres!$A$1:$I$89,5,0)</f>
        <v>1.4897523215040567E-13</v>
      </c>
      <c r="BF102" s="14">
        <f t="shared" si="91"/>
        <v>2.136562777003313E-12</v>
      </c>
      <c r="BG102" s="22">
        <f t="shared" si="61"/>
        <v>3.9806453659427267E-12</v>
      </c>
      <c r="BH102" s="62">
        <f t="shared" si="62"/>
        <v>293.33333333333729</v>
      </c>
      <c r="BI102" s="62">
        <f ca="1">AVERAGE(OFFSET($BH$3,0,0,'Données projet'!$E$11+1,1))-AVERAGE(OFFSET($H$3,0,0,'Données projet'!$E$11+1,1))</f>
        <v>346.7910845218741</v>
      </c>
      <c r="BJ102" s="62">
        <f t="shared" si="92"/>
        <v>469.89734899725369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-6.7984728957526396E-14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207.59954777160192</v>
      </c>
      <c r="CE102" s="62">
        <f t="shared" si="94"/>
        <v>314.81017053732063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0.93531570307953038</v>
      </c>
      <c r="CL102" s="23">
        <f>EXP(-LN(2)/25)*CL101+(1-EXP(-LN(2)/25))/(LN(2)/25)*Calculateur!CG102*Calculateur!CI102*VLOOKUP('Données projet'!$B$12,Paramètres!$A$1:$I$89,3,0)*0.475*44/12</f>
        <v>0.79000791884190003</v>
      </c>
      <c r="CM102" s="23">
        <f>EXP(-LN(2)/2)*CM101+(1-EXP(-LN(2)/2))/(LN(2)/2)*CG102*CJ102*VLOOKUP('Données projet'!$B$12,Paramètres!$A$1:$I$89,3,0)*0.475*44/12</f>
        <v>2.8343353392266984E-10</v>
      </c>
      <c r="CN102" s="24">
        <f t="shared" si="66"/>
        <v>1.7253236222048638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3.4106051316484809E-13</v>
      </c>
      <c r="CU102" s="18">
        <f>CT102*VLOOKUP('Données projet'!$B$13,Paramètres!$A$1:$I$89,3,0)*VLOOKUP('Données projet'!$B$13,Paramètres!$A$1:$I$89,5,0)</f>
        <v>2.5006556825246659E-13</v>
      </c>
      <c r="CV102" s="14">
        <f t="shared" si="95"/>
        <v>3.3765445850268018E-12</v>
      </c>
      <c r="CW102" s="22">
        <f t="shared" si="67"/>
        <v>6.3163460169613921E-12</v>
      </c>
      <c r="CX102" s="62">
        <f t="shared" si="68"/>
        <v>293.33333333333962</v>
      </c>
      <c r="CY102" s="62">
        <f ca="1">AVERAGE(OFFSET($CX$3,0,0,'Données projet'!$E$13+1,1))-AVERAGE(OFFSET($H$3,0,0,'Données projet'!$E$13+1,1))</f>
        <v>290.68086183422963</v>
      </c>
      <c r="CZ102" s="62">
        <f t="shared" si="96"/>
        <v>317.88330630101785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285.4409999999998</v>
      </c>
      <c r="P103" s="14">
        <f t="shared" si="87"/>
        <v>68.115557487507104</v>
      </c>
      <c r="Q103" s="22">
        <f t="shared" si="107"/>
        <v>615.77767095740785</v>
      </c>
      <c r="R103" s="62">
        <f t="shared" si="55"/>
        <v>909.11100429074122</v>
      </c>
      <c r="S103" s="62">
        <f ca="1">AVERAGE(OFFSET($R$3,0,0,'Données projet'!$E$9+1,1))-AVERAGE(OFFSET($H$3,0,0,'Données projet'!$E$9+1,1))</f>
        <v>476.8965664931755</v>
      </c>
      <c r="T103" s="62">
        <f t="shared" si="88"/>
        <v>254.25036207346591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281.49999999999977</v>
      </c>
      <c r="AJ103" s="14">
        <f>AI103*VLOOKUP('Données projet'!$B$10,Paramètres!$A$1:$I$89,3,0)*VLOOKUP('Données projet'!$B$10,Paramètres!$A$1:$I$89,5,0)</f>
        <v>254.7011999999998</v>
      </c>
      <c r="AK103" s="14">
        <f t="shared" si="89"/>
        <v>61.591537947915171</v>
      </c>
      <c r="AL103" s="22">
        <f t="shared" si="58"/>
        <v>550.87651859261859</v>
      </c>
      <c r="AM103" s="62">
        <f t="shared" si="59"/>
        <v>844.20985192595185</v>
      </c>
      <c r="AN103" s="62">
        <f ca="1">AVERAGE(OFFSET($AM$3,0,0,'Données projet'!$E$10+1,1))-AVERAGE(OFFSET($H$3,0,0,'Données projet'!$E$10+1,1))</f>
        <v>430.11660085503223</v>
      </c>
      <c r="AO103" s="62">
        <f t="shared" si="90"/>
        <v>231.36959598460686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1.7053025658242404E-13</v>
      </c>
      <c r="BE103" s="14">
        <f>BD103*VLOOKUP('Données projet'!$B$11,Paramètres!$A$1:$I$89,3,0)*VLOOKUP('Données projet'!$B$11,Paramètres!$A$1:$I$89,5,0)</f>
        <v>1.4897523215040567E-13</v>
      </c>
      <c r="BF103" s="14">
        <f t="shared" si="91"/>
        <v>2.136562777003313E-12</v>
      </c>
      <c r="BG103" s="22">
        <f t="shared" si="61"/>
        <v>3.9806453659427267E-12</v>
      </c>
      <c r="BH103" s="62">
        <f t="shared" si="62"/>
        <v>293.33333333333729</v>
      </c>
      <c r="BI103" s="62">
        <f ca="1">AVERAGE(OFFSET($BH$3,0,0,'Données projet'!$E$11+1,1))-AVERAGE(OFFSET($H$3,0,0,'Données projet'!$E$11+1,1))</f>
        <v>346.7910845218741</v>
      </c>
      <c r="BJ103" s="62">
        <f t="shared" si="92"/>
        <v>469.89734899725369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-6.7984728957526396E-14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207.59954777160192</v>
      </c>
      <c r="CE103" s="62">
        <f t="shared" si="94"/>
        <v>314.81017053732063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0.9169747326283888</v>
      </c>
      <c r="CL103" s="23">
        <f>EXP(-LN(2)/25)*CL102+(1-EXP(-LN(2)/25))/(LN(2)/25)*Calculateur!CG103*Calculateur!CI103*VLOOKUP('Données projet'!$B$12,Paramètres!$A$1:$I$89,3,0)*0.475*44/12</f>
        <v>0.76840511075645745</v>
      </c>
      <c r="CM103" s="23">
        <f>EXP(-LN(2)/2)*CM102+(1-EXP(-LN(2)/2))/(LN(2)/2)*CG103*CJ103*VLOOKUP('Données projet'!$B$12,Paramètres!$A$1:$I$89,3,0)*0.475*44/12</f>
        <v>2.004177738523872E-10</v>
      </c>
      <c r="CN103" s="24">
        <f t="shared" si="66"/>
        <v>1.6853798435852638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3.4106051316484809E-13</v>
      </c>
      <c r="CU103" s="18">
        <f>CT103*VLOOKUP('Données projet'!$B$13,Paramètres!$A$1:$I$89,3,0)*VLOOKUP('Données projet'!$B$13,Paramètres!$A$1:$I$89,5,0)</f>
        <v>2.5006556825246659E-13</v>
      </c>
      <c r="CV103" s="14">
        <f t="shared" si="95"/>
        <v>3.3765445850268018E-12</v>
      </c>
      <c r="CW103" s="22">
        <f t="shared" si="67"/>
        <v>6.3163460169613921E-12</v>
      </c>
      <c r="CX103" s="62">
        <f t="shared" si="68"/>
        <v>293.33333333333962</v>
      </c>
      <c r="CY103" s="62">
        <f ca="1">AVERAGE(OFFSET($CX$3,0,0,'Données projet'!$E$13+1,1))-AVERAGE(OFFSET($H$3,0,0,'Données projet'!$E$13+1,1))</f>
        <v>290.68086183422963</v>
      </c>
      <c r="CZ103" s="62">
        <f t="shared" si="96"/>
        <v>317.88330630101785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290.20679999999982</v>
      </c>
      <c r="P104" s="14">
        <f t="shared" si="87"/>
        <v>69.119483862208398</v>
      </c>
      <c r="Q104" s="22">
        <f t="shared" si="107"/>
        <v>625.82661106001262</v>
      </c>
      <c r="R104" s="62">
        <f t="shared" si="55"/>
        <v>919.159944393346</v>
      </c>
      <c r="S104" s="62">
        <f ca="1">AVERAGE(OFFSET($R$3,0,0,'Données projet'!$E$9+1,1))-AVERAGE(OFFSET($H$3,0,0,'Données projet'!$E$9+1,1))</f>
        <v>476.8965664931755</v>
      </c>
      <c r="T104" s="62">
        <f t="shared" si="88"/>
        <v>254.25036207346591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286.19999999999976</v>
      </c>
      <c r="AJ104" s="14">
        <f>AI104*VLOOKUP('Données projet'!$B$10,Paramètres!$A$1:$I$89,3,0)*VLOOKUP('Données projet'!$B$10,Paramètres!$A$1:$I$89,5,0)</f>
        <v>258.95375999999976</v>
      </c>
      <c r="AK104" s="14">
        <f t="shared" si="89"/>
        <v>62.499309559645262</v>
      </c>
      <c r="AL104" s="22">
        <f t="shared" si="58"/>
        <v>559.86409614971501</v>
      </c>
      <c r="AM104" s="62">
        <f t="shared" si="59"/>
        <v>853.19742948304838</v>
      </c>
      <c r="AN104" s="62">
        <f ca="1">AVERAGE(OFFSET($AM$3,0,0,'Données projet'!$E$10+1,1))-AVERAGE(OFFSET($H$3,0,0,'Données projet'!$E$10+1,1))</f>
        <v>430.11660085503223</v>
      </c>
      <c r="AO104" s="62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1.7053025658242404E-13</v>
      </c>
      <c r="BE104" s="14">
        <f>BD104*VLOOKUP('Données projet'!$B$11,Paramètres!$A$1:$I$89,3,0)*VLOOKUP('Données projet'!$B$11,Paramètres!$A$1:$I$89,5,0)</f>
        <v>1.4897523215040567E-13</v>
      </c>
      <c r="BF104" s="14">
        <f t="shared" si="91"/>
        <v>2.136562777003313E-12</v>
      </c>
      <c r="BG104" s="22">
        <f t="shared" si="61"/>
        <v>3.9806453659427267E-12</v>
      </c>
      <c r="BH104" s="62">
        <f t="shared" si="62"/>
        <v>293.33333333333729</v>
      </c>
      <c r="BI104" s="62">
        <f ca="1">AVERAGE(OFFSET($BH$3,0,0,'Données projet'!$E$11+1,1))-AVERAGE(OFFSET($H$3,0,0,'Données projet'!$E$11+1,1))</f>
        <v>346.7910845218741</v>
      </c>
      <c r="BJ104" s="62">
        <f t="shared" si="92"/>
        <v>469.89734899725369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-6.7984728957526396E-14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207.59954777160192</v>
      </c>
      <c r="CE104" s="62">
        <f t="shared" si="94"/>
        <v>314.81017053732063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0.89899341742090677</v>
      </c>
      <c r="CL104" s="23">
        <f>EXP(-LN(2)/25)*CL103+(1-EXP(-LN(2)/25))/(LN(2)/25)*Calculateur!CG104*Calculateur!CI104*VLOOKUP('Données projet'!$B$12,Paramètres!$A$1:$I$89,3,0)*0.475*44/12</f>
        <v>0.74739303259415357</v>
      </c>
      <c r="CM104" s="23">
        <f>EXP(-LN(2)/2)*CM103+(1-EXP(-LN(2)/2))/(LN(2)/2)*CG104*CJ104*VLOOKUP('Données projet'!$B$12,Paramètres!$A$1:$I$89,3,0)*0.475*44/12</f>
        <v>1.4171676696133492E-10</v>
      </c>
      <c r="CN104" s="24">
        <f t="shared" si="66"/>
        <v>1.6463864501567773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3.4106051316484809E-13</v>
      </c>
      <c r="CU104" s="18">
        <f>CT104*VLOOKUP('Données projet'!$B$13,Paramètres!$A$1:$I$89,3,0)*VLOOKUP('Données projet'!$B$13,Paramètres!$A$1:$I$89,5,0)</f>
        <v>2.5006556825246659E-13</v>
      </c>
      <c r="CV104" s="14">
        <f t="shared" si="95"/>
        <v>3.3765445850268018E-12</v>
      </c>
      <c r="CW104" s="22">
        <f t="shared" si="67"/>
        <v>6.3163460169613921E-12</v>
      </c>
      <c r="CX104" s="62">
        <f t="shared" si="68"/>
        <v>293.33333333333962</v>
      </c>
      <c r="CY104" s="62">
        <f ca="1">AVERAGE(OFFSET($CX$3,0,0,'Données projet'!$E$13+1,1))-AVERAGE(OFFSET($H$3,0,0,'Données projet'!$E$13+1,1))</f>
        <v>290.68086183422963</v>
      </c>
      <c r="CZ104" s="62">
        <f t="shared" si="96"/>
        <v>317.88330630101785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294.97259999999977</v>
      </c>
      <c r="P105" s="14">
        <f t="shared" si="87"/>
        <v>70.121492942994351</v>
      </c>
      <c r="Q105" s="22">
        <f t="shared" si="107"/>
        <v>635.8722118757147</v>
      </c>
      <c r="R105" s="62">
        <f t="shared" si="55"/>
        <v>929.20554520904807</v>
      </c>
      <c r="S105" s="62">
        <f ca="1">AVERAGE(OFFSET($R$3,0,0,'Données projet'!$E$9+1,1))-AVERAGE(OFFSET($H$3,0,0,'Données projet'!$E$9+1,1))</f>
        <v>476.8965664931755</v>
      </c>
      <c r="T105" s="62">
        <f t="shared" si="88"/>
        <v>254.25036207346591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290.89999999999975</v>
      </c>
      <c r="AJ105" s="14">
        <f>AI105*VLOOKUP('Données projet'!$B$10,Paramètres!$A$1:$I$89,3,0)*VLOOKUP('Données projet'!$B$10,Paramètres!$A$1:$I$89,5,0)</f>
        <v>263.20631999999978</v>
      </c>
      <c r="AK105" s="14">
        <f t="shared" si="89"/>
        <v>63.405347513378558</v>
      </c>
      <c r="AL105" s="22">
        <f t="shared" si="58"/>
        <v>568.84865425246721</v>
      </c>
      <c r="AM105" s="62">
        <f t="shared" si="59"/>
        <v>862.18198758580047</v>
      </c>
      <c r="AN105" s="62">
        <f ca="1">AVERAGE(OFFSET($AM$3,0,0,'Données projet'!$E$10+1,1))-AVERAGE(OFFSET($H$3,0,0,'Données projet'!$E$10+1,1))</f>
        <v>430.11660085503223</v>
      </c>
      <c r="AO105" s="62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1.7053025658242404E-13</v>
      </c>
      <c r="BE105" s="14">
        <f>BD105*VLOOKUP('Données projet'!$B$11,Paramètres!$A$1:$I$89,3,0)*VLOOKUP('Données projet'!$B$11,Paramètres!$A$1:$I$89,5,0)</f>
        <v>1.4897523215040567E-13</v>
      </c>
      <c r="BF105" s="14">
        <f t="shared" si="91"/>
        <v>2.136562777003313E-12</v>
      </c>
      <c r="BG105" s="22">
        <f t="shared" si="61"/>
        <v>3.9806453659427267E-12</v>
      </c>
      <c r="BH105" s="62">
        <f t="shared" si="62"/>
        <v>293.33333333333729</v>
      </c>
      <c r="BI105" s="62">
        <f ca="1">AVERAGE(OFFSET($BH$3,0,0,'Données projet'!$E$11+1,1))-AVERAGE(OFFSET($H$3,0,0,'Données projet'!$E$11+1,1))</f>
        <v>346.7910845218741</v>
      </c>
      <c r="BJ105" s="62">
        <f t="shared" si="92"/>
        <v>469.89734899725369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-6.7984728957526396E-14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207.59954777160192</v>
      </c>
      <c r="CE105" s="62">
        <f t="shared" si="94"/>
        <v>314.81017053732063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0.88136470483712415</v>
      </c>
      <c r="CL105" s="23">
        <f>EXP(-LN(2)/25)*CL104+(1-EXP(-LN(2)/25))/(LN(2)/25)*Calculateur!CG105*Calculateur!CI105*VLOOKUP('Données projet'!$B$12,Paramètres!$A$1:$I$89,3,0)*0.475*44/12</f>
        <v>0.72695553081417508</v>
      </c>
      <c r="CM105" s="23">
        <f>EXP(-LN(2)/2)*CM104+(1-EXP(-LN(2)/2))/(LN(2)/2)*CG105*CJ105*VLOOKUP('Données projet'!$B$12,Paramètres!$A$1:$I$89,3,0)*0.475*44/12</f>
        <v>1.002088869261936E-10</v>
      </c>
      <c r="CN105" s="24">
        <f t="shared" si="66"/>
        <v>1.6083202357515083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3.4106051316484809E-13</v>
      </c>
      <c r="CU105" s="18">
        <f>CT105*VLOOKUP('Données projet'!$B$13,Paramètres!$A$1:$I$89,3,0)*VLOOKUP('Données projet'!$B$13,Paramètres!$A$1:$I$89,5,0)</f>
        <v>2.5006556825246659E-13</v>
      </c>
      <c r="CV105" s="14">
        <f t="shared" si="95"/>
        <v>3.3765445850268018E-12</v>
      </c>
      <c r="CW105" s="22">
        <f t="shared" si="67"/>
        <v>6.3163460169613921E-12</v>
      </c>
      <c r="CX105" s="62">
        <f t="shared" si="68"/>
        <v>293.33333333333962</v>
      </c>
      <c r="CY105" s="62">
        <f ca="1">AVERAGE(OFFSET($CX$3,0,0,'Données projet'!$E$13+1,1))-AVERAGE(OFFSET($H$3,0,0,'Données projet'!$E$13+1,1))</f>
        <v>290.68086183422963</v>
      </c>
      <c r="CZ105" s="62">
        <f t="shared" si="96"/>
        <v>317.88330630101785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299.73839999999979</v>
      </c>
      <c r="P106" s="14">
        <f t="shared" si="87"/>
        <v>71.121619283394423</v>
      </c>
      <c r="Q106" s="22">
        <f t="shared" si="107"/>
        <v>645.91453358524484</v>
      </c>
      <c r="R106" s="62">
        <f t="shared" si="55"/>
        <v>939.24786691857821</v>
      </c>
      <c r="S106" s="62">
        <f ca="1">AVERAGE(OFFSET($R$3,0,0,'Données projet'!$E$9+1,1))-AVERAGE(OFFSET($H$3,0,0,'Données projet'!$E$9+1,1))</f>
        <v>476.8965664931755</v>
      </c>
      <c r="T106" s="62">
        <f t="shared" si="88"/>
        <v>254.25036207346591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295.59999999999974</v>
      </c>
      <c r="AJ106" s="14">
        <f>AI106*VLOOKUP('Données projet'!$B$10,Paramètres!$A$1:$I$89,3,0)*VLOOKUP('Données projet'!$B$10,Paramètres!$A$1:$I$89,5,0)</f>
        <v>267.45887999999974</v>
      </c>
      <c r="AK106" s="14">
        <f t="shared" si="89"/>
        <v>64.309683053152384</v>
      </c>
      <c r="AL106" s="22">
        <f t="shared" si="58"/>
        <v>577.83024731757325</v>
      </c>
      <c r="AM106" s="62">
        <f t="shared" si="59"/>
        <v>871.16358065090662</v>
      </c>
      <c r="AN106" s="62">
        <f ca="1">AVERAGE(OFFSET($AM$3,0,0,'Données projet'!$E$10+1,1))-AVERAGE(OFFSET($H$3,0,0,'Données projet'!$E$10+1,1))</f>
        <v>430.11660085503223</v>
      </c>
      <c r="AO106" s="62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1.7053025658242404E-13</v>
      </c>
      <c r="BE106" s="14">
        <f>BD106*VLOOKUP('Données projet'!$B$11,Paramètres!$A$1:$I$89,3,0)*VLOOKUP('Données projet'!$B$11,Paramètres!$A$1:$I$89,5,0)</f>
        <v>1.4897523215040567E-13</v>
      </c>
      <c r="BF106" s="14">
        <f t="shared" si="91"/>
        <v>2.136562777003313E-12</v>
      </c>
      <c r="BG106" s="22">
        <f t="shared" si="61"/>
        <v>3.9806453659427267E-12</v>
      </c>
      <c r="BH106" s="62">
        <f t="shared" si="62"/>
        <v>293.33333333333729</v>
      </c>
      <c r="BI106" s="62">
        <f ca="1">AVERAGE(OFFSET($BH$3,0,0,'Données projet'!$E$11+1,1))-AVERAGE(OFFSET($H$3,0,0,'Données projet'!$E$11+1,1))</f>
        <v>346.7910845218741</v>
      </c>
      <c r="BJ106" s="62">
        <f t="shared" si="92"/>
        <v>469.89734899725369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-6.7984728957526396E-14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207.59954777160192</v>
      </c>
      <c r="CE106" s="62">
        <f t="shared" si="94"/>
        <v>314.81017053732063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0.86408168055465651</v>
      </c>
      <c r="CL106" s="23">
        <f>EXP(-LN(2)/25)*CL105+(1-EXP(-LN(2)/25))/(LN(2)/25)*Calculateur!CG106*Calculateur!CI106*VLOOKUP('Données projet'!$B$12,Paramètres!$A$1:$I$89,3,0)*0.475*44/12</f>
        <v>0.70707689359513159</v>
      </c>
      <c r="CM106" s="23">
        <f>EXP(-LN(2)/2)*CM105+(1-EXP(-LN(2)/2))/(LN(2)/2)*CG106*CJ106*VLOOKUP('Données projet'!$B$12,Paramètres!$A$1:$I$89,3,0)*0.475*44/12</f>
        <v>7.085838348066746E-11</v>
      </c>
      <c r="CN106" s="24">
        <f t="shared" si="66"/>
        <v>1.5711585742206466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3.4106051316484809E-13</v>
      </c>
      <c r="CU106" s="18">
        <f>CT106*VLOOKUP('Données projet'!$B$13,Paramètres!$A$1:$I$89,3,0)*VLOOKUP('Données projet'!$B$13,Paramètres!$A$1:$I$89,5,0)</f>
        <v>2.5006556825246659E-13</v>
      </c>
      <c r="CV106" s="14">
        <f t="shared" si="95"/>
        <v>3.3765445850268018E-12</v>
      </c>
      <c r="CW106" s="22">
        <f t="shared" si="67"/>
        <v>6.3163460169613921E-12</v>
      </c>
      <c r="CX106" s="62">
        <f t="shared" si="68"/>
        <v>293.33333333333962</v>
      </c>
      <c r="CY106" s="62">
        <f ca="1">AVERAGE(OFFSET($CX$3,0,0,'Données projet'!$E$13+1,1))-AVERAGE(OFFSET($H$3,0,0,'Données projet'!$E$13+1,1))</f>
        <v>290.68086183422963</v>
      </c>
      <c r="CZ106" s="62">
        <f t="shared" si="96"/>
        <v>317.88330630101785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304.50419999999974</v>
      </c>
      <c r="P107" s="14">
        <f t="shared" si="87"/>
        <v>72.11989627512429</v>
      </c>
      <c r="Q107" s="22">
        <f t="shared" si="107"/>
        <v>655.9536343458409</v>
      </c>
      <c r="R107" s="62">
        <f t="shared" si="55"/>
        <v>949.28696767917427</v>
      </c>
      <c r="S107" s="62">
        <f ca="1">AVERAGE(OFFSET($R$3,0,0,'Données projet'!$E$9+1,1))-AVERAGE(OFFSET($H$3,0,0,'Données projet'!$E$9+1,1))</f>
        <v>476.8965664931755</v>
      </c>
      <c r="T107" s="62">
        <f t="shared" si="88"/>
        <v>254.25036207346591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300.29999999999973</v>
      </c>
      <c r="AJ107" s="14">
        <f>AI107*VLOOKUP('Données projet'!$B$10,Paramètres!$A$1:$I$89,3,0)*VLOOKUP('Données projet'!$B$10,Paramètres!$A$1:$I$89,5,0)</f>
        <v>271.71143999999975</v>
      </c>
      <c r="AK107" s="14">
        <f t="shared" si="89"/>
        <v>65.212346372467266</v>
      </c>
      <c r="AL107" s="22">
        <f t="shared" si="58"/>
        <v>586.80892793204669</v>
      </c>
      <c r="AM107" s="62">
        <f t="shared" si="59"/>
        <v>880.14226126538006</v>
      </c>
      <c r="AN107" s="62">
        <f ca="1">AVERAGE(OFFSET($AM$3,0,0,'Données projet'!$E$10+1,1))-AVERAGE(OFFSET($H$3,0,0,'Données projet'!$E$10+1,1))</f>
        <v>430.11660085503223</v>
      </c>
      <c r="AO107" s="62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1.7053025658242404E-13</v>
      </c>
      <c r="BE107" s="14">
        <f>BD107*VLOOKUP('Données projet'!$B$11,Paramètres!$A$1:$I$89,3,0)*VLOOKUP('Données projet'!$B$11,Paramètres!$A$1:$I$89,5,0)</f>
        <v>1.4897523215040567E-13</v>
      </c>
      <c r="BF107" s="14">
        <f t="shared" si="91"/>
        <v>2.136562777003313E-12</v>
      </c>
      <c r="BG107" s="22">
        <f t="shared" si="61"/>
        <v>3.9806453659427267E-12</v>
      </c>
      <c r="BH107" s="62">
        <f t="shared" si="62"/>
        <v>293.33333333333729</v>
      </c>
      <c r="BI107" s="62">
        <f ca="1">AVERAGE(OFFSET($BH$3,0,0,'Données projet'!$E$11+1,1))-AVERAGE(OFFSET($H$3,0,0,'Données projet'!$E$11+1,1))</f>
        <v>346.7910845218741</v>
      </c>
      <c r="BJ107" s="62">
        <f t="shared" si="92"/>
        <v>469.89734899725369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-6.7984728957526396E-14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207.59954777160192</v>
      </c>
      <c r="CE107" s="62">
        <f t="shared" si="94"/>
        <v>314.81017053732063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0.84713756583676414</v>
      </c>
      <c r="CL107" s="23">
        <f>EXP(-LN(2)/25)*CL106+(1-EXP(-LN(2)/25))/(LN(2)/25)*Calculateur!CG107*Calculateur!CI107*VLOOKUP('Données projet'!$B$12,Paramètres!$A$1:$I$89,3,0)*0.475*44/12</f>
        <v>0.68774183875621497</v>
      </c>
      <c r="CM107" s="23">
        <f>EXP(-LN(2)/2)*CM106+(1-EXP(-LN(2)/2))/(LN(2)/2)*CG107*CJ107*VLOOKUP('Données projet'!$B$12,Paramètres!$A$1:$I$89,3,0)*0.475*44/12</f>
        <v>5.01044434630968E-11</v>
      </c>
      <c r="CN107" s="24">
        <f t="shared" si="66"/>
        <v>1.5348794046430836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3.4106051316484809E-13</v>
      </c>
      <c r="CU107" s="18">
        <f>CT107*VLOOKUP('Données projet'!$B$13,Paramètres!$A$1:$I$89,3,0)*VLOOKUP('Données projet'!$B$13,Paramètres!$A$1:$I$89,5,0)</f>
        <v>2.5006556825246659E-13</v>
      </c>
      <c r="CV107" s="14">
        <f t="shared" si="95"/>
        <v>3.3765445850268018E-12</v>
      </c>
      <c r="CW107" s="22">
        <f t="shared" si="67"/>
        <v>6.3163460169613921E-12</v>
      </c>
      <c r="CX107" s="62">
        <f t="shared" si="68"/>
        <v>293.33333333333962</v>
      </c>
      <c r="CY107" s="62">
        <f ca="1">AVERAGE(OFFSET($CX$3,0,0,'Données projet'!$E$13+1,1))-AVERAGE(OFFSET($H$3,0,0,'Données projet'!$E$13+1,1))</f>
        <v>290.68086183422963</v>
      </c>
      <c r="CZ107" s="62">
        <f t="shared" si="96"/>
        <v>317.88330630101785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309.26999999999975</v>
      </c>
      <c r="P108" s="14">
        <f t="shared" si="87"/>
        <v>73.116356204711025</v>
      </c>
      <c r="Q108" s="22">
        <f t="shared" si="107"/>
        <v>665.98957038987123</v>
      </c>
      <c r="R108" s="62">
        <f t="shared" si="55"/>
        <v>959.32290372320449</v>
      </c>
      <c r="S108" s="62">
        <f ca="1">AVERAGE(OFFSET($R$3,0,0,'Données projet'!$E$9+1,1))-AVERAGE(OFFSET($H$3,0,0,'Données projet'!$E$9+1,1))</f>
        <v>476.8965664931755</v>
      </c>
      <c r="T108" s="62">
        <f t="shared" si="88"/>
        <v>254.25036207346591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304.99999999999972</v>
      </c>
      <c r="AJ108" s="14">
        <f>AI108*VLOOKUP('Données projet'!$B$10,Paramètres!$A$1:$I$89,3,0)*VLOOKUP('Données projet'!$B$10,Paramètres!$A$1:$I$89,5,0)</f>
        <v>275.96399999999977</v>
      </c>
      <c r="AK108" s="14">
        <f t="shared" si="89"/>
        <v>66.113366665488854</v>
      </c>
      <c r="AL108" s="22">
        <f t="shared" si="58"/>
        <v>595.78474694239264</v>
      </c>
      <c r="AM108" s="62">
        <f t="shared" si="59"/>
        <v>889.11808027572602</v>
      </c>
      <c r="AN108" s="62">
        <f ca="1">AVERAGE(OFFSET($AM$3,0,0,'Données projet'!$E$10+1,1))-AVERAGE(OFFSET($H$3,0,0,'Données projet'!$E$10+1,1))</f>
        <v>430.11660085503223</v>
      </c>
      <c r="AO108" s="62">
        <f t="shared" si="90"/>
        <v>231.36959598460686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1.7053025658242404E-13</v>
      </c>
      <c r="BE108" s="14">
        <f>BD108*VLOOKUP('Données projet'!$B$11,Paramètres!$A$1:$I$89,3,0)*VLOOKUP('Données projet'!$B$11,Paramètres!$A$1:$I$89,5,0)</f>
        <v>1.4897523215040567E-13</v>
      </c>
      <c r="BF108" s="14">
        <f t="shared" si="91"/>
        <v>2.136562777003313E-12</v>
      </c>
      <c r="BG108" s="22">
        <f t="shared" si="61"/>
        <v>3.9806453659427267E-12</v>
      </c>
      <c r="BH108" s="62">
        <f t="shared" si="62"/>
        <v>293.33333333333729</v>
      </c>
      <c r="BI108" s="62">
        <f ca="1">AVERAGE(OFFSET($BH$3,0,0,'Données projet'!$E$11+1,1))-AVERAGE(OFFSET($H$3,0,0,'Données projet'!$E$11+1,1))</f>
        <v>346.7910845218741</v>
      </c>
      <c r="BJ108" s="62">
        <f t="shared" si="92"/>
        <v>469.89734899725369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-6.7984728957526396E-14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207.59954777160192</v>
      </c>
      <c r="CE108" s="62">
        <f t="shared" si="94"/>
        <v>314.81017053732063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0.83052571487360016</v>
      </c>
      <c r="CL108" s="23">
        <f>EXP(-LN(2)/25)*CL107+(1-EXP(-LN(2)/25))/(LN(2)/25)*Calculateur!CG108*Calculateur!CI108*VLOOKUP('Données projet'!$B$12,Paramètres!$A$1:$I$89,3,0)*0.475*44/12</f>
        <v>0.66893550200865481</v>
      </c>
      <c r="CM108" s="23">
        <f>EXP(-LN(2)/2)*CM107+(1-EXP(-LN(2)/2))/(LN(2)/2)*CG108*CJ108*VLOOKUP('Données projet'!$B$12,Paramètres!$A$1:$I$89,3,0)*0.475*44/12</f>
        <v>3.542919174033373E-11</v>
      </c>
      <c r="CN108" s="24">
        <f t="shared" si="66"/>
        <v>1.4994612169176842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3.4106051316484809E-13</v>
      </c>
      <c r="CU108" s="18">
        <f>CT108*VLOOKUP('Données projet'!$B$13,Paramètres!$A$1:$I$89,3,0)*VLOOKUP('Données projet'!$B$13,Paramètres!$A$1:$I$89,5,0)</f>
        <v>2.5006556825246659E-13</v>
      </c>
      <c r="CV108" s="14">
        <f t="shared" si="95"/>
        <v>3.3765445850268018E-12</v>
      </c>
      <c r="CW108" s="22">
        <f t="shared" si="67"/>
        <v>6.3163460169613921E-12</v>
      </c>
      <c r="CX108" s="62">
        <f t="shared" si="68"/>
        <v>293.33333333333962</v>
      </c>
      <c r="CY108" s="62">
        <f ca="1">AVERAGE(OFFSET($CX$3,0,0,'Données projet'!$E$13+1,1))-AVERAGE(OFFSET($H$3,0,0,'Données projet'!$E$13+1,1))</f>
        <v>290.68086183422963</v>
      </c>
      <c r="CZ108" s="62">
        <f t="shared" si="96"/>
        <v>317.88330630101785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271.75199999999973</v>
      </c>
      <c r="P109" s="14">
        <f t="shared" si="87"/>
        <v>65.22094782472486</v>
      </c>
      <c r="Q109" s="22">
        <f t="shared" si="107"/>
        <v>586.89455079472862</v>
      </c>
      <c r="R109" s="62">
        <f t="shared" si="55"/>
        <v>880.22788412806199</v>
      </c>
      <c r="S109" s="62">
        <f ca="1">AVERAGE(OFFSET($R$3,0,0,'Données projet'!$E$9+1,1))-AVERAGE(OFFSET($H$3,0,0,'Données projet'!$E$9+1,1))</f>
        <v>476.8965664931755</v>
      </c>
      <c r="T109" s="62">
        <f t="shared" si="88"/>
        <v>254.25036207346591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267.99999999999972</v>
      </c>
      <c r="AJ109" s="14">
        <f>AI109*VLOOKUP('Données projet'!$B$10,Paramètres!$A$1:$I$89,3,0)*VLOOKUP('Données projet'!$B$10,Paramètres!$A$1:$I$89,5,0)</f>
        <v>242.48639999999975</v>
      </c>
      <c r="AK109" s="14">
        <f t="shared" si="89"/>
        <v>58.97417023537237</v>
      </c>
      <c r="AL109" s="22">
        <f t="shared" si="58"/>
        <v>525.04382649327317</v>
      </c>
      <c r="AM109" s="62">
        <f t="shared" si="59"/>
        <v>818.37715982660643</v>
      </c>
      <c r="AN109" s="62">
        <f ca="1">AVERAGE(OFFSET($AM$3,0,0,'Données projet'!$E$10+1,1))-AVERAGE(OFFSET($H$3,0,0,'Données projet'!$E$10+1,1))</f>
        <v>430.11660085503223</v>
      </c>
      <c r="AO109" s="62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1.7053025658242404E-13</v>
      </c>
      <c r="BE109" s="14">
        <f>BD109*VLOOKUP('Données projet'!$B$11,Paramètres!$A$1:$I$89,3,0)*VLOOKUP('Données projet'!$B$11,Paramètres!$A$1:$I$89,5,0)</f>
        <v>1.4897523215040567E-13</v>
      </c>
      <c r="BF109" s="14">
        <f t="shared" si="91"/>
        <v>2.136562777003313E-12</v>
      </c>
      <c r="BG109" s="22">
        <f t="shared" si="61"/>
        <v>3.9806453659427267E-12</v>
      </c>
      <c r="BH109" s="62">
        <f t="shared" si="62"/>
        <v>293.33333333333729</v>
      </c>
      <c r="BI109" s="62">
        <f ca="1">AVERAGE(OFFSET($BH$3,0,0,'Données projet'!$E$11+1,1))-AVERAGE(OFFSET($H$3,0,0,'Données projet'!$E$11+1,1))</f>
        <v>346.7910845218741</v>
      </c>
      <c r="BJ109" s="62">
        <f t="shared" si="92"/>
        <v>469.89734899725369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-6.7984728957526396E-14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207.59954777160192</v>
      </c>
      <c r="CE109" s="62">
        <f t="shared" si="94"/>
        <v>314.81017053732063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0.81423961217559526</v>
      </c>
      <c r="CL109" s="23">
        <f>EXP(-LN(2)/25)*CL108+(1-EXP(-LN(2)/25))/(LN(2)/25)*Calculateur!CG109*Calculateur!CI109*VLOOKUP('Données projet'!$B$12,Paramètres!$A$1:$I$89,3,0)*0.475*44/12</f>
        <v>0.65064342552843901</v>
      </c>
      <c r="CM109" s="23">
        <f>EXP(-LN(2)/2)*CM108+(1-EXP(-LN(2)/2))/(LN(2)/2)*CG109*CJ109*VLOOKUP('Données projet'!$B$12,Paramètres!$A$1:$I$89,3,0)*0.475*44/12</f>
        <v>2.50522217315484E-11</v>
      </c>
      <c r="CN109" s="24">
        <f t="shared" si="66"/>
        <v>1.4648830377290865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3.4106051316484809E-13</v>
      </c>
      <c r="CU109" s="18">
        <f>CT109*VLOOKUP('Données projet'!$B$13,Paramètres!$A$1:$I$89,3,0)*VLOOKUP('Données projet'!$B$13,Paramètres!$A$1:$I$89,5,0)</f>
        <v>2.5006556825246659E-13</v>
      </c>
      <c r="CV109" s="14">
        <f t="shared" si="95"/>
        <v>3.3765445850268018E-12</v>
      </c>
      <c r="CW109" s="22">
        <f t="shared" si="67"/>
        <v>6.3163460169613921E-12</v>
      </c>
      <c r="CX109" s="62">
        <f t="shared" si="68"/>
        <v>293.33333333333962</v>
      </c>
      <c r="CY109" s="62">
        <f ca="1">AVERAGE(OFFSET($CX$3,0,0,'Données projet'!$E$13+1,1))-AVERAGE(OFFSET($H$3,0,0,'Données projet'!$E$13+1,1))</f>
        <v>290.68086183422963</v>
      </c>
      <c r="CZ109" s="62">
        <f t="shared" si="96"/>
        <v>317.88330630101785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275.80799999999971</v>
      </c>
      <c r="P110" s="14">
        <f t="shared" si="87"/>
        <v>66.080342531440593</v>
      </c>
      <c r="Q110" s="22">
        <f t="shared" si="107"/>
        <v>595.4555299089252</v>
      </c>
      <c r="R110" s="62">
        <f t="shared" si="55"/>
        <v>888.78886324225846</v>
      </c>
      <c r="S110" s="62">
        <f ca="1">AVERAGE(OFFSET($R$3,0,0,'Données projet'!$E$9+1,1))-AVERAGE(OFFSET($H$3,0,0,'Données projet'!$E$9+1,1))</f>
        <v>476.8965664931755</v>
      </c>
      <c r="T110" s="62">
        <f t="shared" si="88"/>
        <v>254.25036207346591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271.99999999999972</v>
      </c>
      <c r="AJ110" s="14">
        <f>AI110*VLOOKUP('Données projet'!$B$10,Paramètres!$A$1:$I$89,3,0)*VLOOKUP('Données projet'!$B$10,Paramètres!$A$1:$I$89,5,0)</f>
        <v>246.10559999999973</v>
      </c>
      <c r="AK110" s="14">
        <f t="shared" si="89"/>
        <v>59.751253234371873</v>
      </c>
      <c r="AL110" s="22">
        <f t="shared" si="58"/>
        <v>532.70068604986398</v>
      </c>
      <c r="AM110" s="62">
        <f t="shared" si="59"/>
        <v>826.03401938319735</v>
      </c>
      <c r="AN110" s="62">
        <f ca="1">AVERAGE(OFFSET($AM$3,0,0,'Données projet'!$E$10+1,1))-AVERAGE(OFFSET($H$3,0,0,'Données projet'!$E$10+1,1))</f>
        <v>430.11660085503223</v>
      </c>
      <c r="AO110" s="62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1.7053025658242404E-13</v>
      </c>
      <c r="BE110" s="14">
        <f>BD110*VLOOKUP('Données projet'!$B$11,Paramètres!$A$1:$I$89,3,0)*VLOOKUP('Données projet'!$B$11,Paramètres!$A$1:$I$89,5,0)</f>
        <v>1.4897523215040567E-13</v>
      </c>
      <c r="BF110" s="14">
        <f t="shared" si="91"/>
        <v>2.136562777003313E-12</v>
      </c>
      <c r="BG110" s="22">
        <f t="shared" si="61"/>
        <v>3.9806453659427267E-12</v>
      </c>
      <c r="BH110" s="62">
        <f t="shared" si="62"/>
        <v>293.33333333333729</v>
      </c>
      <c r="BI110" s="62">
        <f ca="1">AVERAGE(OFFSET($BH$3,0,0,'Données projet'!$E$11+1,1))-AVERAGE(OFFSET($H$3,0,0,'Données projet'!$E$11+1,1))</f>
        <v>346.7910845218741</v>
      </c>
      <c r="BJ110" s="62">
        <f t="shared" si="92"/>
        <v>469.89734899725369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-6.7984728957526396E-14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207.59954777160192</v>
      </c>
      <c r="CE110" s="62">
        <f t="shared" si="94"/>
        <v>314.81017053732063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0.79827287001795644</v>
      </c>
      <c r="CL110" s="23">
        <f>EXP(-LN(2)/25)*CL109+(1-EXP(-LN(2)/25))/(LN(2)/25)*Calculateur!CG110*Calculateur!CI110*VLOOKUP('Données projet'!$B$12,Paramètres!$A$1:$I$89,3,0)*0.475*44/12</f>
        <v>0.63285154684151312</v>
      </c>
      <c r="CM110" s="23">
        <f>EXP(-LN(2)/2)*CM109+(1-EXP(-LN(2)/2))/(LN(2)/2)*CG110*CJ110*VLOOKUP('Données projet'!$B$12,Paramètres!$A$1:$I$89,3,0)*0.475*44/12</f>
        <v>1.7714595870166865E-11</v>
      </c>
      <c r="CN110" s="24">
        <f t="shared" si="66"/>
        <v>1.4311244168771842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3.4106051316484809E-13</v>
      </c>
      <c r="CU110" s="18">
        <f>CT110*VLOOKUP('Données projet'!$B$13,Paramètres!$A$1:$I$89,3,0)*VLOOKUP('Données projet'!$B$13,Paramètres!$A$1:$I$89,5,0)</f>
        <v>2.5006556825246659E-13</v>
      </c>
      <c r="CV110" s="14">
        <f t="shared" si="95"/>
        <v>3.3765445850268018E-12</v>
      </c>
      <c r="CW110" s="22">
        <f t="shared" si="67"/>
        <v>6.3163460169613921E-12</v>
      </c>
      <c r="CX110" s="62">
        <f t="shared" si="68"/>
        <v>293.33333333333962</v>
      </c>
      <c r="CY110" s="62">
        <f ca="1">AVERAGE(OFFSET($CX$3,0,0,'Données projet'!$E$13+1,1))-AVERAGE(OFFSET($H$3,0,0,'Données projet'!$E$13+1,1))</f>
        <v>290.68086183422963</v>
      </c>
      <c r="CZ110" s="62">
        <f t="shared" si="96"/>
        <v>317.88330630101785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279.86399999999975</v>
      </c>
      <c r="P111" s="14">
        <f t="shared" si="87"/>
        <v>66.938267358965007</v>
      </c>
      <c r="Q111" s="22">
        <f t="shared" si="107"/>
        <v>604.01394898353021</v>
      </c>
      <c r="R111" s="62">
        <f t="shared" si="55"/>
        <v>897.34728231686358</v>
      </c>
      <c r="S111" s="62">
        <f ca="1">AVERAGE(OFFSET($R$3,0,0,'Données projet'!$E$9+1,1))-AVERAGE(OFFSET($H$3,0,0,'Données projet'!$E$9+1,1))</f>
        <v>476.8965664931755</v>
      </c>
      <c r="T111" s="62">
        <f t="shared" si="88"/>
        <v>254.25036207346591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275.99999999999972</v>
      </c>
      <c r="AJ111" s="14">
        <f>AI111*VLOOKUP('Données projet'!$B$10,Paramètres!$A$1:$I$89,3,0)*VLOOKUP('Données projet'!$B$10,Paramètres!$A$1:$I$89,5,0)</f>
        <v>249.72479999999973</v>
      </c>
      <c r="AK111" s="14">
        <f t="shared" si="89"/>
        <v>60.527007137298092</v>
      </c>
      <c r="AL111" s="22">
        <f t="shared" si="58"/>
        <v>540.35523076412699</v>
      </c>
      <c r="AM111" s="62">
        <f t="shared" si="59"/>
        <v>833.68856409746036</v>
      </c>
      <c r="AN111" s="62">
        <f ca="1">AVERAGE(OFFSET($AM$3,0,0,'Données projet'!$E$10+1,1))-AVERAGE(OFFSET($H$3,0,0,'Données projet'!$E$10+1,1))</f>
        <v>430.11660085503223</v>
      </c>
      <c r="AO111" s="62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1.7053025658242404E-13</v>
      </c>
      <c r="BE111" s="14">
        <f>BD111*VLOOKUP('Données projet'!$B$11,Paramètres!$A$1:$I$89,3,0)*VLOOKUP('Données projet'!$B$11,Paramètres!$A$1:$I$89,5,0)</f>
        <v>1.4897523215040567E-13</v>
      </c>
      <c r="BF111" s="14">
        <f t="shared" si="91"/>
        <v>2.136562777003313E-12</v>
      </c>
      <c r="BG111" s="22">
        <f t="shared" si="61"/>
        <v>3.9806453659427267E-12</v>
      </c>
      <c r="BH111" s="62">
        <f t="shared" si="62"/>
        <v>293.33333333333729</v>
      </c>
      <c r="BI111" s="62">
        <f ca="1">AVERAGE(OFFSET($BH$3,0,0,'Données projet'!$E$11+1,1))-AVERAGE(OFFSET($H$3,0,0,'Données projet'!$E$11+1,1))</f>
        <v>346.7910845218741</v>
      </c>
      <c r="BJ111" s="62">
        <f t="shared" si="92"/>
        <v>469.89734899725369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-6.7984728957526396E-14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207.59954777160192</v>
      </c>
      <c r="CE111" s="62">
        <f t="shared" si="94"/>
        <v>314.81017053732063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0.78261922593527777</v>
      </c>
      <c r="CL111" s="23">
        <f>EXP(-LN(2)/25)*CL110+(1-EXP(-LN(2)/25))/(LN(2)/25)*Calculateur!CG111*Calculateur!CI111*VLOOKUP('Données projet'!$B$12,Paramètres!$A$1:$I$89,3,0)*0.475*44/12</f>
        <v>0.6155461880129155</v>
      </c>
      <c r="CM111" s="23">
        <f>EXP(-LN(2)/2)*CM110+(1-EXP(-LN(2)/2))/(LN(2)/2)*CG111*CJ111*VLOOKUP('Données projet'!$B$12,Paramètres!$A$1:$I$89,3,0)*0.475*44/12</f>
        <v>1.25261108657742E-11</v>
      </c>
      <c r="CN111" s="24">
        <f t="shared" si="66"/>
        <v>1.3981654139607194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3.4106051316484809E-13</v>
      </c>
      <c r="CU111" s="18">
        <f>CT111*VLOOKUP('Données projet'!$B$13,Paramètres!$A$1:$I$89,3,0)*VLOOKUP('Données projet'!$B$13,Paramètres!$A$1:$I$89,5,0)</f>
        <v>2.5006556825246659E-13</v>
      </c>
      <c r="CV111" s="14">
        <f t="shared" si="95"/>
        <v>3.3765445850268018E-12</v>
      </c>
      <c r="CW111" s="22">
        <f t="shared" si="67"/>
        <v>6.3163460169613921E-12</v>
      </c>
      <c r="CX111" s="62">
        <f t="shared" si="68"/>
        <v>293.33333333333962</v>
      </c>
      <c r="CY111" s="62">
        <f ca="1">AVERAGE(OFFSET($CX$3,0,0,'Données projet'!$E$13+1,1))-AVERAGE(OFFSET($H$3,0,0,'Données projet'!$E$13+1,1))</f>
        <v>290.68086183422963</v>
      </c>
      <c r="CZ111" s="62">
        <f t="shared" si="96"/>
        <v>317.88330630101785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283.91999999999973</v>
      </c>
      <c r="P112" s="14">
        <f t="shared" si="87"/>
        <v>67.794746071143578</v>
      </c>
      <c r="Q112" s="22">
        <f t="shared" si="107"/>
        <v>612.56984940724124</v>
      </c>
      <c r="R112" s="62">
        <f t="shared" si="55"/>
        <v>905.90318274057449</v>
      </c>
      <c r="S112" s="62">
        <f ca="1">AVERAGE(OFFSET($R$3,0,0,'Données projet'!$E$9+1,1))-AVERAGE(OFFSET($H$3,0,0,'Données projet'!$E$9+1,1))</f>
        <v>476.8965664931755</v>
      </c>
      <c r="T112" s="62">
        <f t="shared" si="88"/>
        <v>254.25036207346591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279.99999999999972</v>
      </c>
      <c r="AJ112" s="14">
        <f>AI112*VLOOKUP('Données projet'!$B$10,Paramètres!$A$1:$I$89,3,0)*VLOOKUP('Données projet'!$B$10,Paramètres!$A$1:$I$89,5,0)</f>
        <v>253.34399999999974</v>
      </c>
      <c r="AK112" s="14">
        <f t="shared" si="89"/>
        <v>61.301453431926198</v>
      </c>
      <c r="AL112" s="22">
        <f t="shared" si="58"/>
        <v>548.00749806060423</v>
      </c>
      <c r="AM112" s="62">
        <f t="shared" si="59"/>
        <v>841.34083139393761</v>
      </c>
      <c r="AN112" s="62">
        <f ca="1">AVERAGE(OFFSET($AM$3,0,0,'Données projet'!$E$10+1,1))-AVERAGE(OFFSET($H$3,0,0,'Données projet'!$E$10+1,1))</f>
        <v>430.11660085503223</v>
      </c>
      <c r="AO112" s="62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1.7053025658242404E-13</v>
      </c>
      <c r="BE112" s="14">
        <f>BD112*VLOOKUP('Données projet'!$B$11,Paramètres!$A$1:$I$89,3,0)*VLOOKUP('Données projet'!$B$11,Paramètres!$A$1:$I$89,5,0)</f>
        <v>1.4897523215040567E-13</v>
      </c>
      <c r="BF112" s="14">
        <f t="shared" si="91"/>
        <v>2.136562777003313E-12</v>
      </c>
      <c r="BG112" s="22">
        <f t="shared" si="61"/>
        <v>3.9806453659427267E-12</v>
      </c>
      <c r="BH112" s="62">
        <f t="shared" si="62"/>
        <v>293.33333333333729</v>
      </c>
      <c r="BI112" s="62">
        <f ca="1">AVERAGE(OFFSET($BH$3,0,0,'Données projet'!$E$11+1,1))-AVERAGE(OFFSET($H$3,0,0,'Données projet'!$E$11+1,1))</f>
        <v>346.7910845218741</v>
      </c>
      <c r="BJ112" s="62">
        <f t="shared" si="92"/>
        <v>469.89734899725369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-6.7984728957526396E-14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207.59954777160192</v>
      </c>
      <c r="CE112" s="62">
        <f t="shared" si="94"/>
        <v>314.81017053732063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0.76727254026528036</v>
      </c>
      <c r="CL112" s="23">
        <f>EXP(-LN(2)/25)*CL111+(1-EXP(-LN(2)/25))/(LN(2)/25)*Calculateur!CG112*Calculateur!CI112*VLOOKUP('Données projet'!$B$12,Paramètres!$A$1:$I$89,3,0)*0.475*44/12</f>
        <v>0.59871404513153514</v>
      </c>
      <c r="CM112" s="23">
        <f>EXP(-LN(2)/2)*CM111+(1-EXP(-LN(2)/2))/(LN(2)/2)*CG112*CJ112*VLOOKUP('Données projet'!$B$12,Paramètres!$A$1:$I$89,3,0)*0.475*44/12</f>
        <v>8.8572979350834325E-12</v>
      </c>
      <c r="CN112" s="24">
        <f t="shared" si="66"/>
        <v>1.3659865854056727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3.4106051316484809E-13</v>
      </c>
      <c r="CU112" s="18">
        <f>CT112*VLOOKUP('Données projet'!$B$13,Paramètres!$A$1:$I$89,3,0)*VLOOKUP('Données projet'!$B$13,Paramètres!$A$1:$I$89,5,0)</f>
        <v>2.5006556825246659E-13</v>
      </c>
      <c r="CV112" s="14">
        <f t="shared" si="95"/>
        <v>3.3765445850268018E-12</v>
      </c>
      <c r="CW112" s="22">
        <f t="shared" si="67"/>
        <v>6.3163460169613921E-12</v>
      </c>
      <c r="CX112" s="62">
        <f t="shared" si="68"/>
        <v>293.33333333333962</v>
      </c>
      <c r="CY112" s="62">
        <f ca="1">AVERAGE(OFFSET($CX$3,0,0,'Données projet'!$E$13+1,1))-AVERAGE(OFFSET($H$3,0,0,'Données projet'!$E$13+1,1))</f>
        <v>290.68086183422963</v>
      </c>
      <c r="CZ112" s="62">
        <f t="shared" si="96"/>
        <v>317.88330630101785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287.97599999999971</v>
      </c>
      <c r="P113" s="14">
        <f t="shared" si="87"/>
        <v>68.649801713863084</v>
      </c>
      <c r="Q113" s="22">
        <f t="shared" si="107"/>
        <v>621.12327131831091</v>
      </c>
      <c r="R113" s="62">
        <f t="shared" si="55"/>
        <v>914.45660465164428</v>
      </c>
      <c r="S113" s="62">
        <f ca="1">AVERAGE(OFFSET($R$3,0,0,'Données projet'!$E$9+1,1))-AVERAGE(OFFSET($H$3,0,0,'Données projet'!$E$9+1,1))</f>
        <v>476.8965664931755</v>
      </c>
      <c r="T113" s="62">
        <f t="shared" si="88"/>
        <v>254.25036207346591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283.99999999999972</v>
      </c>
      <c r="AJ113" s="14">
        <f>AI113*VLOOKUP('Données projet'!$B$10,Paramètres!$A$1:$I$89,3,0)*VLOOKUP('Données projet'!$B$10,Paramètres!$A$1:$I$89,5,0)</f>
        <v>256.96319999999974</v>
      </c>
      <c r="AK113" s="14">
        <f t="shared" si="89"/>
        <v>62.074612956837967</v>
      </c>
      <c r="AL113" s="22">
        <f t="shared" si="58"/>
        <v>555.65752423315905</v>
      </c>
      <c r="AM113" s="62">
        <f t="shared" si="59"/>
        <v>848.99085756649242</v>
      </c>
      <c r="AN113" s="62">
        <f ca="1">AVERAGE(OFFSET($AM$3,0,0,'Données projet'!$E$10+1,1))-AVERAGE(OFFSET($H$3,0,0,'Données projet'!$E$10+1,1))</f>
        <v>430.11660085503223</v>
      </c>
      <c r="AO113" s="62">
        <f t="shared" si="90"/>
        <v>231.36959598460686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1.7053025658242404E-13</v>
      </c>
      <c r="BE113" s="14">
        <f>BD113*VLOOKUP('Données projet'!$B$11,Paramètres!$A$1:$I$89,3,0)*VLOOKUP('Données projet'!$B$11,Paramètres!$A$1:$I$89,5,0)</f>
        <v>1.4897523215040567E-13</v>
      </c>
      <c r="BF113" s="14">
        <f t="shared" si="91"/>
        <v>2.136562777003313E-12</v>
      </c>
      <c r="BG113" s="22">
        <f t="shared" si="61"/>
        <v>3.9806453659427267E-12</v>
      </c>
      <c r="BH113" s="62">
        <f t="shared" si="62"/>
        <v>293.33333333333729</v>
      </c>
      <c r="BI113" s="62">
        <f ca="1">AVERAGE(OFFSET($BH$3,0,0,'Données projet'!$E$11+1,1))-AVERAGE(OFFSET($H$3,0,0,'Données projet'!$E$11+1,1))</f>
        <v>346.7910845218741</v>
      </c>
      <c r="BJ113" s="62">
        <f t="shared" si="92"/>
        <v>469.89734899725369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-6.7984728957526396E-14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207.59954777160192</v>
      </c>
      <c r="CE113" s="62">
        <f t="shared" si="94"/>
        <v>314.81017053732063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0.75222679374071755</v>
      </c>
      <c r="CL113" s="23">
        <f>EXP(-LN(2)/25)*CL112+(1-EXP(-LN(2)/25))/(LN(2)/25)*Calculateur!CG113*Calculateur!CI113*VLOOKUP('Données projet'!$B$12,Paramètres!$A$1:$I$89,3,0)*0.475*44/12</f>
        <v>0.58234217808241007</v>
      </c>
      <c r="CM113" s="23">
        <f>EXP(-LN(2)/2)*CM112+(1-EXP(-LN(2)/2))/(LN(2)/2)*CG113*CJ113*VLOOKUP('Données projet'!$B$12,Paramètres!$A$1:$I$89,3,0)*0.475*44/12</f>
        <v>6.2630554328871001E-12</v>
      </c>
      <c r="CN113" s="24">
        <f t="shared" si="66"/>
        <v>1.3345689718293907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3.4106051316484809E-13</v>
      </c>
      <c r="CU113" s="18">
        <f>CT113*VLOOKUP('Données projet'!$B$13,Paramètres!$A$1:$I$89,3,0)*VLOOKUP('Données projet'!$B$13,Paramètres!$A$1:$I$89,5,0)</f>
        <v>2.5006556825246659E-13</v>
      </c>
      <c r="CV113" s="14">
        <f t="shared" si="95"/>
        <v>3.3765445850268018E-12</v>
      </c>
      <c r="CW113" s="22">
        <f t="shared" si="67"/>
        <v>6.3163460169613921E-12</v>
      </c>
      <c r="CX113" s="62">
        <f t="shared" si="68"/>
        <v>293.33333333333962</v>
      </c>
      <c r="CY113" s="62">
        <f ca="1">AVERAGE(OFFSET($CX$3,0,0,'Données projet'!$E$13+1,1))-AVERAGE(OFFSET($H$3,0,0,'Données projet'!$E$13+1,1))</f>
        <v>290.68086183422963</v>
      </c>
      <c r="CZ113" s="62">
        <f t="shared" si="96"/>
        <v>317.88330630101785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292.0319999999997</v>
      </c>
      <c r="P114" s="14">
        <f t="shared" si="87"/>
        <v>69.503456646543242</v>
      </c>
      <c r="Q114" s="22">
        <f t="shared" si="107"/>
        <v>629.6742536593955</v>
      </c>
      <c r="R114" s="62">
        <f t="shared" si="55"/>
        <v>923.00758699272887</v>
      </c>
      <c r="S114" s="62">
        <f ca="1">AVERAGE(OFFSET($R$3,0,0,'Données projet'!$E$9+1,1))-AVERAGE(OFFSET($H$3,0,0,'Données projet'!$E$9+1,1))</f>
        <v>476.8965664931755</v>
      </c>
      <c r="T114" s="62">
        <f t="shared" si="88"/>
        <v>254.25036207346591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287.99999999999972</v>
      </c>
      <c r="AJ114" s="14">
        <f>AI114*VLOOKUP('Données projet'!$B$10,Paramètres!$A$1:$I$89,3,0)*VLOOKUP('Données projet'!$B$10,Paramètres!$A$1:$I$89,5,0)</f>
        <v>260.58239999999972</v>
      </c>
      <c r="AK114" s="14">
        <f t="shared" si="89"/>
        <v>62.84650592989685</v>
      </c>
      <c r="AL114" s="22">
        <f t="shared" si="58"/>
        <v>563.30534449456991</v>
      </c>
      <c r="AM114" s="62">
        <f t="shared" si="59"/>
        <v>856.63867782790317</v>
      </c>
      <c r="AN114" s="62">
        <f ca="1">AVERAGE(OFFSET($AM$3,0,0,'Données projet'!$E$10+1,1))-AVERAGE(OFFSET($H$3,0,0,'Données projet'!$E$10+1,1))</f>
        <v>430.11660085503223</v>
      </c>
      <c r="AO114" s="62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1.7053025658242404E-13</v>
      </c>
      <c r="BE114" s="14">
        <f>BD114*VLOOKUP('Données projet'!$B$11,Paramètres!$A$1:$I$89,3,0)*VLOOKUP('Données projet'!$B$11,Paramètres!$A$1:$I$89,5,0)</f>
        <v>1.4897523215040567E-13</v>
      </c>
      <c r="BF114" s="14">
        <f t="shared" si="91"/>
        <v>2.136562777003313E-12</v>
      </c>
      <c r="BG114" s="22">
        <f t="shared" si="61"/>
        <v>3.9806453659427267E-12</v>
      </c>
      <c r="BH114" s="62">
        <f t="shared" si="62"/>
        <v>293.33333333333729</v>
      </c>
      <c r="BI114" s="62">
        <f ca="1">AVERAGE(OFFSET($BH$3,0,0,'Données projet'!$E$11+1,1))-AVERAGE(OFFSET($H$3,0,0,'Données projet'!$E$11+1,1))</f>
        <v>346.7910845218741</v>
      </c>
      <c r="BJ114" s="62">
        <f t="shared" si="92"/>
        <v>469.89734899725369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-6.7984728957526396E-14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207.59954777160192</v>
      </c>
      <c r="CE114" s="62">
        <f t="shared" si="94"/>
        <v>314.81017053732063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0.73747608512850227</v>
      </c>
      <c r="CL114" s="23">
        <f>EXP(-LN(2)/25)*CL113+(1-EXP(-LN(2)/25))/(LN(2)/25)*Calculateur!CG114*Calculateur!CI114*VLOOKUP('Données projet'!$B$12,Paramètres!$A$1:$I$89,3,0)*0.475*44/12</f>
        <v>0.5664180005987024</v>
      </c>
      <c r="CM114" s="23">
        <f>EXP(-LN(2)/2)*CM113+(1-EXP(-LN(2)/2))/(LN(2)/2)*CG114*CJ114*VLOOKUP('Données projet'!$B$12,Paramètres!$A$1:$I$89,3,0)*0.475*44/12</f>
        <v>4.4286489675417162E-12</v>
      </c>
      <c r="CN114" s="24">
        <f t="shared" si="66"/>
        <v>1.3038940857316332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3.4106051316484809E-13</v>
      </c>
      <c r="CU114" s="18">
        <f>CT114*VLOOKUP('Données projet'!$B$13,Paramètres!$A$1:$I$89,3,0)*VLOOKUP('Données projet'!$B$13,Paramètres!$A$1:$I$89,5,0)</f>
        <v>2.5006556825246659E-13</v>
      </c>
      <c r="CV114" s="14">
        <f t="shared" si="95"/>
        <v>3.3765445850268018E-12</v>
      </c>
      <c r="CW114" s="22">
        <f t="shared" si="67"/>
        <v>6.3163460169613921E-12</v>
      </c>
      <c r="CX114" s="62">
        <f t="shared" si="68"/>
        <v>293.33333333333962</v>
      </c>
      <c r="CY114" s="62">
        <f ca="1">AVERAGE(OFFSET($CX$3,0,0,'Données projet'!$E$13+1,1))-AVERAGE(OFFSET($H$3,0,0,'Données projet'!$E$13+1,1))</f>
        <v>290.68086183422963</v>
      </c>
      <c r="CZ114" s="62">
        <f t="shared" si="96"/>
        <v>317.88330630101785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296.08799999999974</v>
      </c>
      <c r="P115" s="14">
        <f t="shared" si="87"/>
        <v>70.35573257182898</v>
      </c>
      <c r="Q115" s="22">
        <f t="shared" si="107"/>
        <v>638.2228342292683</v>
      </c>
      <c r="R115" s="62">
        <f t="shared" si="55"/>
        <v>931.55616756260156</v>
      </c>
      <c r="S115" s="62">
        <f ca="1">AVERAGE(OFFSET($R$3,0,0,'Données projet'!$E$9+1,1))-AVERAGE(OFFSET($H$3,0,0,'Données projet'!$E$9+1,1))</f>
        <v>476.8965664931755</v>
      </c>
      <c r="T115" s="62">
        <f t="shared" si="88"/>
        <v>254.25036207346591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291.99999999999972</v>
      </c>
      <c r="AJ115" s="14">
        <f>AI115*VLOOKUP('Données projet'!$B$10,Paramètres!$A$1:$I$89,3,0)*VLOOKUP('Données projet'!$B$10,Paramètres!$A$1:$I$89,5,0)</f>
        <v>264.2015999999997</v>
      </c>
      <c r="AK115" s="14">
        <f t="shared" si="89"/>
        <v>63.617151975096711</v>
      </c>
      <c r="AL115" s="22">
        <f t="shared" si="58"/>
        <v>570.95099302329288</v>
      </c>
      <c r="AM115" s="62">
        <f t="shared" si="59"/>
        <v>864.28432635662625</v>
      </c>
      <c r="AN115" s="62">
        <f ca="1">AVERAGE(OFFSET($AM$3,0,0,'Données projet'!$E$10+1,1))-AVERAGE(OFFSET($H$3,0,0,'Données projet'!$E$10+1,1))</f>
        <v>430.11660085503223</v>
      </c>
      <c r="AO115" s="62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1.7053025658242404E-13</v>
      </c>
      <c r="BE115" s="14">
        <f>BD115*VLOOKUP('Données projet'!$B$11,Paramètres!$A$1:$I$89,3,0)*VLOOKUP('Données projet'!$B$11,Paramètres!$A$1:$I$89,5,0)</f>
        <v>1.4897523215040567E-13</v>
      </c>
      <c r="BF115" s="14">
        <f t="shared" si="91"/>
        <v>2.136562777003313E-12</v>
      </c>
      <c r="BG115" s="22">
        <f t="shared" si="61"/>
        <v>3.9806453659427267E-12</v>
      </c>
      <c r="BH115" s="62">
        <f t="shared" si="62"/>
        <v>293.33333333333729</v>
      </c>
      <c r="BI115" s="62">
        <f ca="1">AVERAGE(OFFSET($BH$3,0,0,'Données projet'!$E$11+1,1))-AVERAGE(OFFSET($H$3,0,0,'Données projet'!$E$11+1,1))</f>
        <v>346.7910845218741</v>
      </c>
      <c r="BJ115" s="62">
        <f t="shared" si="92"/>
        <v>469.89734899725369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-6.7984728957526396E-14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207.59954777160192</v>
      </c>
      <c r="CE115" s="62">
        <f t="shared" si="94"/>
        <v>314.81017053732063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0.72301462891512858</v>
      </c>
      <c r="CL115" s="23">
        <f>EXP(-LN(2)/25)*CL114+(1-EXP(-LN(2)/25))/(LN(2)/25)*Calculateur!CG115*Calculateur!CI115*VLOOKUP('Données projet'!$B$12,Paramètres!$A$1:$I$89,3,0)*0.475*44/12</f>
        <v>0.55092927058570285</v>
      </c>
      <c r="CM115" s="23">
        <f>EXP(-LN(2)/2)*CM114+(1-EXP(-LN(2)/2))/(LN(2)/2)*CG115*CJ115*VLOOKUP('Données projet'!$B$12,Paramètres!$A$1:$I$89,3,0)*0.475*44/12</f>
        <v>3.13152771644355E-12</v>
      </c>
      <c r="CN115" s="24">
        <f t="shared" si="66"/>
        <v>1.2739438995039629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3.4106051316484809E-13</v>
      </c>
      <c r="CU115" s="18">
        <f>CT115*VLOOKUP('Données projet'!$B$13,Paramètres!$A$1:$I$89,3,0)*VLOOKUP('Données projet'!$B$13,Paramètres!$A$1:$I$89,5,0)</f>
        <v>2.5006556825246659E-13</v>
      </c>
      <c r="CV115" s="14">
        <f t="shared" si="95"/>
        <v>3.3765445850268018E-12</v>
      </c>
      <c r="CW115" s="22">
        <f t="shared" si="67"/>
        <v>6.3163460169613921E-12</v>
      </c>
      <c r="CX115" s="62">
        <f t="shared" si="68"/>
        <v>293.33333333333962</v>
      </c>
      <c r="CY115" s="62">
        <f ca="1">AVERAGE(OFFSET($CX$3,0,0,'Données projet'!$E$13+1,1))-AVERAGE(OFFSET($H$3,0,0,'Données projet'!$E$13+1,1))</f>
        <v>290.68086183422963</v>
      </c>
      <c r="CZ115" s="62">
        <f t="shared" si="96"/>
        <v>317.88330630101785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300.14399999999978</v>
      </c>
      <c r="P116" s="14">
        <f t="shared" si="87"/>
        <v>71.206650563609855</v>
      </c>
      <c r="Q116" s="22">
        <f t="shared" si="107"/>
        <v>646.76904973162016</v>
      </c>
      <c r="R116" s="62">
        <f t="shared" si="55"/>
        <v>940.10238306495353</v>
      </c>
      <c r="S116" s="62">
        <f ca="1">AVERAGE(OFFSET($R$3,0,0,'Données projet'!$E$9+1,1))-AVERAGE(OFFSET($H$3,0,0,'Données projet'!$E$9+1,1))</f>
        <v>476.8965664931755</v>
      </c>
      <c r="T116" s="62">
        <f t="shared" si="88"/>
        <v>254.25036207346591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295.99999999999972</v>
      </c>
      <c r="AJ116" s="14">
        <f>AI116*VLOOKUP('Données projet'!$B$10,Paramètres!$A$1:$I$89,3,0)*VLOOKUP('Données projet'!$B$10,Paramètres!$A$1:$I$89,5,0)</f>
        <v>267.82079999999974</v>
      </c>
      <c r="AK116" s="14">
        <f t="shared" si="89"/>
        <v>64.386570147897245</v>
      </c>
      <c r="AL116" s="22">
        <f t="shared" si="58"/>
        <v>578.59450300758726</v>
      </c>
      <c r="AM116" s="62">
        <f t="shared" si="59"/>
        <v>871.92783634092052</v>
      </c>
      <c r="AN116" s="62">
        <f ca="1">AVERAGE(OFFSET($AM$3,0,0,'Données projet'!$E$10+1,1))-AVERAGE(OFFSET($H$3,0,0,'Données projet'!$E$10+1,1))</f>
        <v>430.11660085503223</v>
      </c>
      <c r="AO116" s="62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1.7053025658242404E-13</v>
      </c>
      <c r="BE116" s="14">
        <f>BD116*VLOOKUP('Données projet'!$B$11,Paramètres!$A$1:$I$89,3,0)*VLOOKUP('Données projet'!$B$11,Paramètres!$A$1:$I$89,5,0)</f>
        <v>1.4897523215040567E-13</v>
      </c>
      <c r="BF116" s="14">
        <f t="shared" si="91"/>
        <v>2.136562777003313E-12</v>
      </c>
      <c r="BG116" s="22">
        <f t="shared" si="61"/>
        <v>3.9806453659427267E-12</v>
      </c>
      <c r="BH116" s="62">
        <f t="shared" si="62"/>
        <v>293.33333333333729</v>
      </c>
      <c r="BI116" s="62">
        <f ca="1">AVERAGE(OFFSET($BH$3,0,0,'Données projet'!$E$11+1,1))-AVERAGE(OFFSET($H$3,0,0,'Données projet'!$E$11+1,1))</f>
        <v>346.7910845218741</v>
      </c>
      <c r="BJ116" s="62">
        <f t="shared" si="92"/>
        <v>469.89734899725369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-6.7984728957526396E-14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207.59954777160192</v>
      </c>
      <c r="CE116" s="62">
        <f t="shared" si="94"/>
        <v>314.81017053732063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0.70883675303748184</v>
      </c>
      <c r="CL116" s="23">
        <f>EXP(-LN(2)/25)*CL115+(1-EXP(-LN(2)/25))/(LN(2)/25)*Calculateur!CG116*Calculateur!CI116*VLOOKUP('Données projet'!$B$12,Paramètres!$A$1:$I$89,3,0)*0.475*44/12</f>
        <v>0.53586408070942559</v>
      </c>
      <c r="CM116" s="23">
        <f>EXP(-LN(2)/2)*CM115+(1-EXP(-LN(2)/2))/(LN(2)/2)*CG116*CJ116*VLOOKUP('Données projet'!$B$12,Paramètres!$A$1:$I$89,3,0)*0.475*44/12</f>
        <v>2.2143244837708581E-12</v>
      </c>
      <c r="CN116" s="24">
        <f t="shared" si="66"/>
        <v>1.2447008337491217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3.4106051316484809E-13</v>
      </c>
      <c r="CU116" s="18">
        <f>CT116*VLOOKUP('Données projet'!$B$13,Paramètres!$A$1:$I$89,3,0)*VLOOKUP('Données projet'!$B$13,Paramètres!$A$1:$I$89,5,0)</f>
        <v>2.5006556825246659E-13</v>
      </c>
      <c r="CV116" s="14">
        <f t="shared" si="95"/>
        <v>3.3765445850268018E-12</v>
      </c>
      <c r="CW116" s="22">
        <f t="shared" si="67"/>
        <v>6.3163460169613921E-12</v>
      </c>
      <c r="CX116" s="62">
        <f t="shared" si="68"/>
        <v>293.33333333333962</v>
      </c>
      <c r="CY116" s="62">
        <f ca="1">AVERAGE(OFFSET($CX$3,0,0,'Données projet'!$E$13+1,1))-AVERAGE(OFFSET($H$3,0,0,'Données projet'!$E$13+1,1))</f>
        <v>290.68086183422963</v>
      </c>
      <c r="CZ116" s="62">
        <f t="shared" si="96"/>
        <v>317.88330630101785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304.19999999999976</v>
      </c>
      <c r="P117" s="14">
        <f t="shared" si="87"/>
        <v>72.056231093481074</v>
      </c>
      <c r="Q117" s="22">
        <f t="shared" si="107"/>
        <v>655.31293582114574</v>
      </c>
      <c r="R117" s="62">
        <f t="shared" si="55"/>
        <v>948.64626915447911</v>
      </c>
      <c r="S117" s="62">
        <f ca="1">AVERAGE(OFFSET($R$3,0,0,'Données projet'!$E$9+1,1))-AVERAGE(OFFSET($H$3,0,0,'Données projet'!$E$9+1,1))</f>
        <v>476.8965664931755</v>
      </c>
      <c r="T117" s="62">
        <f t="shared" si="88"/>
        <v>254.25036207346591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299.99999999999972</v>
      </c>
      <c r="AJ117" s="14">
        <f>AI117*VLOOKUP('Données projet'!$B$10,Paramètres!$A$1:$I$89,3,0)*VLOOKUP('Données projet'!$B$10,Paramètres!$A$1:$I$89,5,0)</f>
        <v>271.43999999999977</v>
      </c>
      <c r="AK117" s="14">
        <f t="shared" si="89"/>
        <v>65.154778959151116</v>
      </c>
      <c r="AL117" s="22">
        <f t="shared" si="58"/>
        <v>586.23590668718782</v>
      </c>
      <c r="AM117" s="62">
        <f t="shared" si="59"/>
        <v>879.56924002052119</v>
      </c>
      <c r="AN117" s="62">
        <f ca="1">AVERAGE(OFFSET($AM$3,0,0,'Données projet'!$E$10+1,1))-AVERAGE(OFFSET($H$3,0,0,'Données projet'!$E$10+1,1))</f>
        <v>430.11660085503223</v>
      </c>
      <c r="AO117" s="62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1.7053025658242404E-13</v>
      </c>
      <c r="BE117" s="14">
        <f>BD117*VLOOKUP('Données projet'!$B$11,Paramètres!$A$1:$I$89,3,0)*VLOOKUP('Données projet'!$B$11,Paramètres!$A$1:$I$89,5,0)</f>
        <v>1.4897523215040567E-13</v>
      </c>
      <c r="BF117" s="14">
        <f t="shared" si="91"/>
        <v>2.136562777003313E-12</v>
      </c>
      <c r="BG117" s="22">
        <f t="shared" si="61"/>
        <v>3.9806453659427267E-12</v>
      </c>
      <c r="BH117" s="62">
        <f t="shared" si="62"/>
        <v>293.33333333333729</v>
      </c>
      <c r="BI117" s="62">
        <f ca="1">AVERAGE(OFFSET($BH$3,0,0,'Données projet'!$E$11+1,1))-AVERAGE(OFFSET($H$3,0,0,'Données projet'!$E$11+1,1))</f>
        <v>346.7910845218741</v>
      </c>
      <c r="BJ117" s="62">
        <f t="shared" si="92"/>
        <v>469.89734899725369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-6.7984728957526396E-14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207.59954777160192</v>
      </c>
      <c r="CE117" s="62">
        <f t="shared" si="94"/>
        <v>314.81017053732063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0.6949368966581454</v>
      </c>
      <c r="CL117" s="23">
        <f>EXP(-LN(2)/25)*CL116+(1-EXP(-LN(2)/25))/(LN(2)/25)*Calculateur!CG117*Calculateur!CI117*VLOOKUP('Données projet'!$B$12,Paramètres!$A$1:$I$89,3,0)*0.475*44/12</f>
        <v>0.52121084924255912</v>
      </c>
      <c r="CM117" s="23">
        <f>EXP(-LN(2)/2)*CM116+(1-EXP(-LN(2)/2))/(LN(2)/2)*CG117*CJ117*VLOOKUP('Données projet'!$B$12,Paramètres!$A$1:$I$89,3,0)*0.475*44/12</f>
        <v>1.565763858221775E-12</v>
      </c>
      <c r="CN117" s="24">
        <f t="shared" si="66"/>
        <v>1.2161477459022705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3.4106051316484809E-13</v>
      </c>
      <c r="CU117" s="18">
        <f>CT117*VLOOKUP('Données projet'!$B$13,Paramètres!$A$1:$I$89,3,0)*VLOOKUP('Données projet'!$B$13,Paramètres!$A$1:$I$89,5,0)</f>
        <v>2.5006556825246659E-13</v>
      </c>
      <c r="CV117" s="14">
        <f t="shared" si="95"/>
        <v>3.3765445850268018E-12</v>
      </c>
      <c r="CW117" s="22">
        <f t="shared" si="67"/>
        <v>6.3163460169613921E-12</v>
      </c>
      <c r="CX117" s="62">
        <f t="shared" si="68"/>
        <v>293.33333333333962</v>
      </c>
      <c r="CY117" s="62">
        <f ca="1">AVERAGE(OFFSET($CX$3,0,0,'Données projet'!$E$13+1,1))-AVERAGE(OFFSET($H$3,0,0,'Données projet'!$E$13+1,1))</f>
        <v>290.68086183422963</v>
      </c>
      <c r="CZ117" s="62">
        <f t="shared" si="96"/>
        <v>317.88330630101785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308.25599999999974</v>
      </c>
      <c r="P118" s="14">
        <f t="shared" si="87"/>
        <v>72.904494055753887</v>
      </c>
      <c r="Q118" s="22">
        <f t="shared" si="107"/>
        <v>663.85452714710425</v>
      </c>
      <c r="R118" s="62">
        <f t="shared" si="55"/>
        <v>957.18786048043762</v>
      </c>
      <c r="S118" s="62">
        <f ca="1">AVERAGE(OFFSET($R$3,0,0,'Données projet'!$E$9+1,1))-AVERAGE(OFFSET($H$3,0,0,'Données projet'!$E$9+1,1))</f>
        <v>476.8965664931755</v>
      </c>
      <c r="T118" s="62">
        <f t="shared" si="88"/>
        <v>254.25036207346591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303.99999999999972</v>
      </c>
      <c r="AJ118" s="14">
        <f>AI118*VLOOKUP('Données projet'!$B$10,Paramètres!$A$1:$I$89,3,0)*VLOOKUP('Données projet'!$B$10,Paramètres!$A$1:$I$89,5,0)</f>
        <v>275.05919999999975</v>
      </c>
      <c r="AK118" s="14">
        <f t="shared" si="89"/>
        <v>65.921796397718325</v>
      </c>
      <c r="AL118" s="22">
        <f t="shared" si="58"/>
        <v>593.87523539269228</v>
      </c>
      <c r="AM118" s="62">
        <f t="shared" si="59"/>
        <v>887.20856872602553</v>
      </c>
      <c r="AN118" s="62">
        <f ca="1">AVERAGE(OFFSET($AM$3,0,0,'Données projet'!$E$10+1,1))-AVERAGE(OFFSET($H$3,0,0,'Données projet'!$E$10+1,1))</f>
        <v>430.11660085503223</v>
      </c>
      <c r="AO118" s="62">
        <f t="shared" si="90"/>
        <v>231.36959598460686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1.7053025658242404E-13</v>
      </c>
      <c r="BE118" s="14">
        <f>BD118*VLOOKUP('Données projet'!$B$11,Paramètres!$A$1:$I$89,3,0)*VLOOKUP('Données projet'!$B$11,Paramètres!$A$1:$I$89,5,0)</f>
        <v>1.4897523215040567E-13</v>
      </c>
      <c r="BF118" s="14">
        <f t="shared" si="91"/>
        <v>2.136562777003313E-12</v>
      </c>
      <c r="BG118" s="22">
        <f t="shared" si="61"/>
        <v>3.9806453659427267E-12</v>
      </c>
      <c r="BH118" s="62">
        <f t="shared" si="62"/>
        <v>293.33333333333729</v>
      </c>
      <c r="BI118" s="62">
        <f ca="1">AVERAGE(OFFSET($BH$3,0,0,'Données projet'!$E$11+1,1))-AVERAGE(OFFSET($H$3,0,0,'Données projet'!$E$11+1,1))</f>
        <v>346.7910845218741</v>
      </c>
      <c r="BJ118" s="62">
        <f t="shared" si="92"/>
        <v>469.89734899725369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-6.7984728957526396E-14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207.59954777160192</v>
      </c>
      <c r="CE118" s="62">
        <f t="shared" si="94"/>
        <v>314.81017053732063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0.68130960798433249</v>
      </c>
      <c r="CL118" s="23">
        <f>EXP(-LN(2)/25)*CL117+(1-EXP(-LN(2)/25))/(LN(2)/25)*Calculateur!CG118*Calculateur!CI118*VLOOKUP('Données projet'!$B$12,Paramètres!$A$1:$I$89,3,0)*0.475*44/12</f>
        <v>0.50695831116073398</v>
      </c>
      <c r="CM118" s="23">
        <f>EXP(-LN(2)/2)*CM117+(1-EXP(-LN(2)/2))/(LN(2)/2)*CG118*CJ118*VLOOKUP('Données projet'!$B$12,Paramètres!$A$1:$I$89,3,0)*0.475*44/12</f>
        <v>1.1071622418854291E-12</v>
      </c>
      <c r="CN118" s="24">
        <f t="shared" si="66"/>
        <v>1.1882679191461736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3.4106051316484809E-13</v>
      </c>
      <c r="CU118" s="18">
        <f>CT118*VLOOKUP('Données projet'!$B$13,Paramètres!$A$1:$I$89,3,0)*VLOOKUP('Données projet'!$B$13,Paramètres!$A$1:$I$89,5,0)</f>
        <v>2.5006556825246659E-13</v>
      </c>
      <c r="CV118" s="14">
        <f t="shared" si="95"/>
        <v>3.3765445850268018E-12</v>
      </c>
      <c r="CW118" s="22">
        <f t="shared" si="67"/>
        <v>6.3163460169613921E-12</v>
      </c>
      <c r="CX118" s="62">
        <f t="shared" si="68"/>
        <v>293.33333333333962</v>
      </c>
      <c r="CY118" s="62">
        <f ca="1">AVERAGE(OFFSET($CX$3,0,0,'Données projet'!$E$13+1,1))-AVERAGE(OFFSET($H$3,0,0,'Données projet'!$E$13+1,1))</f>
        <v>290.68086183422963</v>
      </c>
      <c r="CZ118" s="62">
        <f t="shared" si="96"/>
        <v>317.88330630101785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274.18559999999974</v>
      </c>
      <c r="P119" s="14">
        <f t="shared" si="87"/>
        <v>65.736762389907383</v>
      </c>
      <c r="Q119" s="22">
        <f t="shared" si="107"/>
        <v>592.03144782908828</v>
      </c>
      <c r="R119" s="62">
        <f t="shared" si="55"/>
        <v>885.36478116242165</v>
      </c>
      <c r="S119" s="62">
        <f ca="1">AVERAGE(OFFSET($R$3,0,0,'Données projet'!$E$9+1,1))-AVERAGE(OFFSET($H$3,0,0,'Données projet'!$E$9+1,1))</f>
        <v>476.8965664931755</v>
      </c>
      <c r="T119" s="62">
        <f t="shared" si="88"/>
        <v>254.25036207346591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270.39999999999969</v>
      </c>
      <c r="AJ119" s="14">
        <f>AI119*VLOOKUP('Données projet'!$B$10,Paramètres!$A$1:$I$89,3,0)*VLOOKUP('Données projet'!$B$10,Paramètres!$A$1:$I$89,5,0)</f>
        <v>244.65791999999973</v>
      </c>
      <c r="AK119" s="14">
        <f t="shared" si="89"/>
        <v>59.44058075210863</v>
      </c>
      <c r="AL119" s="22">
        <f t="shared" si="58"/>
        <v>529.63822214325535</v>
      </c>
      <c r="AM119" s="62">
        <f t="shared" si="59"/>
        <v>822.97155547658872</v>
      </c>
      <c r="AN119" s="62">
        <f ca="1">AVERAGE(OFFSET($AM$3,0,0,'Données projet'!$E$10+1,1))-AVERAGE(OFFSET($H$3,0,0,'Données projet'!$E$10+1,1))</f>
        <v>430.11660085503223</v>
      </c>
      <c r="AO119" s="62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1.7053025658242404E-13</v>
      </c>
      <c r="BE119" s="14">
        <f>BD119*VLOOKUP('Données projet'!$B$11,Paramètres!$A$1:$I$89,3,0)*VLOOKUP('Données projet'!$B$11,Paramètres!$A$1:$I$89,5,0)</f>
        <v>1.4897523215040567E-13</v>
      </c>
      <c r="BF119" s="14">
        <f t="shared" si="91"/>
        <v>2.136562777003313E-12</v>
      </c>
      <c r="BG119" s="22">
        <f t="shared" si="61"/>
        <v>3.9806453659427267E-12</v>
      </c>
      <c r="BH119" s="62">
        <f t="shared" si="62"/>
        <v>293.33333333333729</v>
      </c>
      <c r="BI119" s="62">
        <f ca="1">AVERAGE(OFFSET($BH$3,0,0,'Données projet'!$E$11+1,1))-AVERAGE(OFFSET($H$3,0,0,'Données projet'!$E$11+1,1))</f>
        <v>346.7910845218741</v>
      </c>
      <c r="BJ119" s="62">
        <f t="shared" si="92"/>
        <v>469.89734899725369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-6.7984728957526396E-14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207.59954777160192</v>
      </c>
      <c r="CE119" s="62">
        <f t="shared" si="94"/>
        <v>314.81017053732063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0.66794954212958768</v>
      </c>
      <c r="CL119" s="23">
        <f>EXP(-LN(2)/25)*CL118+(1-EXP(-LN(2)/25))/(LN(2)/25)*Calculateur!CG119*Calculateur!CI119*VLOOKUP('Données projet'!$B$12,Paramètres!$A$1:$I$89,3,0)*0.475*44/12</f>
        <v>0.49309550948226477</v>
      </c>
      <c r="CM119" s="23">
        <f>EXP(-LN(2)/2)*CM118+(1-EXP(-LN(2)/2))/(LN(2)/2)*CG119*CJ119*VLOOKUP('Données projet'!$B$12,Paramètres!$A$1:$I$89,3,0)*0.475*44/12</f>
        <v>7.8288192911088751E-13</v>
      </c>
      <c r="CN119" s="24">
        <f t="shared" si="66"/>
        <v>1.1610450516126354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3.4106051316484809E-13</v>
      </c>
      <c r="CU119" s="18">
        <f>CT119*VLOOKUP('Données projet'!$B$13,Paramètres!$A$1:$I$89,3,0)*VLOOKUP('Données projet'!$B$13,Paramètres!$A$1:$I$89,5,0)</f>
        <v>2.5006556825246659E-13</v>
      </c>
      <c r="CV119" s="14">
        <f t="shared" si="95"/>
        <v>3.3765445850268018E-12</v>
      </c>
      <c r="CW119" s="22">
        <f t="shared" si="67"/>
        <v>6.3163460169613921E-12</v>
      </c>
      <c r="CX119" s="62">
        <f t="shared" si="68"/>
        <v>293.33333333333962</v>
      </c>
      <c r="CY119" s="62">
        <f ca="1">AVERAGE(OFFSET($CX$3,0,0,'Données projet'!$E$13+1,1))-AVERAGE(OFFSET($H$3,0,0,'Données projet'!$E$13+1,1))</f>
        <v>290.68086183422963</v>
      </c>
      <c r="CZ119" s="62">
        <f t="shared" si="96"/>
        <v>317.88330630101785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277.6331999999997</v>
      </c>
      <c r="P120" s="14">
        <f t="shared" si="87"/>
        <v>66.466589162975581</v>
      </c>
      <c r="Q120" s="22">
        <f t="shared" si="107"/>
        <v>599.30713279218196</v>
      </c>
      <c r="R120" s="62">
        <f t="shared" si="55"/>
        <v>892.64046612551533</v>
      </c>
      <c r="S120" s="62">
        <f ca="1">AVERAGE(OFFSET($R$3,0,0,'Données projet'!$E$9+1,1))-AVERAGE(OFFSET($H$3,0,0,'Données projet'!$E$9+1,1))</f>
        <v>476.8965664931755</v>
      </c>
      <c r="T120" s="62">
        <f t="shared" si="88"/>
        <v>254.25036207346591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273.79999999999967</v>
      </c>
      <c r="AJ120" s="14">
        <f>AI120*VLOOKUP('Données projet'!$B$10,Paramètres!$A$1:$I$89,3,0)*VLOOKUP('Données projet'!$B$10,Paramètres!$A$1:$I$89,5,0)</f>
        <v>247.73423999999969</v>
      </c>
      <c r="AK120" s="14">
        <f t="shared" si="89"/>
        <v>60.10050566569506</v>
      </c>
      <c r="AL120" s="22">
        <f t="shared" si="58"/>
        <v>536.14551536775173</v>
      </c>
      <c r="AM120" s="62">
        <f t="shared" si="59"/>
        <v>829.4788487010851</v>
      </c>
      <c r="AN120" s="62">
        <f ca="1">AVERAGE(OFFSET($AM$3,0,0,'Données projet'!$E$10+1,1))-AVERAGE(OFFSET($H$3,0,0,'Données projet'!$E$10+1,1))</f>
        <v>430.11660085503223</v>
      </c>
      <c r="AO120" s="62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1.7053025658242404E-13</v>
      </c>
      <c r="BE120" s="14">
        <f>BD120*VLOOKUP('Données projet'!$B$11,Paramètres!$A$1:$I$89,3,0)*VLOOKUP('Données projet'!$B$11,Paramètres!$A$1:$I$89,5,0)</f>
        <v>1.4897523215040567E-13</v>
      </c>
      <c r="BF120" s="14">
        <f t="shared" si="91"/>
        <v>2.136562777003313E-12</v>
      </c>
      <c r="BG120" s="22">
        <f t="shared" si="61"/>
        <v>3.9806453659427267E-12</v>
      </c>
      <c r="BH120" s="62">
        <f t="shared" si="62"/>
        <v>293.33333333333729</v>
      </c>
      <c r="BI120" s="62">
        <f ca="1">AVERAGE(OFFSET($BH$3,0,0,'Données projet'!$E$11+1,1))-AVERAGE(OFFSET($H$3,0,0,'Données projet'!$E$11+1,1))</f>
        <v>346.7910845218741</v>
      </c>
      <c r="BJ120" s="62">
        <f t="shared" si="92"/>
        <v>469.89734899725369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-6.7984728957526396E-14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207.59954777160192</v>
      </c>
      <c r="CE120" s="62">
        <f t="shared" si="94"/>
        <v>314.81017053732063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0.65485145901741892</v>
      </c>
      <c r="CL120" s="23">
        <f>EXP(-LN(2)/25)*CL119+(1-EXP(-LN(2)/25))/(LN(2)/25)*Calculateur!CG120*Calculateur!CI120*VLOOKUP('Données projet'!$B$12,Paramètres!$A$1:$I$89,3,0)*0.475*44/12</f>
        <v>0.4796117868447064</v>
      </c>
      <c r="CM120" s="23">
        <f>EXP(-LN(2)/2)*CM119+(1-EXP(-LN(2)/2))/(LN(2)/2)*CG120*CJ120*VLOOKUP('Données projet'!$B$12,Paramètres!$A$1:$I$89,3,0)*0.475*44/12</f>
        <v>5.5358112094271453E-13</v>
      </c>
      <c r="CN120" s="24">
        <f t="shared" si="66"/>
        <v>1.1344632458626789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3.4106051316484809E-13</v>
      </c>
      <c r="CU120" s="18">
        <f>CT120*VLOOKUP('Données projet'!$B$13,Paramètres!$A$1:$I$89,3,0)*VLOOKUP('Données projet'!$B$13,Paramètres!$A$1:$I$89,5,0)</f>
        <v>2.5006556825246659E-13</v>
      </c>
      <c r="CV120" s="14">
        <f t="shared" si="95"/>
        <v>3.3765445850268018E-12</v>
      </c>
      <c r="CW120" s="22">
        <f t="shared" si="67"/>
        <v>6.3163460169613921E-12</v>
      </c>
      <c r="CX120" s="62">
        <f t="shared" si="68"/>
        <v>293.33333333333962</v>
      </c>
      <c r="CY120" s="62">
        <f ca="1">AVERAGE(OFFSET($CX$3,0,0,'Données projet'!$E$13+1,1))-AVERAGE(OFFSET($H$3,0,0,'Données projet'!$E$13+1,1))</f>
        <v>290.68086183422963</v>
      </c>
      <c r="CZ120" s="62">
        <f t="shared" si="96"/>
        <v>317.88330630101785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281.08079999999967</v>
      </c>
      <c r="P121" s="14">
        <f t="shared" si="87"/>
        <v>67.195361752546063</v>
      </c>
      <c r="Q121" s="22">
        <f t="shared" si="107"/>
        <v>606.58098171901713</v>
      </c>
      <c r="R121" s="62">
        <f t="shared" si="55"/>
        <v>899.9143150523505</v>
      </c>
      <c r="S121" s="62">
        <f ca="1">AVERAGE(OFFSET($R$3,0,0,'Données projet'!$E$9+1,1))-AVERAGE(OFFSET($H$3,0,0,'Données projet'!$E$9+1,1))</f>
        <v>476.8965664931755</v>
      </c>
      <c r="T121" s="62">
        <f t="shared" si="88"/>
        <v>254.25036207346591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277.19999999999965</v>
      </c>
      <c r="AJ121" s="14">
        <f>AI121*VLOOKUP('Données projet'!$B$10,Paramètres!$A$1:$I$89,3,0)*VLOOKUP('Données projet'!$B$10,Paramètres!$A$1:$I$89,5,0)</f>
        <v>250.81055999999967</v>
      </c>
      <c r="AK121" s="14">
        <f t="shared" si="89"/>
        <v>60.759477364108633</v>
      </c>
      <c r="AL121" s="22">
        <f t="shared" si="58"/>
        <v>542.65114840915533</v>
      </c>
      <c r="AM121" s="62">
        <f t="shared" si="59"/>
        <v>835.9844817424887</v>
      </c>
      <c r="AN121" s="62">
        <f ca="1">AVERAGE(OFFSET($AM$3,0,0,'Données projet'!$E$10+1,1))-AVERAGE(OFFSET($H$3,0,0,'Données projet'!$E$10+1,1))</f>
        <v>430.11660085503223</v>
      </c>
      <c r="AO121" s="62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1.7053025658242404E-13</v>
      </c>
      <c r="BE121" s="14">
        <f>BD121*VLOOKUP('Données projet'!$B$11,Paramètres!$A$1:$I$89,3,0)*VLOOKUP('Données projet'!$B$11,Paramètres!$A$1:$I$89,5,0)</f>
        <v>1.4897523215040567E-13</v>
      </c>
      <c r="BF121" s="14">
        <f t="shared" si="91"/>
        <v>2.136562777003313E-12</v>
      </c>
      <c r="BG121" s="22">
        <f t="shared" si="61"/>
        <v>3.9806453659427267E-12</v>
      </c>
      <c r="BH121" s="62">
        <f t="shared" si="62"/>
        <v>293.33333333333729</v>
      </c>
      <c r="BI121" s="62">
        <f ca="1">AVERAGE(OFFSET($BH$3,0,0,'Données projet'!$E$11+1,1))-AVERAGE(OFFSET($H$3,0,0,'Données projet'!$E$11+1,1))</f>
        <v>346.7910845218741</v>
      </c>
      <c r="BJ121" s="62">
        <f t="shared" si="92"/>
        <v>469.89734899725369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-6.7984728957526396E-14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207.59954777160192</v>
      </c>
      <c r="CE121" s="62">
        <f t="shared" si="94"/>
        <v>314.81017053732063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0.64201022132603791</v>
      </c>
      <c r="CL121" s="23">
        <f>EXP(-LN(2)/25)*CL120+(1-EXP(-LN(2)/25))/(LN(2)/25)*Calculateur!CG121*Calculateur!CI121*VLOOKUP('Données projet'!$B$12,Paramètres!$A$1:$I$89,3,0)*0.475*44/12</f>
        <v>0.46649677731175021</v>
      </c>
      <c r="CM121" s="23">
        <f>EXP(-LN(2)/2)*CM120+(1-EXP(-LN(2)/2))/(LN(2)/2)*CG121*CJ121*VLOOKUP('Données projet'!$B$12,Paramètres!$A$1:$I$89,3,0)*0.475*44/12</f>
        <v>3.9144096455544375E-13</v>
      </c>
      <c r="CN121" s="24">
        <f t="shared" si="66"/>
        <v>1.1085069986381797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3.4106051316484809E-13</v>
      </c>
      <c r="CU121" s="18">
        <f>CT121*VLOOKUP('Données projet'!$B$13,Paramètres!$A$1:$I$89,3,0)*VLOOKUP('Données projet'!$B$13,Paramètres!$A$1:$I$89,5,0)</f>
        <v>2.5006556825246659E-13</v>
      </c>
      <c r="CV121" s="14">
        <f t="shared" si="95"/>
        <v>3.3765445850268018E-12</v>
      </c>
      <c r="CW121" s="22">
        <f t="shared" si="67"/>
        <v>6.3163460169613921E-12</v>
      </c>
      <c r="CX121" s="62">
        <f t="shared" si="68"/>
        <v>293.33333333333962</v>
      </c>
      <c r="CY121" s="62">
        <f ca="1">AVERAGE(OFFSET($CX$3,0,0,'Données projet'!$E$13+1,1))-AVERAGE(OFFSET($H$3,0,0,'Données projet'!$E$13+1,1))</f>
        <v>290.68086183422963</v>
      </c>
      <c r="CZ121" s="62">
        <f t="shared" si="96"/>
        <v>317.88330630101785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284.52839999999964</v>
      </c>
      <c r="P122" s="14">
        <f t="shared" si="87"/>
        <v>67.923094584210816</v>
      </c>
      <c r="Q122" s="22">
        <f t="shared" si="107"/>
        <v>613.85301973416642</v>
      </c>
      <c r="R122" s="62">
        <f t="shared" si="55"/>
        <v>907.18635306749979</v>
      </c>
      <c r="S122" s="62">
        <f ca="1">AVERAGE(OFFSET($R$3,0,0,'Données projet'!$E$9+1,1))-AVERAGE(OFFSET($H$3,0,0,'Données projet'!$E$9+1,1))</f>
        <v>476.8965664931755</v>
      </c>
      <c r="T122" s="62">
        <f t="shared" si="88"/>
        <v>254.25036207346591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280.59999999999962</v>
      </c>
      <c r="AJ122" s="14">
        <f>AI122*VLOOKUP('Données projet'!$B$10,Paramètres!$A$1:$I$89,3,0)*VLOOKUP('Données projet'!$B$10,Paramètres!$A$1:$I$89,5,0)</f>
        <v>253.88687999999965</v>
      </c>
      <c r="AK122" s="14">
        <f t="shared" si="89"/>
        <v>61.417508891276917</v>
      </c>
      <c r="AL122" s="22">
        <f t="shared" si="58"/>
        <v>549.15514398563994</v>
      </c>
      <c r="AM122" s="62">
        <f t="shared" si="59"/>
        <v>842.48847731897331</v>
      </c>
      <c r="AN122" s="62">
        <f ca="1">AVERAGE(OFFSET($AM$3,0,0,'Données projet'!$E$10+1,1))-AVERAGE(OFFSET($H$3,0,0,'Données projet'!$E$10+1,1))</f>
        <v>430.11660085503223</v>
      </c>
      <c r="AO122" s="62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1.7053025658242404E-13</v>
      </c>
      <c r="BE122" s="14">
        <f>BD122*VLOOKUP('Données projet'!$B$11,Paramètres!$A$1:$I$89,3,0)*VLOOKUP('Données projet'!$B$11,Paramètres!$A$1:$I$89,5,0)</f>
        <v>1.4897523215040567E-13</v>
      </c>
      <c r="BF122" s="14">
        <f t="shared" si="91"/>
        <v>2.136562777003313E-12</v>
      </c>
      <c r="BG122" s="22">
        <f t="shared" si="61"/>
        <v>3.9806453659427267E-12</v>
      </c>
      <c r="BH122" s="62">
        <f t="shared" si="62"/>
        <v>293.33333333333729</v>
      </c>
      <c r="BI122" s="62">
        <f ca="1">AVERAGE(OFFSET($BH$3,0,0,'Données projet'!$E$11+1,1))-AVERAGE(OFFSET($H$3,0,0,'Données projet'!$E$11+1,1))</f>
        <v>346.7910845218741</v>
      </c>
      <c r="BJ122" s="62">
        <f t="shared" si="92"/>
        <v>469.89734899725369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-6.7984728957526396E-14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207.59954777160192</v>
      </c>
      <c r="CE122" s="62">
        <f t="shared" si="94"/>
        <v>314.81017053732063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0.62942079247340321</v>
      </c>
      <c r="CL122" s="23">
        <f>EXP(-LN(2)/25)*CL121+(1-EXP(-LN(2)/25))/(LN(2)/25)*Calculateur!CG122*Calculateur!CI122*VLOOKUP('Données projet'!$B$12,Paramètres!$A$1:$I$89,3,0)*0.475*44/12</f>
        <v>0.45374039840416108</v>
      </c>
      <c r="CM122" s="23">
        <f>EXP(-LN(2)/2)*CM121+(1-EXP(-LN(2)/2))/(LN(2)/2)*CG122*CJ122*VLOOKUP('Données projet'!$B$12,Paramètres!$A$1:$I$89,3,0)*0.475*44/12</f>
        <v>2.7679056047135727E-13</v>
      </c>
      <c r="CN122" s="24">
        <f t="shared" si="66"/>
        <v>1.0831611908778411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3.4106051316484809E-13</v>
      </c>
      <c r="CU122" s="18">
        <f>CT122*VLOOKUP('Données projet'!$B$13,Paramètres!$A$1:$I$89,3,0)*VLOOKUP('Données projet'!$B$13,Paramètres!$A$1:$I$89,5,0)</f>
        <v>2.5006556825246659E-13</v>
      </c>
      <c r="CV122" s="14">
        <f t="shared" si="95"/>
        <v>3.3765445850268018E-12</v>
      </c>
      <c r="CW122" s="22">
        <f t="shared" si="67"/>
        <v>6.3163460169613921E-12</v>
      </c>
      <c r="CX122" s="62">
        <f t="shared" si="68"/>
        <v>293.33333333333962</v>
      </c>
      <c r="CY122" s="62">
        <f ca="1">AVERAGE(OFFSET($CX$3,0,0,'Données projet'!$E$13+1,1))-AVERAGE(OFFSET($H$3,0,0,'Données projet'!$E$13+1,1))</f>
        <v>290.68086183422963</v>
      </c>
      <c r="CZ122" s="62">
        <f t="shared" si="96"/>
        <v>317.88330630101785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287.9759999999996</v>
      </c>
      <c r="P123" s="14">
        <f t="shared" si="87"/>
        <v>68.649801713863027</v>
      </c>
      <c r="Q123" s="22">
        <f t="shared" si="107"/>
        <v>621.1232713183108</v>
      </c>
      <c r="R123" s="62">
        <f t="shared" si="55"/>
        <v>914.45660465164406</v>
      </c>
      <c r="S123" s="62">
        <f ca="1">AVERAGE(OFFSET($R$3,0,0,'Données projet'!$E$9+1,1))-AVERAGE(OFFSET($H$3,0,0,'Données projet'!$E$9+1,1))</f>
        <v>476.8965664931755</v>
      </c>
      <c r="T123" s="62">
        <f t="shared" si="88"/>
        <v>254.25036207346591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283.9999999999996</v>
      </c>
      <c r="AJ123" s="14">
        <f>AI123*VLOOKUP('Données projet'!$B$10,Paramètres!$A$1:$I$89,3,0)*VLOOKUP('Données projet'!$B$10,Paramètres!$A$1:$I$89,5,0)</f>
        <v>256.96319999999963</v>
      </c>
      <c r="AK123" s="14">
        <f t="shared" si="89"/>
        <v>62.07461295683791</v>
      </c>
      <c r="AL123" s="22">
        <f t="shared" si="58"/>
        <v>555.65752423315882</v>
      </c>
      <c r="AM123" s="62">
        <f t="shared" si="59"/>
        <v>848.9908575664922</v>
      </c>
      <c r="AN123" s="62">
        <f ca="1">AVERAGE(OFFSET($AM$3,0,0,'Données projet'!$E$10+1,1))-AVERAGE(OFFSET($H$3,0,0,'Données projet'!$E$10+1,1))</f>
        <v>430.11660085503223</v>
      </c>
      <c r="AO123" s="62">
        <f t="shared" si="90"/>
        <v>231.36959598460686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1.7053025658242404E-13</v>
      </c>
      <c r="BE123" s="14">
        <f>BD123*VLOOKUP('Données projet'!$B$11,Paramètres!$A$1:$I$89,3,0)*VLOOKUP('Données projet'!$B$11,Paramètres!$A$1:$I$89,5,0)</f>
        <v>1.4897523215040567E-13</v>
      </c>
      <c r="BF123" s="14">
        <f t="shared" si="91"/>
        <v>2.136562777003313E-12</v>
      </c>
      <c r="BG123" s="22">
        <f t="shared" si="61"/>
        <v>3.9806453659427267E-12</v>
      </c>
      <c r="BH123" s="62">
        <f t="shared" si="62"/>
        <v>293.33333333333729</v>
      </c>
      <c r="BI123" s="62">
        <f ca="1">AVERAGE(OFFSET($BH$3,0,0,'Données projet'!$E$11+1,1))-AVERAGE(OFFSET($H$3,0,0,'Données projet'!$E$11+1,1))</f>
        <v>346.7910845218741</v>
      </c>
      <c r="BJ123" s="62">
        <f t="shared" si="92"/>
        <v>469.89734899725369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-6.7984728957526396E-14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207.59954777160192</v>
      </c>
      <c r="CE123" s="62">
        <f t="shared" si="94"/>
        <v>314.81017053732063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0.61707823464177536</v>
      </c>
      <c r="CL123" s="23">
        <f>EXP(-LN(2)/25)*CL122+(1-EXP(-LN(2)/25))/(LN(2)/25)*Calculateur!CG123*Calculateur!CI123*VLOOKUP('Données projet'!$B$12,Paramètres!$A$1:$I$89,3,0)*0.475*44/12</f>
        <v>0.44133284334862877</v>
      </c>
      <c r="CM123" s="23">
        <f>EXP(-LN(2)/2)*CM122+(1-EXP(-LN(2)/2))/(LN(2)/2)*CG123*CJ123*VLOOKUP('Données projet'!$B$12,Paramètres!$A$1:$I$89,3,0)*0.475*44/12</f>
        <v>1.9572048227772188E-13</v>
      </c>
      <c r="CN123" s="24">
        <f t="shared" si="66"/>
        <v>1.0584110779905997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3.4106051316484809E-13</v>
      </c>
      <c r="CU123" s="18">
        <f>CT123*VLOOKUP('Données projet'!$B$13,Paramètres!$A$1:$I$89,3,0)*VLOOKUP('Données projet'!$B$13,Paramètres!$A$1:$I$89,5,0)</f>
        <v>2.5006556825246659E-13</v>
      </c>
      <c r="CV123" s="14">
        <f t="shared" si="95"/>
        <v>3.3765445850268018E-12</v>
      </c>
      <c r="CW123" s="22">
        <f t="shared" si="67"/>
        <v>6.3163460169613921E-12</v>
      </c>
      <c r="CX123" s="62">
        <f t="shared" si="68"/>
        <v>293.33333333333962</v>
      </c>
      <c r="CY123" s="62">
        <f ca="1">AVERAGE(OFFSET($CX$3,0,0,'Données projet'!$E$13+1,1))-AVERAGE(OFFSET($H$3,0,0,'Données projet'!$E$13+1,1))</f>
        <v>290.68086183422963</v>
      </c>
      <c r="CZ123" s="62">
        <f t="shared" si="96"/>
        <v>317.88330630101785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291.42359999999962</v>
      </c>
      <c r="P124" s="14">
        <f t="shared" si="87"/>
        <v>69.375496841482104</v>
      </c>
      <c r="Q124" s="22">
        <f t="shared" si="107"/>
        <v>628.39176033224737</v>
      </c>
      <c r="R124" s="62">
        <f t="shared" si="55"/>
        <v>921.72509366558074</v>
      </c>
      <c r="S124" s="62">
        <f ca="1">AVERAGE(OFFSET($R$3,0,0,'Données projet'!$E$9+1,1))-AVERAGE(OFFSET($H$3,0,0,'Données projet'!$E$9+1,1))</f>
        <v>476.8965664931755</v>
      </c>
      <c r="T124" s="62">
        <f t="shared" si="88"/>
        <v>254.25036207346591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287.39999999999958</v>
      </c>
      <c r="AJ124" s="14">
        <f>AI124*VLOOKUP('Données projet'!$B$10,Paramètres!$A$1:$I$89,3,0)*VLOOKUP('Données projet'!$B$10,Paramètres!$A$1:$I$89,5,0)</f>
        <v>260.03951999999964</v>
      </c>
      <c r="AK124" s="14">
        <f t="shared" si="89"/>
        <v>62.730801948604821</v>
      </c>
      <c r="AL124" s="22">
        <f t="shared" si="58"/>
        <v>562.15831072715275</v>
      </c>
      <c r="AM124" s="62">
        <f t="shared" si="59"/>
        <v>855.49164406048612</v>
      </c>
      <c r="AN124" s="62">
        <f ca="1">AVERAGE(OFFSET($AM$3,0,0,'Données projet'!$E$10+1,1))-AVERAGE(OFFSET($H$3,0,0,'Données projet'!$E$10+1,1))</f>
        <v>430.11660085503223</v>
      </c>
      <c r="AO124" s="62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projet'!$B$11,Paramètres!$A$1:$I$89,3,0)*VLOOKUP('Données projet'!$B$11,Paramètres!$A$1:$I$89,5,0)</f>
        <v>1.4897523215040567E-13</v>
      </c>
      <c r="BF124" s="14">
        <f t="shared" si="91"/>
        <v>2.136562777003313E-12</v>
      </c>
      <c r="BG124" s="22">
        <f t="shared" si="61"/>
        <v>3.9806453659427267E-12</v>
      </c>
      <c r="BH124" s="62">
        <f t="shared" si="62"/>
        <v>293.33333333333729</v>
      </c>
      <c r="BI124" s="62">
        <f ca="1">AVERAGE(OFFSET($BH$3,0,0,'Données projet'!$E$11+1,1))-AVERAGE(OFFSET($H$3,0,0,'Données projet'!$E$11+1,1))</f>
        <v>346.7910845218741</v>
      </c>
      <c r="BJ124" s="62">
        <f t="shared" si="92"/>
        <v>469.89734899725369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-6.7984728957526396E-14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207.59954777160192</v>
      </c>
      <c r="CE124" s="62">
        <f t="shared" si="94"/>
        <v>314.81017053732063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0.60497770684100882</v>
      </c>
      <c r="CL124" s="23">
        <f>EXP(-LN(2)/25)*CL123+(1-EXP(-LN(2)/25))/(LN(2)/25)*Calculateur!CG124*Calculateur!CI124*VLOOKUP('Données projet'!$B$12,Paramètres!$A$1:$I$89,3,0)*0.475*44/12</f>
        <v>0.42926457353857495</v>
      </c>
      <c r="CM124" s="23">
        <f>EXP(-LN(2)/2)*CM123+(1-EXP(-LN(2)/2))/(LN(2)/2)*CG124*CJ124*VLOOKUP('Données projet'!$B$12,Paramètres!$A$1:$I$89,3,0)*0.475*44/12</f>
        <v>1.3839528023567863E-13</v>
      </c>
      <c r="CN124" s="24">
        <f t="shared" si="66"/>
        <v>1.0342422803797222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3.4106051316484809E-13</v>
      </c>
      <c r="CU124" s="18">
        <f>CT124*VLOOKUP('Données projet'!$B$13,Paramètres!$A$1:$I$89,3,0)*VLOOKUP('Données projet'!$B$13,Paramètres!$A$1:$I$89,5,0)</f>
        <v>2.5006556825246659E-13</v>
      </c>
      <c r="CV124" s="14">
        <f t="shared" si="95"/>
        <v>3.3765445850268018E-12</v>
      </c>
      <c r="CW124" s="22">
        <f t="shared" si="67"/>
        <v>6.3163460169613921E-12</v>
      </c>
      <c r="CX124" s="62">
        <f t="shared" si="68"/>
        <v>293.33333333333962</v>
      </c>
      <c r="CY124" s="62">
        <f ca="1">AVERAGE(OFFSET($CX$3,0,0,'Données projet'!$E$13+1,1))-AVERAGE(OFFSET($H$3,0,0,'Données projet'!$E$13+1,1))</f>
        <v>290.68086183422963</v>
      </c>
      <c r="CZ124" s="62">
        <f t="shared" si="96"/>
        <v>317.88330630101785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294.87119999999959</v>
      </c>
      <c r="P125" s="14">
        <f t="shared" si="87"/>
        <v>70.100193324247002</v>
      </c>
      <c r="Q125" s="22">
        <f t="shared" si="107"/>
        <v>635.65851003972955</v>
      </c>
      <c r="R125" s="62">
        <f t="shared" si="55"/>
        <v>928.99184337306292</v>
      </c>
      <c r="S125" s="62">
        <f ca="1">AVERAGE(OFFSET($R$3,0,0,'Données projet'!$E$9+1,1))-AVERAGE(OFFSET($H$3,0,0,'Données projet'!$E$9+1,1))</f>
        <v>476.8965664931755</v>
      </c>
      <c r="T125" s="62">
        <f t="shared" si="88"/>
        <v>254.25036207346591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290.79999999999956</v>
      </c>
      <c r="AJ125" s="14">
        <f>AI125*VLOOKUP('Données projet'!$B$10,Paramètres!$A$1:$I$89,3,0)*VLOOKUP('Données projet'!$B$10,Paramètres!$A$1:$I$89,5,0)</f>
        <v>263.11583999999959</v>
      </c>
      <c r="AK125" s="14">
        <f t="shared" si="89"/>
        <v>63.38608794442333</v>
      </c>
      <c r="AL125" s="22">
        <f t="shared" si="58"/>
        <v>568.65752450320326</v>
      </c>
      <c r="AM125" s="62">
        <f t="shared" si="59"/>
        <v>861.99085783653663</v>
      </c>
      <c r="AN125" s="62">
        <f ca="1">AVERAGE(OFFSET($AM$3,0,0,'Données projet'!$E$10+1,1))-AVERAGE(OFFSET($H$3,0,0,'Données projet'!$E$10+1,1))</f>
        <v>430.11660085503223</v>
      </c>
      <c r="AO125" s="62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projet'!$B$11,Paramètres!$A$1:$I$89,3,0)*VLOOKUP('Données projet'!$B$11,Paramètres!$A$1:$I$89,5,0)</f>
        <v>1.4897523215040567E-13</v>
      </c>
      <c r="BF125" s="14">
        <f t="shared" si="91"/>
        <v>2.136562777003313E-12</v>
      </c>
      <c r="BG125" s="22">
        <f t="shared" si="61"/>
        <v>3.9806453659427267E-12</v>
      </c>
      <c r="BH125" s="62">
        <f t="shared" si="62"/>
        <v>293.33333333333729</v>
      </c>
      <c r="BI125" s="62">
        <f ca="1">AVERAGE(OFFSET($BH$3,0,0,'Données projet'!$E$11+1,1))-AVERAGE(OFFSET($H$3,0,0,'Données projet'!$E$11+1,1))</f>
        <v>346.7910845218741</v>
      </c>
      <c r="BJ125" s="62">
        <f t="shared" si="92"/>
        <v>469.89734899725369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-6.7984728957526396E-14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207.59954777160192</v>
      </c>
      <c r="CE125" s="62">
        <f t="shared" si="94"/>
        <v>314.81017053732063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0.59311446300982207</v>
      </c>
      <c r="CL125" s="23">
        <f>EXP(-LN(2)/25)*CL124+(1-EXP(-LN(2)/25))/(LN(2)/25)*Calculateur!CG125*Calculateur!CI125*VLOOKUP('Données projet'!$B$12,Paramètres!$A$1:$I$89,3,0)*0.475*44/12</f>
        <v>0.41752631120111977</v>
      </c>
      <c r="CM125" s="23">
        <f>EXP(-LN(2)/2)*CM124+(1-EXP(-LN(2)/2))/(LN(2)/2)*CG125*CJ125*VLOOKUP('Données projet'!$B$12,Paramètres!$A$1:$I$89,3,0)*0.475*44/12</f>
        <v>9.7860241138860938E-14</v>
      </c>
      <c r="CN125" s="24">
        <f t="shared" si="66"/>
        <v>1.0106407742110397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3.4106051316484809E-13</v>
      </c>
      <c r="CU125" s="18">
        <f>CT125*VLOOKUP('Données projet'!$B$13,Paramètres!$A$1:$I$89,3,0)*VLOOKUP('Données projet'!$B$13,Paramètres!$A$1:$I$89,5,0)</f>
        <v>2.5006556825246659E-13</v>
      </c>
      <c r="CV125" s="14">
        <f t="shared" si="95"/>
        <v>3.3765445850268018E-12</v>
      </c>
      <c r="CW125" s="22">
        <f t="shared" si="67"/>
        <v>6.3163460169613921E-12</v>
      </c>
      <c r="CX125" s="62">
        <f t="shared" si="68"/>
        <v>293.33333333333962</v>
      </c>
      <c r="CY125" s="62">
        <f ca="1">AVERAGE(OFFSET($CX$3,0,0,'Données projet'!$E$13+1,1))-AVERAGE(OFFSET($H$3,0,0,'Données projet'!$E$13+1,1))</f>
        <v>290.68086183422963</v>
      </c>
      <c r="CZ125" s="62">
        <f t="shared" si="96"/>
        <v>317.88330630101785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298.31879999999956</v>
      </c>
      <c r="P126" s="14">
        <f t="shared" si="87"/>
        <v>70.823904189019785</v>
      </c>
      <c r="Q126" s="22">
        <f t="shared" si="107"/>
        <v>642.92354312920872</v>
      </c>
      <c r="R126" s="62">
        <f t="shared" si="55"/>
        <v>936.2568764625421</v>
      </c>
      <c r="S126" s="62">
        <f ca="1">AVERAGE(OFFSET($R$3,0,0,'Données projet'!$E$9+1,1))-AVERAGE(OFFSET($H$3,0,0,'Données projet'!$E$9+1,1))</f>
        <v>476.8965664931755</v>
      </c>
      <c r="T126" s="62">
        <f t="shared" si="88"/>
        <v>254.25036207346591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294.19999999999953</v>
      </c>
      <c r="AJ126" s="14">
        <f>AI126*VLOOKUP('Données projet'!$B$10,Paramètres!$A$1:$I$89,3,0)*VLOOKUP('Données projet'!$B$10,Paramètres!$A$1:$I$89,5,0)</f>
        <v>266.19215999999955</v>
      </c>
      <c r="AK126" s="14">
        <f t="shared" si="89"/>
        <v>64.040482723459647</v>
      </c>
      <c r="AL126" s="22">
        <f t="shared" si="58"/>
        <v>575.15518607669139</v>
      </c>
      <c r="AM126" s="62">
        <f t="shared" si="59"/>
        <v>868.48851941002476</v>
      </c>
      <c r="AN126" s="62">
        <f ca="1">AVERAGE(OFFSET($AM$3,0,0,'Données projet'!$E$10+1,1))-AVERAGE(OFFSET($H$3,0,0,'Données projet'!$E$10+1,1))</f>
        <v>430.11660085503223</v>
      </c>
      <c r="AO126" s="62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projet'!$B$11,Paramètres!$A$1:$I$89,3,0)*VLOOKUP('Données projet'!$B$11,Paramètres!$A$1:$I$89,5,0)</f>
        <v>1.4897523215040567E-13</v>
      </c>
      <c r="BF126" s="14">
        <f t="shared" si="91"/>
        <v>2.136562777003313E-12</v>
      </c>
      <c r="BG126" s="22">
        <f t="shared" si="61"/>
        <v>3.9806453659427267E-12</v>
      </c>
      <c r="BH126" s="62">
        <f t="shared" si="62"/>
        <v>293.33333333333729</v>
      </c>
      <c r="BI126" s="62">
        <f ca="1">AVERAGE(OFFSET($BH$3,0,0,'Données projet'!$E$11+1,1))-AVERAGE(OFFSET($H$3,0,0,'Données projet'!$E$11+1,1))</f>
        <v>346.7910845218741</v>
      </c>
      <c r="BJ126" s="62">
        <f t="shared" si="92"/>
        <v>469.89734899725369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-6.7984728957526396E-14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207.59954777160192</v>
      </c>
      <c r="CE126" s="62">
        <f t="shared" si="94"/>
        <v>314.81017053732063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0.58148385015430071</v>
      </c>
      <c r="CL126" s="23">
        <f>EXP(-LN(2)/25)*CL125+(1-EXP(-LN(2)/25))/(LN(2)/25)*Calculateur!CG126*Calculateur!CI126*VLOOKUP('Données projet'!$B$12,Paramètres!$A$1:$I$89,3,0)*0.475*44/12</f>
        <v>0.40610903226457074</v>
      </c>
      <c r="CM126" s="23">
        <f>EXP(-LN(2)/2)*CM125+(1-EXP(-LN(2)/2))/(LN(2)/2)*CG126*CJ126*VLOOKUP('Données projet'!$B$12,Paramètres!$A$1:$I$89,3,0)*0.475*44/12</f>
        <v>6.9197640117839316E-14</v>
      </c>
      <c r="CN126" s="24">
        <f t="shared" si="66"/>
        <v>0.98759288241894061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3.4106051316484809E-13</v>
      </c>
      <c r="CU126" s="18">
        <f>CT126*VLOOKUP('Données projet'!$B$13,Paramètres!$A$1:$I$89,3,0)*VLOOKUP('Données projet'!$B$13,Paramètres!$A$1:$I$89,5,0)</f>
        <v>2.5006556825246659E-13</v>
      </c>
      <c r="CV126" s="14">
        <f t="shared" si="95"/>
        <v>3.3765445850268018E-12</v>
      </c>
      <c r="CW126" s="22">
        <f t="shared" si="67"/>
        <v>6.3163460169613921E-12</v>
      </c>
      <c r="CX126" s="62">
        <f t="shared" si="68"/>
        <v>293.33333333333962</v>
      </c>
      <c r="CY126" s="62">
        <f ca="1">AVERAGE(OFFSET($CX$3,0,0,'Données projet'!$E$13+1,1))-AVERAGE(OFFSET($H$3,0,0,'Données projet'!$E$13+1,1))</f>
        <v>290.68086183422963</v>
      </c>
      <c r="CZ126" s="62">
        <f t="shared" si="96"/>
        <v>317.88330630101785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301.76639999999952</v>
      </c>
      <c r="P127" s="14">
        <f t="shared" si="87"/>
        <v>71.546642144235236</v>
      </c>
      <c r="Q127" s="22">
        <f t="shared" si="107"/>
        <v>650.18688173454223</v>
      </c>
      <c r="R127" s="62">
        <f t="shared" si="55"/>
        <v>943.5202150678756</v>
      </c>
      <c r="S127" s="62">
        <f ca="1">AVERAGE(OFFSET($R$3,0,0,'Données projet'!$E$9+1,1))-AVERAGE(OFFSET($H$3,0,0,'Données projet'!$E$9+1,1))</f>
        <v>476.8965664931755</v>
      </c>
      <c r="T127" s="62">
        <f t="shared" si="88"/>
        <v>254.25036207346591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297.59999999999951</v>
      </c>
      <c r="AJ127" s="14">
        <f>AI127*VLOOKUP('Données projet'!$B$10,Paramètres!$A$1:$I$89,3,0)*VLOOKUP('Données projet'!$B$10,Paramètres!$A$1:$I$89,5,0)</f>
        <v>269.26847999999956</v>
      </c>
      <c r="AK127" s="14">
        <f t="shared" si="89"/>
        <v>64.693997776951122</v>
      </c>
      <c r="AL127" s="22">
        <f t="shared" si="58"/>
        <v>581.65131546152236</v>
      </c>
      <c r="AM127" s="62">
        <f t="shared" si="59"/>
        <v>874.98464879485573</v>
      </c>
      <c r="AN127" s="62">
        <f ca="1">AVERAGE(OFFSET($AM$3,0,0,'Données projet'!$E$10+1,1))-AVERAGE(OFFSET($H$3,0,0,'Données projet'!$E$10+1,1))</f>
        <v>430.11660085503223</v>
      </c>
      <c r="AO127" s="62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projet'!$B$11,Paramètres!$A$1:$I$89,3,0)*VLOOKUP('Données projet'!$B$11,Paramètres!$A$1:$I$89,5,0)</f>
        <v>1.4897523215040567E-13</v>
      </c>
      <c r="BF127" s="14">
        <f t="shared" si="91"/>
        <v>2.136562777003313E-12</v>
      </c>
      <c r="BG127" s="22">
        <f t="shared" si="61"/>
        <v>3.9806453659427267E-12</v>
      </c>
      <c r="BH127" s="62">
        <f t="shared" si="62"/>
        <v>293.33333333333729</v>
      </c>
      <c r="BI127" s="62">
        <f ca="1">AVERAGE(OFFSET($BH$3,0,0,'Données projet'!$E$11+1,1))-AVERAGE(OFFSET($H$3,0,0,'Données projet'!$E$11+1,1))</f>
        <v>346.7910845218741</v>
      </c>
      <c r="BJ127" s="62">
        <f t="shared" si="92"/>
        <v>469.89734899725369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-6.7984728957526396E-14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207.59954777160192</v>
      </c>
      <c r="CE127" s="62">
        <f t="shared" si="94"/>
        <v>314.81017053732063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0.57008130652290268</v>
      </c>
      <c r="CL127" s="23">
        <f>EXP(-LN(2)/25)*CL126+(1-EXP(-LN(2)/25))/(LN(2)/25)*Calculateur!CG127*Calculateur!CI127*VLOOKUP('Données projet'!$B$12,Paramètres!$A$1:$I$89,3,0)*0.475*44/12</f>
        <v>0.39500395942095023</v>
      </c>
      <c r="CM127" s="23">
        <f>EXP(-LN(2)/2)*CM126+(1-EXP(-LN(2)/2))/(LN(2)/2)*CG127*CJ127*VLOOKUP('Données projet'!$B$12,Paramètres!$A$1:$I$89,3,0)*0.475*44/12</f>
        <v>4.8930120569430469E-14</v>
      </c>
      <c r="CN127" s="24">
        <f t="shared" si="66"/>
        <v>0.96508526594390187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3.4106051316484809E-13</v>
      </c>
      <c r="CU127" s="18">
        <f>CT127*VLOOKUP('Données projet'!$B$13,Paramètres!$A$1:$I$89,3,0)*VLOOKUP('Données projet'!$B$13,Paramètres!$A$1:$I$89,5,0)</f>
        <v>2.5006556825246659E-13</v>
      </c>
      <c r="CV127" s="14">
        <f t="shared" si="95"/>
        <v>3.3765445850268018E-12</v>
      </c>
      <c r="CW127" s="22">
        <f t="shared" si="67"/>
        <v>6.3163460169613921E-12</v>
      </c>
      <c r="CX127" s="62">
        <f t="shared" si="68"/>
        <v>293.33333333333962</v>
      </c>
      <c r="CY127" s="62">
        <f ca="1">AVERAGE(OFFSET($CX$3,0,0,'Données projet'!$E$13+1,1))-AVERAGE(OFFSET($H$3,0,0,'Données projet'!$E$13+1,1))</f>
        <v>290.68086183422963</v>
      </c>
      <c r="CZ127" s="62">
        <f t="shared" si="96"/>
        <v>317.88330630101785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305.21399999999949</v>
      </c>
      <c r="P128" s="14">
        <f t="shared" si="87"/>
        <v>72.268419591231208</v>
      </c>
      <c r="Q128" s="22">
        <f t="shared" si="107"/>
        <v>657.44854745472685</v>
      </c>
      <c r="R128" s="62">
        <f t="shared" si="55"/>
        <v>950.78188078806011</v>
      </c>
      <c r="S128" s="62">
        <f ca="1">AVERAGE(OFFSET($R$3,0,0,'Données projet'!$E$9+1,1))-AVERAGE(OFFSET($H$3,0,0,'Données projet'!$E$9+1,1))</f>
        <v>476.8965664931755</v>
      </c>
      <c r="T128" s="62">
        <f t="shared" si="88"/>
        <v>254.25036207346591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300.99999999999949</v>
      </c>
      <c r="AJ128" s="14">
        <f>AI128*VLOOKUP('Données projet'!$B$10,Paramètres!$A$1:$I$89,3,0)*VLOOKUP('Données projet'!$B$10,Paramètres!$A$1:$I$89,5,0)</f>
        <v>272.34479999999957</v>
      </c>
      <c r="AK128" s="14">
        <f t="shared" si="89"/>
        <v>65.346644318451652</v>
      </c>
      <c r="AL128" s="22">
        <f t="shared" si="58"/>
        <v>588.14593218796915</v>
      </c>
      <c r="AM128" s="62">
        <f t="shared" si="59"/>
        <v>881.47926552130252</v>
      </c>
      <c r="AN128" s="62">
        <f ca="1">AVERAGE(OFFSET($AM$3,0,0,'Données projet'!$E$10+1,1))-AVERAGE(OFFSET($H$3,0,0,'Données projet'!$E$10+1,1))</f>
        <v>430.11660085503223</v>
      </c>
      <c r="AO128" s="62">
        <f t="shared" si="90"/>
        <v>231.36959598460686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projet'!$B$11,Paramètres!$A$1:$I$89,3,0)*VLOOKUP('Données projet'!$B$11,Paramètres!$A$1:$I$89,5,0)</f>
        <v>1.4897523215040567E-13</v>
      </c>
      <c r="BF128" s="14">
        <f t="shared" si="91"/>
        <v>2.136562777003313E-12</v>
      </c>
      <c r="BG128" s="22">
        <f t="shared" si="61"/>
        <v>3.9806453659427267E-12</v>
      </c>
      <c r="BH128" s="62">
        <f t="shared" si="62"/>
        <v>293.33333333333729</v>
      </c>
      <c r="BI128" s="62">
        <f ca="1">AVERAGE(OFFSET($BH$3,0,0,'Données projet'!$E$11+1,1))-AVERAGE(OFFSET($H$3,0,0,'Données projet'!$E$11+1,1))</f>
        <v>346.7910845218741</v>
      </c>
      <c r="BJ128" s="62">
        <f t="shared" si="92"/>
        <v>469.89734899725369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-6.7984728957526396E-14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207.59954777160192</v>
      </c>
      <c r="CE128" s="62">
        <f t="shared" si="94"/>
        <v>314.81017053732063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0.55890235981725145</v>
      </c>
      <c r="CL128" s="23">
        <f>EXP(-LN(2)/25)*CL127+(1-EXP(-LN(2)/25))/(LN(2)/25)*Calculateur!CG128*Calculateur!CI128*VLOOKUP('Données projet'!$B$12,Paramètres!$A$1:$I$89,3,0)*0.475*44/12</f>
        <v>0.38420255537822889</v>
      </c>
      <c r="CM128" s="23">
        <f>EXP(-LN(2)/2)*CM127+(1-EXP(-LN(2)/2))/(LN(2)/2)*CG128*CJ128*VLOOKUP('Données projet'!$B$12,Paramètres!$A$1:$I$89,3,0)*0.475*44/12</f>
        <v>3.4598820058919658E-14</v>
      </c>
      <c r="CN128" s="24">
        <f t="shared" si="66"/>
        <v>0.94310491519551498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3.4106051316484809E-13</v>
      </c>
      <c r="CU128" s="18">
        <f>CT128*VLOOKUP('Données projet'!$B$13,Paramètres!$A$1:$I$89,3,0)*VLOOKUP('Données projet'!$B$13,Paramètres!$A$1:$I$89,5,0)</f>
        <v>2.5006556825246659E-13</v>
      </c>
      <c r="CV128" s="14">
        <f t="shared" si="95"/>
        <v>3.3765445850268018E-12</v>
      </c>
      <c r="CW128" s="22">
        <f t="shared" si="67"/>
        <v>6.3163460169613921E-12</v>
      </c>
      <c r="CX128" s="62">
        <f t="shared" si="68"/>
        <v>293.33333333333962</v>
      </c>
      <c r="CY128" s="62">
        <f ca="1">AVERAGE(OFFSET($CX$3,0,0,'Données projet'!$E$13+1,1))-AVERAGE(OFFSET($H$3,0,0,'Données projet'!$E$13+1,1))</f>
        <v>290.68086183422963</v>
      </c>
      <c r="CZ128" s="62">
        <f t="shared" si="96"/>
        <v>317.88330630101785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274.79399999999947</v>
      </c>
      <c r="P129" s="14">
        <f t="shared" si="87"/>
        <v>65.865632600455413</v>
      </c>
      <c r="Q129" s="22">
        <f t="shared" si="107"/>
        <v>593.31552677912566</v>
      </c>
      <c r="R129" s="62">
        <f t="shared" si="55"/>
        <v>886.64886011245903</v>
      </c>
      <c r="S129" s="62">
        <f ca="1">AVERAGE(OFFSET($R$3,0,0,'Données projet'!$E$9+1,1))-AVERAGE(OFFSET($H$3,0,0,'Données projet'!$E$9+1,1))</f>
        <v>476.8965664931755</v>
      </c>
      <c r="T129" s="62">
        <f t="shared" si="88"/>
        <v>254.25036207346591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270.99999999999949</v>
      </c>
      <c r="AJ129" s="14">
        <f>AI129*VLOOKUP('Données projet'!$B$10,Paramètres!$A$1:$I$89,3,0)*VLOOKUP('Données projet'!$B$10,Paramètres!$A$1:$I$89,5,0)</f>
        <v>245.20079999999953</v>
      </c>
      <c r="AK129" s="14">
        <f t="shared" si="89"/>
        <v>59.557107941433628</v>
      </c>
      <c r="AL129" s="22">
        <f t="shared" si="58"/>
        <v>530.78668966466273</v>
      </c>
      <c r="AM129" s="62">
        <f t="shared" si="59"/>
        <v>824.1200229979961</v>
      </c>
      <c r="AN129" s="62">
        <f ca="1">AVERAGE(OFFSET($AM$3,0,0,'Données projet'!$E$10+1,1))-AVERAGE(OFFSET($H$3,0,0,'Données projet'!$E$10+1,1))</f>
        <v>430.11660085503223</v>
      </c>
      <c r="AO129" s="62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projet'!$B$11,Paramètres!$A$1:$I$89,3,0)*VLOOKUP('Données projet'!$B$11,Paramètres!$A$1:$I$89,5,0)</f>
        <v>1.4897523215040567E-13</v>
      </c>
      <c r="BF129" s="14">
        <f t="shared" si="91"/>
        <v>2.136562777003313E-12</v>
      </c>
      <c r="BG129" s="22">
        <f t="shared" si="61"/>
        <v>3.9806453659427267E-12</v>
      </c>
      <c r="BH129" s="62">
        <f t="shared" si="62"/>
        <v>293.33333333333729</v>
      </c>
      <c r="BI129" s="62">
        <f ca="1">AVERAGE(OFFSET($BH$3,0,0,'Données projet'!$E$11+1,1))-AVERAGE(OFFSET($H$3,0,0,'Données projet'!$E$11+1,1))</f>
        <v>346.7910845218741</v>
      </c>
      <c r="BJ129" s="62">
        <f t="shared" si="92"/>
        <v>469.89734899725369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-6.7984728957526396E-14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207.59954777160192</v>
      </c>
      <c r="CE129" s="62">
        <f t="shared" si="94"/>
        <v>314.81017053732063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0.54794262543801386</v>
      </c>
      <c r="CL129" s="23">
        <f>EXP(-LN(2)/25)*CL128+(1-EXP(-LN(2)/25))/(LN(2)/25)*Calculateur!CG129*Calculateur!CI129*VLOOKUP('Données projet'!$B$12,Paramètres!$A$1:$I$89,3,0)*0.475*44/12</f>
        <v>0.37369651629707695</v>
      </c>
      <c r="CM129" s="23">
        <f>EXP(-LN(2)/2)*CM128+(1-EXP(-LN(2)/2))/(LN(2)/2)*CG129*CJ129*VLOOKUP('Données projet'!$B$12,Paramètres!$A$1:$I$89,3,0)*0.475*44/12</f>
        <v>2.4465060284715235E-14</v>
      </c>
      <c r="CN129" s="24">
        <f t="shared" si="66"/>
        <v>0.9216391417351153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3.4106051316484809E-13</v>
      </c>
      <c r="CU129" s="18">
        <f>CT129*VLOOKUP('Données projet'!$B$13,Paramètres!$A$1:$I$89,3,0)*VLOOKUP('Données projet'!$B$13,Paramètres!$A$1:$I$89,5,0)</f>
        <v>2.5006556825246659E-13</v>
      </c>
      <c r="CV129" s="14">
        <f t="shared" si="95"/>
        <v>3.3765445850268018E-12</v>
      </c>
      <c r="CW129" s="22">
        <f t="shared" si="67"/>
        <v>6.3163460169613921E-12</v>
      </c>
      <c r="CX129" s="62">
        <f t="shared" si="68"/>
        <v>293.33333333333962</v>
      </c>
      <c r="CY129" s="62">
        <f ca="1">AVERAGE(OFFSET($CX$3,0,0,'Données projet'!$E$13+1,1))-AVERAGE(OFFSET($H$3,0,0,'Données projet'!$E$13+1,1))</f>
        <v>290.68086183422963</v>
      </c>
      <c r="CZ129" s="62">
        <f t="shared" si="96"/>
        <v>317.88330630101785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277.8359999999995</v>
      </c>
      <c r="P130" s="14">
        <f t="shared" si="87"/>
        <v>66.509487177652204</v>
      </c>
      <c r="Q130" s="22">
        <f t="shared" si="107"/>
        <v>599.73505683440999</v>
      </c>
      <c r="R130" s="62">
        <f t="shared" si="55"/>
        <v>893.06839016774325</v>
      </c>
      <c r="S130" s="62">
        <f ca="1">AVERAGE(OFFSET($R$3,0,0,'Données projet'!$E$9+1,1))-AVERAGE(OFFSET($H$3,0,0,'Données projet'!$E$9+1,1))</f>
        <v>476.8965664931755</v>
      </c>
      <c r="T130" s="62">
        <f t="shared" si="88"/>
        <v>254.25036207346591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273.99999999999949</v>
      </c>
      <c r="AJ130" s="14">
        <f>AI130*VLOOKUP('Données projet'!$B$10,Paramètres!$A$1:$I$89,3,0)*VLOOKUP('Données projet'!$B$10,Paramètres!$A$1:$I$89,5,0)</f>
        <v>247.91519999999954</v>
      </c>
      <c r="AK130" s="14">
        <f t="shared" si="89"/>
        <v>60.139294964297356</v>
      </c>
      <c r="AL130" s="22">
        <f t="shared" si="58"/>
        <v>536.52824539615051</v>
      </c>
      <c r="AM130" s="62">
        <f t="shared" si="59"/>
        <v>829.86157872948388</v>
      </c>
      <c r="AN130" s="62">
        <f ca="1">AVERAGE(OFFSET($AM$3,0,0,'Données projet'!$E$10+1,1))-AVERAGE(OFFSET($H$3,0,0,'Données projet'!$E$10+1,1))</f>
        <v>430.11660085503223</v>
      </c>
      <c r="AO130" s="62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projet'!$B$11,Paramètres!$A$1:$I$89,3,0)*VLOOKUP('Données projet'!$B$11,Paramètres!$A$1:$I$89,5,0)</f>
        <v>1.4897523215040567E-13</v>
      </c>
      <c r="BF130" s="14">
        <f t="shared" si="91"/>
        <v>2.136562777003313E-12</v>
      </c>
      <c r="BG130" s="22">
        <f t="shared" si="61"/>
        <v>3.9806453659427267E-12</v>
      </c>
      <c r="BH130" s="62">
        <f t="shared" si="62"/>
        <v>293.33333333333729</v>
      </c>
      <c r="BI130" s="62">
        <f ca="1">AVERAGE(OFFSET($BH$3,0,0,'Données projet'!$E$11+1,1))-AVERAGE(OFFSET($H$3,0,0,'Données projet'!$E$11+1,1))</f>
        <v>346.7910845218741</v>
      </c>
      <c r="BJ130" s="62">
        <f t="shared" si="92"/>
        <v>469.89734899725369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-6.7984728957526396E-14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207.59954777160192</v>
      </c>
      <c r="CE130" s="62">
        <f t="shared" si="94"/>
        <v>314.81017053732063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0.5371978047651752</v>
      </c>
      <c r="CL130" s="23">
        <f>EXP(-LN(2)/25)*CL129+(1-EXP(-LN(2)/25))/(LN(2)/25)*Calculateur!CG130*Calculateur!CI130*VLOOKUP('Données projet'!$B$12,Paramètres!$A$1:$I$89,3,0)*0.475*44/12</f>
        <v>0.36347776540708771</v>
      </c>
      <c r="CM130" s="23">
        <f>EXP(-LN(2)/2)*CM129+(1-EXP(-LN(2)/2))/(LN(2)/2)*CG130*CJ130*VLOOKUP('Données projet'!$B$12,Paramètres!$A$1:$I$89,3,0)*0.475*44/12</f>
        <v>1.7299410029459829E-14</v>
      </c>
      <c r="CN130" s="24">
        <f t="shared" si="66"/>
        <v>0.90067557017228017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3.4106051316484809E-13</v>
      </c>
      <c r="CU130" s="18">
        <f>CT130*VLOOKUP('Données projet'!$B$13,Paramètres!$A$1:$I$89,3,0)*VLOOKUP('Données projet'!$B$13,Paramètres!$A$1:$I$89,5,0)</f>
        <v>2.5006556825246659E-13</v>
      </c>
      <c r="CV130" s="14">
        <f t="shared" si="95"/>
        <v>3.3765445850268018E-12</v>
      </c>
      <c r="CW130" s="22">
        <f t="shared" si="67"/>
        <v>6.3163460169613921E-12</v>
      </c>
      <c r="CX130" s="62">
        <f t="shared" si="68"/>
        <v>293.33333333333962</v>
      </c>
      <c r="CY130" s="62">
        <f ca="1">AVERAGE(OFFSET($CX$3,0,0,'Données projet'!$E$13+1,1))-AVERAGE(OFFSET($H$3,0,0,'Données projet'!$E$13+1,1))</f>
        <v>290.68086183422963</v>
      </c>
      <c r="CZ130" s="62">
        <f t="shared" si="96"/>
        <v>317.88330630101785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280.87799999999947</v>
      </c>
      <c r="P131" s="14">
        <f t="shared" si="87"/>
        <v>67.152521698072249</v>
      </c>
      <c r="Q131" s="22">
        <f t="shared" ref="Q131:Q153" si="108">(O131+P131)*0.475*44/12</f>
        <v>606.15315862414161</v>
      </c>
      <c r="R131" s="62">
        <f t="shared" ref="R131:R194" si="109">Q131+(I131+J131)*44/12</f>
        <v>899.48649195747498</v>
      </c>
      <c r="S131" s="62">
        <f ca="1">AVERAGE(OFFSET($R$3,0,0,'Données projet'!$E$9+1,1))-AVERAGE(OFFSET($H$3,0,0,'Données projet'!$E$9+1,1))</f>
        <v>476.8965664931755</v>
      </c>
      <c r="T131" s="62">
        <f t="shared" si="88"/>
        <v>254.25036207346591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276.99999999999949</v>
      </c>
      <c r="AJ131" s="14">
        <f>AI131*VLOOKUP('Données projet'!$B$10,Paramètres!$A$1:$I$89,3,0)*VLOOKUP('Données projet'!$B$10,Paramètres!$A$1:$I$89,5,0)</f>
        <v>250.62959999999953</v>
      </c>
      <c r="AK131" s="14">
        <f t="shared" si="89"/>
        <v>60.720740474356262</v>
      </c>
      <c r="AL131" s="22">
        <f t="shared" si="58"/>
        <v>542.26850965950291</v>
      </c>
      <c r="AM131" s="62">
        <f t="shared" si="59"/>
        <v>835.60184299283628</v>
      </c>
      <c r="AN131" s="62">
        <f ca="1">AVERAGE(OFFSET($AM$3,0,0,'Données projet'!$E$10+1,1))-AVERAGE(OFFSET($H$3,0,0,'Données projet'!$E$10+1,1))</f>
        <v>430.11660085503223</v>
      </c>
      <c r="AO131" s="62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projet'!$B$11,Paramètres!$A$1:$I$89,3,0)*VLOOKUP('Données projet'!$B$11,Paramètres!$A$1:$I$89,5,0)</f>
        <v>1.4897523215040567E-13</v>
      </c>
      <c r="BF131" s="14">
        <f t="shared" si="91"/>
        <v>2.136562777003313E-12</v>
      </c>
      <c r="BG131" s="22">
        <f t="shared" si="61"/>
        <v>3.9806453659427267E-12</v>
      </c>
      <c r="BH131" s="62">
        <f t="shared" si="62"/>
        <v>293.33333333333729</v>
      </c>
      <c r="BI131" s="62">
        <f ca="1">AVERAGE(OFFSET($BH$3,0,0,'Données projet'!$E$11+1,1))-AVERAGE(OFFSET($H$3,0,0,'Données projet'!$E$11+1,1))</f>
        <v>346.7910845218741</v>
      </c>
      <c r="BJ131" s="62">
        <f t="shared" si="92"/>
        <v>469.89734899725369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-6.7984728957526396E-14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207.59954777160192</v>
      </c>
      <c r="CE131" s="62">
        <f t="shared" si="94"/>
        <v>314.81017053732063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0.5266636834720374</v>
      </c>
      <c r="CL131" s="23">
        <f>EXP(-LN(2)/25)*CL130+(1-EXP(-LN(2)/25))/(LN(2)/25)*Calculateur!CG131*Calculateur!CI131*VLOOKUP('Données projet'!$B$12,Paramètres!$A$1:$I$89,3,0)*0.475*44/12</f>
        <v>0.35353844679756596</v>
      </c>
      <c r="CM131" s="23">
        <f>EXP(-LN(2)/2)*CM130+(1-EXP(-LN(2)/2))/(LN(2)/2)*CG131*CJ131*VLOOKUP('Données projet'!$B$12,Paramètres!$A$1:$I$89,3,0)*0.475*44/12</f>
        <v>1.2232530142357617E-14</v>
      </c>
      <c r="CN131" s="24">
        <f t="shared" si="66"/>
        <v>0.88020213026961558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3.4106051316484809E-13</v>
      </c>
      <c r="CU131" s="18">
        <f>CT131*VLOOKUP('Données projet'!$B$13,Paramètres!$A$1:$I$89,3,0)*VLOOKUP('Données projet'!$B$13,Paramètres!$A$1:$I$89,5,0)</f>
        <v>2.5006556825246659E-13</v>
      </c>
      <c r="CV131" s="14">
        <f t="shared" si="95"/>
        <v>3.3765445850268018E-12</v>
      </c>
      <c r="CW131" s="22">
        <f t="shared" si="67"/>
        <v>6.3163460169613921E-12</v>
      </c>
      <c r="CX131" s="62">
        <f t="shared" si="68"/>
        <v>293.33333333333962</v>
      </c>
      <c r="CY131" s="62">
        <f ca="1">AVERAGE(OFFSET($CX$3,0,0,'Données projet'!$E$13+1,1))-AVERAGE(OFFSET($H$3,0,0,'Données projet'!$E$13+1,1))</f>
        <v>290.68086183422963</v>
      </c>
      <c r="CZ131" s="62">
        <f t="shared" si="96"/>
        <v>317.88330630101785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283.9199999999995</v>
      </c>
      <c r="P132" s="14">
        <f t="shared" si="87"/>
        <v>67.794746071143507</v>
      </c>
      <c r="Q132" s="22">
        <f t="shared" si="108"/>
        <v>612.56984940724067</v>
      </c>
      <c r="R132" s="62">
        <f t="shared" si="109"/>
        <v>905.90318274057404</v>
      </c>
      <c r="S132" s="62">
        <f ca="1">AVERAGE(OFFSET($R$3,0,0,'Données projet'!$E$9+1,1))-AVERAGE(OFFSET($H$3,0,0,'Données projet'!$E$9+1,1))</f>
        <v>476.8965664931755</v>
      </c>
      <c r="T132" s="62">
        <f t="shared" si="88"/>
        <v>254.25036207346591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279.99999999999949</v>
      </c>
      <c r="AJ132" s="14">
        <f>AI132*VLOOKUP('Données projet'!$B$10,Paramètres!$A$1:$I$89,3,0)*VLOOKUP('Données projet'!$B$10,Paramètres!$A$1:$I$89,5,0)</f>
        <v>253.34399999999954</v>
      </c>
      <c r="AK132" s="14">
        <f t="shared" si="89"/>
        <v>61.301453431926198</v>
      </c>
      <c r="AL132" s="22">
        <f t="shared" ref="AL132:AL153" si="112">(AJ132+AK132)*0.475*44/12</f>
        <v>548.00749806060389</v>
      </c>
      <c r="AM132" s="62">
        <f t="shared" ref="AM132:AM195" si="113">AL132+(AD132+AE132)*44/12</f>
        <v>841.34083139393715</v>
      </c>
      <c r="AN132" s="62">
        <f ca="1">AVERAGE(OFFSET($AM$3,0,0,'Données projet'!$E$10+1,1))-AVERAGE(OFFSET($H$3,0,0,'Données projet'!$E$10+1,1))</f>
        <v>430.11660085503223</v>
      </c>
      <c r="AO132" s="62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projet'!$B$11,Paramètres!$A$1:$I$89,3,0)*VLOOKUP('Données projet'!$B$11,Paramètres!$A$1:$I$89,5,0)</f>
        <v>1.4897523215040567E-13</v>
      </c>
      <c r="BF132" s="14">
        <f t="shared" si="91"/>
        <v>2.136562777003313E-12</v>
      </c>
      <c r="BG132" s="22">
        <f t="shared" ref="BG132:BG153" si="115">(BE132+BF132)*0.475*44/12</f>
        <v>3.9806453659427267E-12</v>
      </c>
      <c r="BH132" s="62">
        <f t="shared" ref="BH132:BH195" si="116">BG132+(AY132+AZ132)*44/12</f>
        <v>293.33333333333729</v>
      </c>
      <c r="BI132" s="62">
        <f ca="1">AVERAGE(OFFSET($BH$3,0,0,'Données projet'!$E$11+1,1))-AVERAGE(OFFSET($H$3,0,0,'Données projet'!$E$11+1,1))</f>
        <v>346.7910845218741</v>
      </c>
      <c r="BJ132" s="62">
        <f t="shared" si="92"/>
        <v>469.89734899725369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-6.7984728957526396E-14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207.59954777160192</v>
      </c>
      <c r="CE132" s="62">
        <f t="shared" si="94"/>
        <v>314.81017053732063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0.5163361298722785</v>
      </c>
      <c r="CL132" s="23">
        <f>EXP(-LN(2)/25)*CL131+(1-EXP(-LN(2)/25))/(LN(2)/25)*Calculateur!CG132*Calculateur!CI132*VLOOKUP('Données projet'!$B$12,Paramètres!$A$1:$I$89,3,0)*0.475*44/12</f>
        <v>0.34387091937810765</v>
      </c>
      <c r="CM132" s="23">
        <f>EXP(-LN(2)/2)*CM131+(1-EXP(-LN(2)/2))/(LN(2)/2)*CG132*CJ132*VLOOKUP('Données projet'!$B$12,Paramètres!$A$1:$I$89,3,0)*0.475*44/12</f>
        <v>8.6497050147299145E-15</v>
      </c>
      <c r="CN132" s="24">
        <f t="shared" ref="CN132:CN153" si="120">SUM(CK132:CM132)</f>
        <v>0.86020704925039482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3.4106051316484809E-13</v>
      </c>
      <c r="CU132" s="18">
        <f>CT132*VLOOKUP('Données projet'!$B$13,Paramètres!$A$1:$I$89,3,0)*VLOOKUP('Données projet'!$B$13,Paramètres!$A$1:$I$89,5,0)</f>
        <v>2.5006556825246659E-13</v>
      </c>
      <c r="CV132" s="14">
        <f t="shared" si="95"/>
        <v>3.3765445850268018E-12</v>
      </c>
      <c r="CW132" s="22">
        <f t="shared" ref="CW132:CW153" si="121">(CU132+CV132)*0.475*44/12</f>
        <v>6.3163460169613921E-12</v>
      </c>
      <c r="CX132" s="62">
        <f t="shared" ref="CX132:CX195" si="122">CW132+(CO132+CP132)*44/12</f>
        <v>293.33333333333962</v>
      </c>
      <c r="CY132" s="62">
        <f ca="1">AVERAGE(OFFSET($CX$3,0,0,'Données projet'!$E$13+1,1))-AVERAGE(OFFSET($H$3,0,0,'Données projet'!$E$13+1,1))</f>
        <v>290.68086183422963</v>
      </c>
      <c r="CZ132" s="62">
        <f t="shared" si="96"/>
        <v>317.88330630101785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286.96199999999948</v>
      </c>
      <c r="P133" s="14">
        <f t="shared" ref="P133:P196" si="141">EXP(-1.0587+0.8836*LN(O133)+0.284)</f>
        <v>68.43616998171774</v>
      </c>
      <c r="Q133" s="22">
        <f t="shared" si="108"/>
        <v>618.9851460514908</v>
      </c>
      <c r="R133" s="62">
        <f t="shared" si="109"/>
        <v>912.31847938482406</v>
      </c>
      <c r="S133" s="62">
        <f ca="1">AVERAGE(OFFSET($R$3,0,0,'Données projet'!$E$9+1,1))-AVERAGE(OFFSET($H$3,0,0,'Données projet'!$E$9+1,1))</f>
        <v>476.8965664931755</v>
      </c>
      <c r="T133" s="62">
        <f t="shared" ref="T133:T196" si="142">$T$3</f>
        <v>254.25036207346591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282.99999999999949</v>
      </c>
      <c r="AJ133" s="14">
        <f>AI133*VLOOKUP('Données projet'!$B$10,Paramètres!$A$1:$I$89,3,0)*VLOOKUP('Données projet'!$B$10,Paramètres!$A$1:$I$89,5,0)</f>
        <v>256.05839999999955</v>
      </c>
      <c r="AK133" s="14">
        <f t="shared" ref="AK133:AK153" si="143">EXP(-1.0587+0.8836*LN(AJ133)+0.284)</f>
        <v>61.881442594256377</v>
      </c>
      <c r="AL133" s="22">
        <f t="shared" si="112"/>
        <v>553.74522585166233</v>
      </c>
      <c r="AM133" s="62">
        <f t="shared" si="113"/>
        <v>847.07855918499558</v>
      </c>
      <c r="AN133" s="62">
        <f ca="1">AVERAGE(OFFSET($AM$3,0,0,'Données projet'!$E$10+1,1))-AVERAGE(OFFSET($H$3,0,0,'Données projet'!$E$10+1,1))</f>
        <v>430.11660085503223</v>
      </c>
      <c r="AO133" s="62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projet'!$B$11,Paramètres!$A$1:$I$89,3,0)*VLOOKUP('Données projet'!$B$11,Paramètres!$A$1:$I$89,5,0)</f>
        <v>1.4897523215040567E-13</v>
      </c>
      <c r="BF133" s="14">
        <f t="shared" ref="BF133:BF153" si="145">EXP(-1.0587+0.8836*LN(BE133)+0.284)</f>
        <v>2.136562777003313E-12</v>
      </c>
      <c r="BG133" s="22">
        <f t="shared" si="115"/>
        <v>3.9806453659427267E-12</v>
      </c>
      <c r="BH133" s="62">
        <f t="shared" si="116"/>
        <v>293.33333333333729</v>
      </c>
      <c r="BI133" s="62">
        <f ca="1">AVERAGE(OFFSET($BH$3,0,0,'Données projet'!$E$11+1,1))-AVERAGE(OFFSET($H$3,0,0,'Données projet'!$E$11+1,1))</f>
        <v>346.7910845218741</v>
      </c>
      <c r="BJ133" s="62">
        <f t="shared" ref="BJ133:BJ196" si="146">$BJ$3</f>
        <v>469.89734899725369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-6.7984728957526396E-14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207.59954777160192</v>
      </c>
      <c r="CE133" s="62">
        <f t="shared" ref="CE133:CE196" si="148">$CE$3</f>
        <v>314.81017053732063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0.50621109329942515</v>
      </c>
      <c r="CL133" s="23">
        <f>EXP(-LN(2)/25)*CL132+(1-EXP(-LN(2)/25))/(LN(2)/25)*Calculateur!CG133*Calculateur!CI133*VLOOKUP('Données projet'!$B$12,Paramètres!$A$1:$I$89,3,0)*0.475*44/12</f>
        <v>0.33446775100432757</v>
      </c>
      <c r="CM133" s="23">
        <f>EXP(-LN(2)/2)*CM132+(1-EXP(-LN(2)/2))/(LN(2)/2)*CG133*CJ133*VLOOKUP('Données projet'!$B$12,Paramètres!$A$1:$I$89,3,0)*0.475*44/12</f>
        <v>6.1162650711788086E-15</v>
      </c>
      <c r="CN133" s="24">
        <f t="shared" si="120"/>
        <v>0.84067884430375883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3.4106051316484809E-13</v>
      </c>
      <c r="CU133" s="18">
        <f>CT133*VLOOKUP('Données projet'!$B$13,Paramètres!$A$1:$I$89,3,0)*VLOOKUP('Données projet'!$B$13,Paramètres!$A$1:$I$89,5,0)</f>
        <v>2.5006556825246659E-13</v>
      </c>
      <c r="CV133" s="14">
        <f t="shared" ref="CV133:CV153" si="149">EXP(-1.0587+0.8836*LN(CU133)+0.284)</f>
        <v>3.3765445850268018E-12</v>
      </c>
      <c r="CW133" s="22">
        <f t="shared" si="121"/>
        <v>6.3163460169613921E-12</v>
      </c>
      <c r="CX133" s="62">
        <f t="shared" si="122"/>
        <v>293.33333333333962</v>
      </c>
      <c r="CY133" s="62">
        <f ca="1">AVERAGE(OFFSET($CX$3,0,0,'Données projet'!$E$13+1,1))-AVERAGE(OFFSET($H$3,0,0,'Données projet'!$E$13+1,1))</f>
        <v>290.68086183422963</v>
      </c>
      <c r="CZ133" s="62">
        <f t="shared" ref="CZ133:CZ196" si="150">$CZ$3</f>
        <v>317.88330630101785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290.00399999999951</v>
      </c>
      <c r="P134" s="14">
        <f t="shared" si="141"/>
        <v>69.07680289748582</v>
      </c>
      <c r="Q134" s="22">
        <f t="shared" si="108"/>
        <v>625.39906504645353</v>
      </c>
      <c r="R134" s="62">
        <f t="shared" si="109"/>
        <v>918.7323983797869</v>
      </c>
      <c r="S134" s="62">
        <f ca="1">AVERAGE(OFFSET($R$3,0,0,'Données projet'!$E$9+1,1))-AVERAGE(OFFSET($H$3,0,0,'Données projet'!$E$9+1,1))</f>
        <v>476.8965664931755</v>
      </c>
      <c r="T134" s="62">
        <f t="shared" si="142"/>
        <v>254.25036207346591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285.99999999999949</v>
      </c>
      <c r="AJ134" s="14">
        <f>AI134*VLOOKUP('Données projet'!$B$10,Paramètres!$A$1:$I$89,3,0)*VLOOKUP('Données projet'!$B$10,Paramètres!$A$1:$I$89,5,0)</f>
        <v>258.77279999999951</v>
      </c>
      <c r="AK134" s="14">
        <f t="shared" si="143"/>
        <v>62.460716522234527</v>
      </c>
      <c r="AL134" s="22">
        <f t="shared" si="112"/>
        <v>559.48170794289092</v>
      </c>
      <c r="AM134" s="62">
        <f t="shared" si="113"/>
        <v>852.81504127622429</v>
      </c>
      <c r="AN134" s="62">
        <f ca="1">AVERAGE(OFFSET($AM$3,0,0,'Données projet'!$E$10+1,1))-AVERAGE(OFFSET($H$3,0,0,'Données projet'!$E$10+1,1))</f>
        <v>430.11660085503223</v>
      </c>
      <c r="AO134" s="62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projet'!$B$11,Paramètres!$A$1:$I$89,3,0)*VLOOKUP('Données projet'!$B$11,Paramètres!$A$1:$I$89,5,0)</f>
        <v>1.4897523215040567E-13</v>
      </c>
      <c r="BF134" s="14">
        <f t="shared" si="145"/>
        <v>2.136562777003313E-12</v>
      </c>
      <c r="BG134" s="22">
        <f t="shared" si="115"/>
        <v>3.9806453659427267E-12</v>
      </c>
      <c r="BH134" s="62">
        <f t="shared" si="116"/>
        <v>293.33333333333729</v>
      </c>
      <c r="BI134" s="62">
        <f ca="1">AVERAGE(OFFSET($BH$3,0,0,'Données projet'!$E$11+1,1))-AVERAGE(OFFSET($H$3,0,0,'Données projet'!$E$11+1,1))</f>
        <v>346.7910845218741</v>
      </c>
      <c r="BJ134" s="62">
        <f t="shared" si="146"/>
        <v>469.89734899725369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-6.7984728957526396E-14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207.59954777160192</v>
      </c>
      <c r="CE134" s="62">
        <f t="shared" si="148"/>
        <v>314.81017053732063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0.49628460251810297</v>
      </c>
      <c r="CL134" s="23">
        <f>EXP(-LN(2)/25)*CL133+(1-EXP(-LN(2)/25))/(LN(2)/25)*Calculateur!CG134*Calculateur!CI134*VLOOKUP('Données projet'!$B$12,Paramètres!$A$1:$I$89,3,0)*0.475*44/12</f>
        <v>0.32532171276421967</v>
      </c>
      <c r="CM134" s="23">
        <f>EXP(-LN(2)/2)*CM133+(1-EXP(-LN(2)/2))/(LN(2)/2)*CG134*CJ134*VLOOKUP('Données projet'!$B$12,Paramètres!$A$1:$I$89,3,0)*0.475*44/12</f>
        <v>4.3248525073649573E-15</v>
      </c>
      <c r="CN134" s="24">
        <f t="shared" si="120"/>
        <v>0.82160631528232697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3.4106051316484809E-13</v>
      </c>
      <c r="CU134" s="18">
        <f>CT134*VLOOKUP('Données projet'!$B$13,Paramètres!$A$1:$I$89,3,0)*VLOOKUP('Données projet'!$B$13,Paramètres!$A$1:$I$89,5,0)</f>
        <v>2.5006556825246659E-13</v>
      </c>
      <c r="CV134" s="14">
        <f t="shared" si="149"/>
        <v>3.3765445850268018E-12</v>
      </c>
      <c r="CW134" s="22">
        <f t="shared" si="121"/>
        <v>6.3163460169613921E-12</v>
      </c>
      <c r="CX134" s="62">
        <f t="shared" si="122"/>
        <v>293.33333333333962</v>
      </c>
      <c r="CY134" s="62">
        <f ca="1">AVERAGE(OFFSET($CX$3,0,0,'Données projet'!$E$13+1,1))-AVERAGE(OFFSET($H$3,0,0,'Données projet'!$E$13+1,1))</f>
        <v>290.68086183422963</v>
      </c>
      <c r="CZ134" s="62">
        <f t="shared" si="150"/>
        <v>317.88330630101785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293.04599999999954</v>
      </c>
      <c r="P135" s="14">
        <f t="shared" si="141"/>
        <v>69.716654076072487</v>
      </c>
      <c r="Q135" s="22">
        <f t="shared" si="108"/>
        <v>631.81162251582543</v>
      </c>
      <c r="R135" s="62">
        <f t="shared" si="109"/>
        <v>925.1449558491588</v>
      </c>
      <c r="S135" s="62">
        <f ca="1">AVERAGE(OFFSET($R$3,0,0,'Données projet'!$E$9+1,1))-AVERAGE(OFFSET($H$3,0,0,'Données projet'!$E$9+1,1))</f>
        <v>476.8965664931755</v>
      </c>
      <c r="T135" s="62">
        <f t="shared" si="142"/>
        <v>254.25036207346591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288.99999999999949</v>
      </c>
      <c r="AJ135" s="14">
        <f>AI135*VLOOKUP('Données projet'!$B$10,Paramètres!$A$1:$I$89,3,0)*VLOOKUP('Données projet'!$B$10,Paramètres!$A$1:$I$89,5,0)</f>
        <v>261.48719999999952</v>
      </c>
      <c r="AK135" s="14">
        <f t="shared" si="143"/>
        <v>63.039283586802277</v>
      </c>
      <c r="AL135" s="22">
        <f t="shared" si="112"/>
        <v>565.21695891367983</v>
      </c>
      <c r="AM135" s="62">
        <f t="shared" si="113"/>
        <v>858.5502922470132</v>
      </c>
      <c r="AN135" s="62">
        <f ca="1">AVERAGE(OFFSET($AM$3,0,0,'Données projet'!$E$10+1,1))-AVERAGE(OFFSET($H$3,0,0,'Données projet'!$E$10+1,1))</f>
        <v>430.11660085503223</v>
      </c>
      <c r="AO135" s="62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projet'!$B$11,Paramètres!$A$1:$I$89,3,0)*VLOOKUP('Données projet'!$B$11,Paramètres!$A$1:$I$89,5,0)</f>
        <v>1.4897523215040567E-13</v>
      </c>
      <c r="BF135" s="14">
        <f t="shared" si="145"/>
        <v>2.136562777003313E-12</v>
      </c>
      <c r="BG135" s="22">
        <f t="shared" si="115"/>
        <v>3.9806453659427267E-12</v>
      </c>
      <c r="BH135" s="62">
        <f t="shared" si="116"/>
        <v>293.33333333333729</v>
      </c>
      <c r="BI135" s="62">
        <f ca="1">AVERAGE(OFFSET($BH$3,0,0,'Données projet'!$E$11+1,1))-AVERAGE(OFFSET($H$3,0,0,'Données projet'!$E$11+1,1))</f>
        <v>346.7910845218741</v>
      </c>
      <c r="BJ135" s="62">
        <f t="shared" si="146"/>
        <v>469.89734899725369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-6.7984728957526396E-14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207.59954777160192</v>
      </c>
      <c r="CE135" s="62">
        <f t="shared" si="148"/>
        <v>314.81017053732063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0.486552764166441</v>
      </c>
      <c r="CL135" s="23">
        <f>EXP(-LN(2)/25)*CL134+(1-EXP(-LN(2)/25))/(LN(2)/25)*Calculateur!CG135*Calculateur!CI135*VLOOKUP('Données projet'!$B$12,Paramètres!$A$1:$I$89,3,0)*0.475*44/12</f>
        <v>0.31642577342075673</v>
      </c>
      <c r="CM135" s="23">
        <f>EXP(-LN(2)/2)*CM134+(1-EXP(-LN(2)/2))/(LN(2)/2)*CG135*CJ135*VLOOKUP('Données projet'!$B$12,Paramètres!$A$1:$I$89,3,0)*0.475*44/12</f>
        <v>3.0581325355894043E-15</v>
      </c>
      <c r="CN135" s="24">
        <f t="shared" si="120"/>
        <v>0.80297853758720084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3.4106051316484809E-13</v>
      </c>
      <c r="CU135" s="18">
        <f>CT135*VLOOKUP('Données projet'!$B$13,Paramètres!$A$1:$I$89,3,0)*VLOOKUP('Données projet'!$B$13,Paramètres!$A$1:$I$89,5,0)</f>
        <v>2.5006556825246659E-13</v>
      </c>
      <c r="CV135" s="14">
        <f t="shared" si="149"/>
        <v>3.3765445850268018E-12</v>
      </c>
      <c r="CW135" s="22">
        <f t="shared" si="121"/>
        <v>6.3163460169613921E-12</v>
      </c>
      <c r="CX135" s="62">
        <f t="shared" si="122"/>
        <v>293.33333333333962</v>
      </c>
      <c r="CY135" s="62">
        <f ca="1">AVERAGE(OFFSET($CX$3,0,0,'Données projet'!$E$13+1,1))-AVERAGE(OFFSET($H$3,0,0,'Données projet'!$E$13+1,1))</f>
        <v>290.68086183422963</v>
      </c>
      <c r="CZ135" s="62">
        <f t="shared" si="150"/>
        <v>317.88330630101785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296.08799999999951</v>
      </c>
      <c r="P136" s="14">
        <f t="shared" si="141"/>
        <v>70.355732571828923</v>
      </c>
      <c r="Q136" s="22">
        <f t="shared" si="108"/>
        <v>638.22283422926773</v>
      </c>
      <c r="R136" s="62">
        <f t="shared" si="109"/>
        <v>931.5561675626011</v>
      </c>
      <c r="S136" s="62">
        <f ca="1">AVERAGE(OFFSET($R$3,0,0,'Données projet'!$E$9+1,1))-AVERAGE(OFFSET($H$3,0,0,'Données projet'!$E$9+1,1))</f>
        <v>476.8965664931755</v>
      </c>
      <c r="T136" s="62">
        <f t="shared" si="142"/>
        <v>254.25036207346591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291.99999999999949</v>
      </c>
      <c r="AJ136" s="14">
        <f>AI136*VLOOKUP('Données projet'!$B$10,Paramètres!$A$1:$I$89,3,0)*VLOOKUP('Données projet'!$B$10,Paramètres!$A$1:$I$89,5,0)</f>
        <v>264.20159999999953</v>
      </c>
      <c r="AK136" s="14">
        <f t="shared" si="143"/>
        <v>63.617151975096654</v>
      </c>
      <c r="AL136" s="22">
        <f t="shared" si="112"/>
        <v>570.95099302329243</v>
      </c>
      <c r="AM136" s="62">
        <f t="shared" si="113"/>
        <v>864.2843263566258</v>
      </c>
      <c r="AN136" s="62">
        <f ca="1">AVERAGE(OFFSET($AM$3,0,0,'Données projet'!$E$10+1,1))-AVERAGE(OFFSET($H$3,0,0,'Données projet'!$E$10+1,1))</f>
        <v>430.11660085503223</v>
      </c>
      <c r="AO136" s="62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projet'!$B$11,Paramètres!$A$1:$I$89,3,0)*VLOOKUP('Données projet'!$B$11,Paramètres!$A$1:$I$89,5,0)</f>
        <v>1.4897523215040567E-13</v>
      </c>
      <c r="BF136" s="14">
        <f t="shared" si="145"/>
        <v>2.136562777003313E-12</v>
      </c>
      <c r="BG136" s="22">
        <f t="shared" si="115"/>
        <v>3.9806453659427267E-12</v>
      </c>
      <c r="BH136" s="62">
        <f t="shared" si="116"/>
        <v>293.33333333333729</v>
      </c>
      <c r="BI136" s="62">
        <f ca="1">AVERAGE(OFFSET($BH$3,0,0,'Données projet'!$E$11+1,1))-AVERAGE(OFFSET($H$3,0,0,'Données projet'!$E$11+1,1))</f>
        <v>346.7910845218741</v>
      </c>
      <c r="BJ136" s="62">
        <f t="shared" si="146"/>
        <v>469.89734899725369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-6.7984728957526396E-14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207.59954777160192</v>
      </c>
      <c r="CE136" s="62">
        <f t="shared" si="148"/>
        <v>314.81017053732063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0.47701176122901984</v>
      </c>
      <c r="CL136" s="23">
        <f>EXP(-LN(2)/25)*CL135+(1-EXP(-LN(2)/25))/(LN(2)/25)*Calculateur!CG136*Calculateur!CI136*VLOOKUP('Données projet'!$B$12,Paramètres!$A$1:$I$89,3,0)*0.475*44/12</f>
        <v>0.30777309400645791</v>
      </c>
      <c r="CM136" s="23">
        <f>EXP(-LN(2)/2)*CM135+(1-EXP(-LN(2)/2))/(LN(2)/2)*CG136*CJ136*VLOOKUP('Données projet'!$B$12,Paramètres!$A$1:$I$89,3,0)*0.475*44/12</f>
        <v>2.1624262536824786E-15</v>
      </c>
      <c r="CN136" s="24">
        <f t="shared" si="120"/>
        <v>0.78478485523547981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3.4106051316484809E-13</v>
      </c>
      <c r="CU136" s="18">
        <f>CT136*VLOOKUP('Données projet'!$B$13,Paramètres!$A$1:$I$89,3,0)*VLOOKUP('Données projet'!$B$13,Paramètres!$A$1:$I$89,5,0)</f>
        <v>2.5006556825246659E-13</v>
      </c>
      <c r="CV136" s="14">
        <f t="shared" si="149"/>
        <v>3.3765445850268018E-12</v>
      </c>
      <c r="CW136" s="22">
        <f t="shared" si="121"/>
        <v>6.3163460169613921E-12</v>
      </c>
      <c r="CX136" s="62">
        <f t="shared" si="122"/>
        <v>293.33333333333962</v>
      </c>
      <c r="CY136" s="62">
        <f ca="1">AVERAGE(OFFSET($CX$3,0,0,'Données projet'!$E$13+1,1))-AVERAGE(OFFSET($H$3,0,0,'Données projet'!$E$13+1,1))</f>
        <v>290.68086183422963</v>
      </c>
      <c r="CZ136" s="62">
        <f t="shared" si="150"/>
        <v>317.88330630101785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299.12999999999954</v>
      </c>
      <c r="P137" s="14">
        <f t="shared" si="141"/>
        <v>70.994047242337146</v>
      </c>
      <c r="Q137" s="22">
        <f t="shared" si="108"/>
        <v>644.63271561373642</v>
      </c>
      <c r="R137" s="62">
        <f t="shared" si="109"/>
        <v>937.96604894706979</v>
      </c>
      <c r="S137" s="62">
        <f ca="1">AVERAGE(OFFSET($R$3,0,0,'Données projet'!$E$9+1,1))-AVERAGE(OFFSET($H$3,0,0,'Données projet'!$E$9+1,1))</f>
        <v>476.8965664931755</v>
      </c>
      <c r="T137" s="62">
        <f t="shared" si="142"/>
        <v>254.25036207346591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294.99999999999949</v>
      </c>
      <c r="AJ137" s="14">
        <f>AI137*VLOOKUP('Données projet'!$B$10,Paramètres!$A$1:$I$89,3,0)*VLOOKUP('Données projet'!$B$10,Paramètres!$A$1:$I$89,5,0)</f>
        <v>266.91599999999949</v>
      </c>
      <c r="AK137" s="14">
        <f t="shared" si="143"/>
        <v>64.194329696332062</v>
      </c>
      <c r="AL137" s="22">
        <f t="shared" si="112"/>
        <v>576.68382422111074</v>
      </c>
      <c r="AM137" s="62">
        <f t="shared" si="113"/>
        <v>870.01715755444411</v>
      </c>
      <c r="AN137" s="62">
        <f ca="1">AVERAGE(OFFSET($AM$3,0,0,'Données projet'!$E$10+1,1))-AVERAGE(OFFSET($H$3,0,0,'Données projet'!$E$10+1,1))</f>
        <v>430.11660085503223</v>
      </c>
      <c r="AO137" s="62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projet'!$B$11,Paramètres!$A$1:$I$89,3,0)*VLOOKUP('Données projet'!$B$11,Paramètres!$A$1:$I$89,5,0)</f>
        <v>1.4897523215040567E-13</v>
      </c>
      <c r="BF137" s="14">
        <f t="shared" si="145"/>
        <v>2.136562777003313E-12</v>
      </c>
      <c r="BG137" s="22">
        <f t="shared" si="115"/>
        <v>3.9806453659427267E-12</v>
      </c>
      <c r="BH137" s="62">
        <f t="shared" si="116"/>
        <v>293.33333333333729</v>
      </c>
      <c r="BI137" s="62">
        <f ca="1">AVERAGE(OFFSET($BH$3,0,0,'Données projet'!$E$11+1,1))-AVERAGE(OFFSET($H$3,0,0,'Données projet'!$E$11+1,1))</f>
        <v>346.7910845218741</v>
      </c>
      <c r="BJ137" s="62">
        <f t="shared" si="146"/>
        <v>469.89734899725369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-6.7984728957526396E-14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207.59954777160192</v>
      </c>
      <c r="CE137" s="62">
        <f t="shared" si="148"/>
        <v>314.81017053732063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0.46765785153976436</v>
      </c>
      <c r="CL137" s="23">
        <f>EXP(-LN(2)/25)*CL136+(1-EXP(-LN(2)/25))/(LN(2)/25)*Calculateur!CG137*Calculateur!CI137*VLOOKUP('Données projet'!$B$12,Paramètres!$A$1:$I$89,3,0)*0.475*44/12</f>
        <v>0.29935702256576774</v>
      </c>
      <c r="CM137" s="23">
        <f>EXP(-LN(2)/2)*CM136+(1-EXP(-LN(2)/2))/(LN(2)/2)*CG137*CJ137*VLOOKUP('Données projet'!$B$12,Paramètres!$A$1:$I$89,3,0)*0.475*44/12</f>
        <v>1.5290662677947022E-15</v>
      </c>
      <c r="CN137" s="24">
        <f t="shared" si="120"/>
        <v>0.7670148741055336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3.4106051316484809E-13</v>
      </c>
      <c r="CU137" s="18">
        <f>CT137*VLOOKUP('Données projet'!$B$13,Paramètres!$A$1:$I$89,3,0)*VLOOKUP('Données projet'!$B$13,Paramètres!$A$1:$I$89,5,0)</f>
        <v>2.5006556825246659E-13</v>
      </c>
      <c r="CV137" s="14">
        <f t="shared" si="149"/>
        <v>3.3765445850268018E-12</v>
      </c>
      <c r="CW137" s="22">
        <f t="shared" si="121"/>
        <v>6.3163460169613921E-12</v>
      </c>
      <c r="CX137" s="62">
        <f t="shared" si="122"/>
        <v>293.33333333333962</v>
      </c>
      <c r="CY137" s="62">
        <f ca="1">AVERAGE(OFFSET($CX$3,0,0,'Données projet'!$E$13+1,1))-AVERAGE(OFFSET($H$3,0,0,'Données projet'!$E$13+1,1))</f>
        <v>290.68086183422963</v>
      </c>
      <c r="CZ137" s="62">
        <f t="shared" si="150"/>
        <v>317.88330630101785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302.17199999999951</v>
      </c>
      <c r="P138" s="14">
        <f t="shared" si="141"/>
        <v>71.631606754643101</v>
      </c>
      <c r="Q138" s="22">
        <f t="shared" si="108"/>
        <v>651.04128176433585</v>
      </c>
      <c r="R138" s="62">
        <f t="shared" si="109"/>
        <v>944.37461509766922</v>
      </c>
      <c r="S138" s="62">
        <f ca="1">AVERAGE(OFFSET($R$3,0,0,'Données projet'!$E$9+1,1))-AVERAGE(OFFSET($H$3,0,0,'Données projet'!$E$9+1,1))</f>
        <v>476.8965664931755</v>
      </c>
      <c r="T138" s="62">
        <f t="shared" si="142"/>
        <v>254.25036207346591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297.99999999999949</v>
      </c>
      <c r="AJ138" s="14">
        <f>AI138*VLOOKUP('Données projet'!$B$10,Paramètres!$A$1:$I$89,3,0)*VLOOKUP('Données projet'!$B$10,Paramètres!$A$1:$I$89,5,0)</f>
        <v>269.63039999999955</v>
      </c>
      <c r="AK138" s="14">
        <f t="shared" si="143"/>
        <v>64.770824587436024</v>
      </c>
      <c r="AL138" s="22">
        <f t="shared" si="112"/>
        <v>582.41546615645018</v>
      </c>
      <c r="AM138" s="62">
        <f t="shared" si="113"/>
        <v>875.74879948978355</v>
      </c>
      <c r="AN138" s="62">
        <f ca="1">AVERAGE(OFFSET($AM$3,0,0,'Données projet'!$E$10+1,1))-AVERAGE(OFFSET($H$3,0,0,'Données projet'!$E$10+1,1))</f>
        <v>430.11660085503223</v>
      </c>
      <c r="AO138" s="62">
        <f t="shared" si="144"/>
        <v>231.36959598460686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projet'!$B$11,Paramètres!$A$1:$I$89,3,0)*VLOOKUP('Données projet'!$B$11,Paramètres!$A$1:$I$89,5,0)</f>
        <v>1.4897523215040567E-13</v>
      </c>
      <c r="BF138" s="14">
        <f t="shared" si="145"/>
        <v>2.136562777003313E-12</v>
      </c>
      <c r="BG138" s="22">
        <f t="shared" si="115"/>
        <v>3.9806453659427267E-12</v>
      </c>
      <c r="BH138" s="62">
        <f t="shared" si="116"/>
        <v>293.33333333333729</v>
      </c>
      <c r="BI138" s="62">
        <f ca="1">AVERAGE(OFFSET($BH$3,0,0,'Données projet'!$E$11+1,1))-AVERAGE(OFFSET($H$3,0,0,'Données projet'!$E$11+1,1))</f>
        <v>346.7910845218741</v>
      </c>
      <c r="BJ138" s="62">
        <f t="shared" si="146"/>
        <v>469.89734899725369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-6.7984728957526396E-14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207.59954777160192</v>
      </c>
      <c r="CE138" s="62">
        <f t="shared" si="148"/>
        <v>314.81017053732063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0.45848736631419362</v>
      </c>
      <c r="CL138" s="23">
        <f>EXP(-LN(2)/25)*CL137+(1-EXP(-LN(2)/25))/(LN(2)/25)*Calculateur!CG138*Calculateur!CI138*VLOOKUP('Données projet'!$B$12,Paramètres!$A$1:$I$89,3,0)*0.475*44/12</f>
        <v>0.2911710890412052</v>
      </c>
      <c r="CM138" s="23">
        <f>EXP(-LN(2)/2)*CM137+(1-EXP(-LN(2)/2))/(LN(2)/2)*CG138*CJ138*VLOOKUP('Données projet'!$B$12,Paramètres!$A$1:$I$89,3,0)*0.475*44/12</f>
        <v>1.0812131268412393E-15</v>
      </c>
      <c r="CN138" s="24">
        <f t="shared" si="120"/>
        <v>0.74965845535539999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3.4106051316484809E-13</v>
      </c>
      <c r="CU138" s="18">
        <f>CT138*VLOOKUP('Données projet'!$B$13,Paramètres!$A$1:$I$89,3,0)*VLOOKUP('Données projet'!$B$13,Paramètres!$A$1:$I$89,5,0)</f>
        <v>2.5006556825246659E-13</v>
      </c>
      <c r="CV138" s="14">
        <f t="shared" si="149"/>
        <v>3.3765445850268018E-12</v>
      </c>
      <c r="CW138" s="22">
        <f t="shared" si="121"/>
        <v>6.3163460169613921E-12</v>
      </c>
      <c r="CX138" s="62">
        <f t="shared" si="122"/>
        <v>293.33333333333962</v>
      </c>
      <c r="CY138" s="62">
        <f ca="1">AVERAGE(OFFSET($CX$3,0,0,'Données projet'!$E$13+1,1))-AVERAGE(OFFSET($H$3,0,0,'Données projet'!$E$13+1,1))</f>
        <v>290.68086183422963</v>
      </c>
      <c r="CZ138" s="62">
        <f t="shared" si="150"/>
        <v>317.88330630101785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275.26719999999943</v>
      </c>
      <c r="P139" s="14">
        <f t="shared" si="141"/>
        <v>65.965842024192696</v>
      </c>
      <c r="Q139" s="22">
        <f t="shared" si="108"/>
        <v>594.31421485880117</v>
      </c>
      <c r="R139" s="62">
        <f t="shared" si="109"/>
        <v>887.64754819213454</v>
      </c>
      <c r="S139" s="62">
        <f ca="1">AVERAGE(OFFSET($R$3,0,0,'Données projet'!$E$9+1,1))-AVERAGE(OFFSET($H$3,0,0,'Données projet'!$E$9+1,1))</f>
        <v>476.8965664931755</v>
      </c>
      <c r="T139" s="62">
        <f t="shared" si="142"/>
        <v>254.25036207346591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2.4666666666666668</v>
      </c>
      <c r="AI139" s="14">
        <f>IF('Données projet'!$A$62&gt;35,AI138+AH139-AQ138,IF(A139&lt;'Données projet'!$A$62,$AF$205^A139,IF(A139='Données projet'!$A$62,'Données projet'!$B$62,AI138+AH139-AQ138)))</f>
        <v>271.46666666666613</v>
      </c>
      <c r="AJ139" s="14">
        <f>AI139*VLOOKUP('Données projet'!$B$10,Paramètres!$A$1:$I$89,3,0)*VLOOKUP('Données projet'!$B$10,Paramètres!$A$1:$I$89,5,0)</f>
        <v>245.62303999999949</v>
      </c>
      <c r="AK139" s="14">
        <f t="shared" si="143"/>
        <v>59.647719436846927</v>
      </c>
      <c r="AL139" s="22">
        <f t="shared" si="112"/>
        <v>531.67990601917427</v>
      </c>
      <c r="AM139" s="62">
        <f t="shared" si="113"/>
        <v>825.01323935250753</v>
      </c>
      <c r="AN139" s="62">
        <f ca="1">AVERAGE(OFFSET($AM$3,0,0,'Données projet'!$E$10+1,1))-AVERAGE(OFFSET($H$3,0,0,'Données projet'!$E$10+1,1))</f>
        <v>430.11660085503223</v>
      </c>
      <c r="AO139" s="62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projet'!$B$11,Paramètres!$A$1:$I$89,3,0)*VLOOKUP('Données projet'!$B$11,Paramètres!$A$1:$I$89,5,0)</f>
        <v>1.4897523215040567E-13</v>
      </c>
      <c r="BF139" s="14">
        <f t="shared" si="145"/>
        <v>2.136562777003313E-12</v>
      </c>
      <c r="BG139" s="22">
        <f t="shared" si="115"/>
        <v>3.9806453659427267E-12</v>
      </c>
      <c r="BH139" s="62">
        <f t="shared" si="116"/>
        <v>293.33333333333729</v>
      </c>
      <c r="BI139" s="62">
        <f ca="1">AVERAGE(OFFSET($BH$3,0,0,'Données projet'!$E$11+1,1))-AVERAGE(OFFSET($H$3,0,0,'Données projet'!$E$11+1,1))</f>
        <v>346.7910845218741</v>
      </c>
      <c r="BJ139" s="62">
        <f t="shared" si="146"/>
        <v>469.89734899725369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-6.7984728957526396E-14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207.59954777160192</v>
      </c>
      <c r="CE139" s="62">
        <f t="shared" si="148"/>
        <v>314.81017053732063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0.44949670871045261</v>
      </c>
      <c r="CL139" s="23">
        <f>EXP(-LN(2)/25)*CL138+(1-EXP(-LN(2)/25))/(LN(2)/25)*Calculateur!CG139*Calculateur!CI139*VLOOKUP('Données projet'!$B$12,Paramètres!$A$1:$I$89,3,0)*0.475*44/12</f>
        <v>0.28320900029935137</v>
      </c>
      <c r="CM139" s="23">
        <f>EXP(-LN(2)/2)*CM138+(1-EXP(-LN(2)/2))/(LN(2)/2)*CG139*CJ139*VLOOKUP('Données projet'!$B$12,Paramètres!$A$1:$I$89,3,0)*0.475*44/12</f>
        <v>7.6453313389735108E-16</v>
      </c>
      <c r="CN139" s="24">
        <f t="shared" si="120"/>
        <v>0.7327057090098047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3.4106051316484809E-13</v>
      </c>
      <c r="CU139" s="18">
        <f>CT139*VLOOKUP('Données projet'!$B$13,Paramètres!$A$1:$I$89,3,0)*VLOOKUP('Données projet'!$B$13,Paramètres!$A$1:$I$89,5,0)</f>
        <v>2.5006556825246659E-13</v>
      </c>
      <c r="CV139" s="14">
        <f t="shared" si="149"/>
        <v>3.3765445850268018E-12</v>
      </c>
      <c r="CW139" s="22">
        <f t="shared" si="121"/>
        <v>6.3163460169613921E-12</v>
      </c>
      <c r="CX139" s="62">
        <f t="shared" si="122"/>
        <v>293.33333333333962</v>
      </c>
      <c r="CY139" s="62">
        <f ca="1">AVERAGE(OFFSET($CX$3,0,0,'Données projet'!$E$13+1,1))-AVERAGE(OFFSET($H$3,0,0,'Données projet'!$E$13+1,1))</f>
        <v>290.68086183422963</v>
      </c>
      <c r="CZ139" s="62">
        <f t="shared" si="150"/>
        <v>317.88330630101785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277.76839999999942</v>
      </c>
      <c r="P140" s="14">
        <f t="shared" si="141"/>
        <v>66.495188244530098</v>
      </c>
      <c r="Q140" s="22">
        <f t="shared" si="108"/>
        <v>599.59241619255545</v>
      </c>
      <c r="R140" s="62">
        <f t="shared" si="109"/>
        <v>892.9257495258887</v>
      </c>
      <c r="S140" s="62">
        <f ca="1">AVERAGE(OFFSET($R$3,0,0,'Données projet'!$E$9+1,1))-AVERAGE(OFFSET($H$3,0,0,'Données projet'!$E$9+1,1))</f>
        <v>476.8965664931755</v>
      </c>
      <c r="T140" s="62">
        <f t="shared" si="142"/>
        <v>254.25036207346591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2.4666666666666668</v>
      </c>
      <c r="AI140" s="14">
        <f>IF('Données projet'!$A$62&gt;35,AI139+AH140-AQ139,IF(A140&lt;'Données projet'!$A$62,$AF$205^A140,IF(A140='Données projet'!$A$62,'Données projet'!$B$62,AI139+AH140-AQ139)))</f>
        <v>273.93333333333277</v>
      </c>
      <c r="AJ140" s="14">
        <f>AI140*VLOOKUP('Données projet'!$B$10,Paramètres!$A$1:$I$89,3,0)*VLOOKUP('Données projet'!$B$10,Paramètres!$A$1:$I$89,5,0)</f>
        <v>247.8548799999995</v>
      </c>
      <c r="AK140" s="14">
        <f t="shared" si="143"/>
        <v>60.126365564399748</v>
      </c>
      <c r="AL140" s="22">
        <f t="shared" si="112"/>
        <v>536.40066935799541</v>
      </c>
      <c r="AM140" s="62">
        <f t="shared" si="113"/>
        <v>829.73400269132867</v>
      </c>
      <c r="AN140" s="62">
        <f ca="1">AVERAGE(OFFSET($AM$3,0,0,'Données projet'!$E$10+1,1))-AVERAGE(OFFSET($H$3,0,0,'Données projet'!$E$10+1,1))</f>
        <v>430.11660085503223</v>
      </c>
      <c r="AO140" s="62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projet'!$B$11,Paramètres!$A$1:$I$89,3,0)*VLOOKUP('Données projet'!$B$11,Paramètres!$A$1:$I$89,5,0)</f>
        <v>1.4897523215040567E-13</v>
      </c>
      <c r="BF140" s="14">
        <f t="shared" si="145"/>
        <v>2.136562777003313E-12</v>
      </c>
      <c r="BG140" s="22">
        <f t="shared" si="115"/>
        <v>3.9806453659427267E-12</v>
      </c>
      <c r="BH140" s="62">
        <f t="shared" si="116"/>
        <v>293.33333333333729</v>
      </c>
      <c r="BI140" s="62">
        <f ca="1">AVERAGE(OFFSET($BH$3,0,0,'Données projet'!$E$11+1,1))-AVERAGE(OFFSET($H$3,0,0,'Données projet'!$E$11+1,1))</f>
        <v>346.7910845218741</v>
      </c>
      <c r="BJ140" s="62">
        <f t="shared" si="146"/>
        <v>469.89734899725369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-6.7984728957526396E-14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207.59954777160192</v>
      </c>
      <c r="CE140" s="62">
        <f t="shared" si="148"/>
        <v>314.81017053732063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0.4406823524185613</v>
      </c>
      <c r="CL140" s="23">
        <f>EXP(-LN(2)/25)*CL139+(1-EXP(-LN(2)/25))/(LN(2)/25)*Calculateur!CG140*Calculateur!CI140*VLOOKUP('Données projet'!$B$12,Paramètres!$A$1:$I$89,3,0)*0.475*44/12</f>
        <v>0.27546463529285153</v>
      </c>
      <c r="CM140" s="23">
        <f>EXP(-LN(2)/2)*CM139+(1-EXP(-LN(2)/2))/(LN(2)/2)*CG140*CJ140*VLOOKUP('Données projet'!$B$12,Paramètres!$A$1:$I$89,3,0)*0.475*44/12</f>
        <v>5.4060656342061966E-16</v>
      </c>
      <c r="CN140" s="24">
        <f t="shared" si="120"/>
        <v>0.71614698771141339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3.4106051316484809E-13</v>
      </c>
      <c r="CU140" s="18">
        <f>CT140*VLOOKUP('Données projet'!$B$13,Paramètres!$A$1:$I$89,3,0)*VLOOKUP('Données projet'!$B$13,Paramètres!$A$1:$I$89,5,0)</f>
        <v>2.5006556825246659E-13</v>
      </c>
      <c r="CV140" s="14">
        <f t="shared" si="149"/>
        <v>3.3765445850268018E-12</v>
      </c>
      <c r="CW140" s="22">
        <f t="shared" si="121"/>
        <v>6.3163460169613921E-12</v>
      </c>
      <c r="CX140" s="62">
        <f t="shared" si="122"/>
        <v>293.33333333333962</v>
      </c>
      <c r="CY140" s="62">
        <f ca="1">AVERAGE(OFFSET($CX$3,0,0,'Données projet'!$E$13+1,1))-AVERAGE(OFFSET($H$3,0,0,'Données projet'!$E$13+1,1))</f>
        <v>290.68086183422963</v>
      </c>
      <c r="CZ140" s="62">
        <f t="shared" si="150"/>
        <v>317.88330630101785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280.2695999999994</v>
      </c>
      <c r="P141" s="14">
        <f t="shared" si="141"/>
        <v>67.023979919595888</v>
      </c>
      <c r="Q141" s="22">
        <f t="shared" si="108"/>
        <v>604.86965169329517</v>
      </c>
      <c r="R141" s="62">
        <f t="shared" si="109"/>
        <v>898.20298502662854</v>
      </c>
      <c r="S141" s="62">
        <f ca="1">AVERAGE(OFFSET($R$3,0,0,'Données projet'!$E$9+1,1))-AVERAGE(OFFSET($H$3,0,0,'Données projet'!$E$9+1,1))</f>
        <v>476.8965664931755</v>
      </c>
      <c r="T141" s="62">
        <f t="shared" si="142"/>
        <v>254.25036207346591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2.4666666666666668</v>
      </c>
      <c r="AI141" s="14">
        <f>IF('Données projet'!$A$62&gt;35,AI140+AH141-AQ140,IF(A141&lt;'Données projet'!$A$62,$AF$205^A141,IF(A141='Données projet'!$A$62,'Données projet'!$B$62,AI140+AH141-AQ140)))</f>
        <v>276.39999999999941</v>
      </c>
      <c r="AJ141" s="14">
        <f>AI141*VLOOKUP('Données projet'!$B$10,Paramètres!$A$1:$I$89,3,0)*VLOOKUP('Données projet'!$B$10,Paramètres!$A$1:$I$89,5,0)</f>
        <v>250.08671999999945</v>
      </c>
      <c r="AK141" s="14">
        <f t="shared" si="143"/>
        <v>60.604510260305993</v>
      </c>
      <c r="AL141" s="22">
        <f t="shared" si="112"/>
        <v>541.12055937003197</v>
      </c>
      <c r="AM141" s="62">
        <f t="shared" si="113"/>
        <v>834.45389270336523</v>
      </c>
      <c r="AN141" s="62">
        <f ca="1">AVERAGE(OFFSET($AM$3,0,0,'Données projet'!$E$10+1,1))-AVERAGE(OFFSET($H$3,0,0,'Données projet'!$E$10+1,1))</f>
        <v>430.11660085503223</v>
      </c>
      <c r="AO141" s="62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projet'!$B$11,Paramètres!$A$1:$I$89,3,0)*VLOOKUP('Données projet'!$B$11,Paramètres!$A$1:$I$89,5,0)</f>
        <v>1.4897523215040567E-13</v>
      </c>
      <c r="BF141" s="14">
        <f t="shared" si="145"/>
        <v>2.136562777003313E-12</v>
      </c>
      <c r="BG141" s="22">
        <f t="shared" si="115"/>
        <v>3.9806453659427267E-12</v>
      </c>
      <c r="BH141" s="62">
        <f t="shared" si="116"/>
        <v>293.33333333333729</v>
      </c>
      <c r="BI141" s="62">
        <f ca="1">AVERAGE(OFFSET($BH$3,0,0,'Données projet'!$E$11+1,1))-AVERAGE(OFFSET($H$3,0,0,'Données projet'!$E$11+1,1))</f>
        <v>346.7910845218741</v>
      </c>
      <c r="BJ141" s="62">
        <f t="shared" si="146"/>
        <v>469.89734899725369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-6.7984728957526396E-14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207.59954777160192</v>
      </c>
      <c r="CE141" s="62">
        <f t="shared" si="148"/>
        <v>314.81017053732063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0.43204084027732753</v>
      </c>
      <c r="CL141" s="23">
        <f>EXP(-LN(2)/25)*CL140+(1-EXP(-LN(2)/25))/(LN(2)/25)*Calculateur!CG141*Calculateur!CI141*VLOOKUP('Données projet'!$B$12,Paramètres!$A$1:$I$89,3,0)*0.475*44/12</f>
        <v>0.26793204035471291</v>
      </c>
      <c r="CM141" s="23">
        <f>EXP(-LN(2)/2)*CM140+(1-EXP(-LN(2)/2))/(LN(2)/2)*CG141*CJ141*VLOOKUP('Données projet'!$B$12,Paramètres!$A$1:$I$89,3,0)*0.475*44/12</f>
        <v>3.8226656694867554E-16</v>
      </c>
      <c r="CN141" s="24">
        <f t="shared" si="120"/>
        <v>0.69997288063204077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3.4106051316484809E-13</v>
      </c>
      <c r="CU141" s="18">
        <f>CT141*VLOOKUP('Données projet'!$B$13,Paramètres!$A$1:$I$89,3,0)*VLOOKUP('Données projet'!$B$13,Paramètres!$A$1:$I$89,5,0)</f>
        <v>2.5006556825246659E-13</v>
      </c>
      <c r="CV141" s="14">
        <f t="shared" si="149"/>
        <v>3.3765445850268018E-12</v>
      </c>
      <c r="CW141" s="22">
        <f t="shared" si="121"/>
        <v>6.3163460169613921E-12</v>
      </c>
      <c r="CX141" s="62">
        <f t="shared" si="122"/>
        <v>293.33333333333962</v>
      </c>
      <c r="CY141" s="62">
        <f ca="1">AVERAGE(OFFSET($CX$3,0,0,'Données projet'!$E$13+1,1))-AVERAGE(OFFSET($H$3,0,0,'Données projet'!$E$13+1,1))</f>
        <v>290.68086183422963</v>
      </c>
      <c r="CZ141" s="62">
        <f t="shared" si="150"/>
        <v>317.88330630101785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282.77079999999944</v>
      </c>
      <c r="P142" s="14">
        <f t="shared" si="141"/>
        <v>67.552222571630026</v>
      </c>
      <c r="Q142" s="22">
        <f t="shared" si="108"/>
        <v>610.14593097892123</v>
      </c>
      <c r="R142" s="62">
        <f t="shared" si="109"/>
        <v>903.4792643122546</v>
      </c>
      <c r="S142" s="62">
        <f ca="1">AVERAGE(OFFSET($R$3,0,0,'Données projet'!$E$9+1,1))-AVERAGE(OFFSET($H$3,0,0,'Données projet'!$E$9+1,1))</f>
        <v>476.8965664931755</v>
      </c>
      <c r="T142" s="62">
        <f t="shared" si="142"/>
        <v>254.25036207346591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2.4666666666666668</v>
      </c>
      <c r="AI142" s="14">
        <f>IF('Données projet'!$A$62&gt;35,AI141+AH142-AQ141,IF(A142&lt;'Données projet'!$A$62,$AF$205^A142,IF(A142='Données projet'!$A$62,'Données projet'!$B$62,AI141+AH142-AQ141)))</f>
        <v>278.86666666666605</v>
      </c>
      <c r="AJ142" s="14">
        <f>AI142*VLOOKUP('Données projet'!$B$10,Paramètres!$A$1:$I$89,3,0)*VLOOKUP('Données projet'!$B$10,Paramètres!$A$1:$I$89,5,0)</f>
        <v>252.31855999999945</v>
      </c>
      <c r="AK142" s="14">
        <f t="shared" si="143"/>
        <v>61.082158517893006</v>
      </c>
      <c r="AL142" s="22">
        <f t="shared" si="112"/>
        <v>545.83958475199609</v>
      </c>
      <c r="AM142" s="62">
        <f t="shared" si="113"/>
        <v>839.17291808532946</v>
      </c>
      <c r="AN142" s="62">
        <f ca="1">AVERAGE(OFFSET($AM$3,0,0,'Données projet'!$E$10+1,1))-AVERAGE(OFFSET($H$3,0,0,'Données projet'!$E$10+1,1))</f>
        <v>430.11660085503223</v>
      </c>
      <c r="AO142" s="62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projet'!$B$11,Paramètres!$A$1:$I$89,3,0)*VLOOKUP('Données projet'!$B$11,Paramètres!$A$1:$I$89,5,0)</f>
        <v>1.4897523215040567E-13</v>
      </c>
      <c r="BF142" s="14">
        <f t="shared" si="145"/>
        <v>2.136562777003313E-12</v>
      </c>
      <c r="BG142" s="22">
        <f t="shared" si="115"/>
        <v>3.9806453659427267E-12</v>
      </c>
      <c r="BH142" s="62">
        <f t="shared" si="116"/>
        <v>293.33333333333729</v>
      </c>
      <c r="BI142" s="62">
        <f ca="1">AVERAGE(OFFSET($BH$3,0,0,'Données projet'!$E$11+1,1))-AVERAGE(OFFSET($H$3,0,0,'Données projet'!$E$11+1,1))</f>
        <v>346.7910845218741</v>
      </c>
      <c r="BJ142" s="62">
        <f t="shared" si="146"/>
        <v>469.89734899725369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-6.7984728957526396E-14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207.59954777160192</v>
      </c>
      <c r="CE142" s="62">
        <f t="shared" si="148"/>
        <v>314.81017053732063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0.4235687829183814</v>
      </c>
      <c r="CL142" s="23">
        <f>EXP(-LN(2)/25)*CL141+(1-EXP(-LN(2)/25))/(LN(2)/25)*Calculateur!CG142*Calculateur!CI142*VLOOKUP('Données projet'!$B$12,Paramètres!$A$1:$I$89,3,0)*0.475*44/12</f>
        <v>0.26060542462127967</v>
      </c>
      <c r="CM142" s="23">
        <f>EXP(-LN(2)/2)*CM141+(1-EXP(-LN(2)/2))/(LN(2)/2)*CG142*CJ142*VLOOKUP('Données projet'!$B$12,Paramètres!$A$1:$I$89,3,0)*0.475*44/12</f>
        <v>2.7030328171030983E-16</v>
      </c>
      <c r="CN142" s="24">
        <f t="shared" si="120"/>
        <v>0.68417420753966129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3.4106051316484809E-13</v>
      </c>
      <c r="CU142" s="18">
        <f>CT142*VLOOKUP('Données projet'!$B$13,Paramètres!$A$1:$I$89,3,0)*VLOOKUP('Données projet'!$B$13,Paramètres!$A$1:$I$89,5,0)</f>
        <v>2.5006556825246659E-13</v>
      </c>
      <c r="CV142" s="14">
        <f t="shared" si="149"/>
        <v>3.3765445850268018E-12</v>
      </c>
      <c r="CW142" s="22">
        <f t="shared" si="121"/>
        <v>6.3163460169613921E-12</v>
      </c>
      <c r="CX142" s="62">
        <f t="shared" si="122"/>
        <v>293.33333333333962</v>
      </c>
      <c r="CY142" s="62">
        <f ca="1">AVERAGE(OFFSET($CX$3,0,0,'Données projet'!$E$13+1,1))-AVERAGE(OFFSET($H$3,0,0,'Données projet'!$E$13+1,1))</f>
        <v>290.68086183422963</v>
      </c>
      <c r="CZ142" s="62">
        <f t="shared" si="150"/>
        <v>317.88330630101785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285.27199999999937</v>
      </c>
      <c r="P143" s="14">
        <f t="shared" si="141"/>
        <v>68.079921619544265</v>
      </c>
      <c r="Q143" s="22">
        <f t="shared" si="108"/>
        <v>615.42126348737179</v>
      </c>
      <c r="R143" s="62">
        <f t="shared" si="109"/>
        <v>908.75459682070505</v>
      </c>
      <c r="S143" s="62">
        <f ca="1">AVERAGE(OFFSET($R$3,0,0,'Données projet'!$E$9+1,1))-AVERAGE(OFFSET($H$3,0,0,'Données projet'!$E$9+1,1))</f>
        <v>476.8965664931755</v>
      </c>
      <c r="T143" s="62">
        <f t="shared" si="142"/>
        <v>254.25036207346591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2.4666666666666668</v>
      </c>
      <c r="AI143" s="14">
        <f>IF('Données projet'!$A$62&gt;35,AI142+AH143-AQ142,IF(A143&lt;'Données projet'!$A$62,$AF$205^A143,IF(A143='Données projet'!$A$62,'Données projet'!$B$62,AI142+AH143-AQ142)))</f>
        <v>281.33333333333269</v>
      </c>
      <c r="AJ143" s="14">
        <f>AI143*VLOOKUP('Données projet'!$B$10,Paramètres!$A$1:$I$89,3,0)*VLOOKUP('Données projet'!$B$10,Paramètres!$A$1:$I$89,5,0)</f>
        <v>254.5503999999994</v>
      </c>
      <c r="AK143" s="14">
        <f t="shared" si="143"/>
        <v>61.559315237055863</v>
      </c>
      <c r="AL143" s="22">
        <f t="shared" si="112"/>
        <v>550.55775403787118</v>
      </c>
      <c r="AM143" s="62">
        <f t="shared" si="113"/>
        <v>843.89108737120455</v>
      </c>
      <c r="AN143" s="62">
        <f ca="1">AVERAGE(OFFSET($AM$3,0,0,'Données projet'!$E$10+1,1))-AVERAGE(OFFSET($H$3,0,0,'Données projet'!$E$10+1,1))</f>
        <v>430.11660085503223</v>
      </c>
      <c r="AO143" s="62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projet'!$B$11,Paramètres!$A$1:$I$89,3,0)*VLOOKUP('Données projet'!$B$11,Paramètres!$A$1:$I$89,5,0)</f>
        <v>1.4897523215040567E-13</v>
      </c>
      <c r="BF143" s="14">
        <f t="shared" si="145"/>
        <v>2.136562777003313E-12</v>
      </c>
      <c r="BG143" s="22">
        <f t="shared" si="115"/>
        <v>3.9806453659427267E-12</v>
      </c>
      <c r="BH143" s="62">
        <f t="shared" si="116"/>
        <v>293.33333333333729</v>
      </c>
      <c r="BI143" s="62">
        <f ca="1">AVERAGE(OFFSET($BH$3,0,0,'Données projet'!$E$11+1,1))-AVERAGE(OFFSET($H$3,0,0,'Données projet'!$E$11+1,1))</f>
        <v>346.7910845218741</v>
      </c>
      <c r="BJ143" s="62">
        <f t="shared" si="146"/>
        <v>469.89734899725369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-6.7984728957526396E-14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207.59954777160192</v>
      </c>
      <c r="CE143" s="62">
        <f t="shared" si="148"/>
        <v>314.81017053732063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0.41526285743679942</v>
      </c>
      <c r="CL143" s="23">
        <f>EXP(-LN(2)/25)*CL142+(1-EXP(-LN(2)/25))/(LN(2)/25)*Calculateur!CG143*Calculateur!CI143*VLOOKUP('Données projet'!$B$12,Paramètres!$A$1:$I$89,3,0)*0.475*44/12</f>
        <v>0.2534791555803671</v>
      </c>
      <c r="CM143" s="23">
        <f>EXP(-LN(2)/2)*CM142+(1-EXP(-LN(2)/2))/(LN(2)/2)*CG143*CJ143*VLOOKUP('Données projet'!$B$12,Paramètres!$A$1:$I$89,3,0)*0.475*44/12</f>
        <v>1.9113328347433777E-16</v>
      </c>
      <c r="CN143" s="24">
        <f t="shared" si="120"/>
        <v>0.66874201301716674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3.4106051316484809E-13</v>
      </c>
      <c r="CU143" s="18">
        <f>CT143*VLOOKUP('Données projet'!$B$13,Paramètres!$A$1:$I$89,3,0)*VLOOKUP('Données projet'!$B$13,Paramètres!$A$1:$I$89,5,0)</f>
        <v>2.5006556825246659E-13</v>
      </c>
      <c r="CV143" s="14">
        <f t="shared" si="149"/>
        <v>3.3765445850268018E-12</v>
      </c>
      <c r="CW143" s="22">
        <f t="shared" si="121"/>
        <v>6.3163460169613921E-12</v>
      </c>
      <c r="CX143" s="62">
        <f t="shared" si="122"/>
        <v>293.33333333333962</v>
      </c>
      <c r="CY143" s="62">
        <f ca="1">AVERAGE(OFFSET($CX$3,0,0,'Données projet'!$E$13+1,1))-AVERAGE(OFFSET($H$3,0,0,'Données projet'!$E$13+1,1))</f>
        <v>290.68086183422963</v>
      </c>
      <c r="CZ143" s="62">
        <f t="shared" si="150"/>
        <v>317.88330630101785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287.77319999999935</v>
      </c>
      <c r="P144" s="14">
        <f t="shared" si="141"/>
        <v>68.607082381743737</v>
      </c>
      <c r="Q144" s="22">
        <f t="shared" si="108"/>
        <v>620.69565848153582</v>
      </c>
      <c r="R144" s="62">
        <f t="shared" si="109"/>
        <v>914.02899181486919</v>
      </c>
      <c r="S144" s="62">
        <f ca="1">AVERAGE(OFFSET($R$3,0,0,'Données projet'!$E$9+1,1))-AVERAGE(OFFSET($H$3,0,0,'Données projet'!$E$9+1,1))</f>
        <v>476.8965664931755</v>
      </c>
      <c r="T144" s="62">
        <f t="shared" si="142"/>
        <v>254.25036207346591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2.4666666666666668</v>
      </c>
      <c r="AI144" s="14">
        <f>IF('Données projet'!$A$62&gt;35,AI143+AH144-AQ143,IF(A144&lt;'Données projet'!$A$62,$AF$205^A144,IF(A144='Données projet'!$A$62,'Données projet'!$B$62,AI143+AH144-AQ143)))</f>
        <v>283.79999999999933</v>
      </c>
      <c r="AJ144" s="14">
        <f>AI144*VLOOKUP('Données projet'!$B$10,Paramètres!$A$1:$I$89,3,0)*VLOOKUP('Données projet'!$B$10,Paramètres!$A$1:$I$89,5,0)</f>
        <v>256.78223999999938</v>
      </c>
      <c r="AK144" s="14">
        <f t="shared" si="143"/>
        <v>62.035985226809906</v>
      </c>
      <c r="AL144" s="22">
        <f t="shared" si="112"/>
        <v>555.27507560335937</v>
      </c>
      <c r="AM144" s="62">
        <f t="shared" si="113"/>
        <v>848.60840893669274</v>
      </c>
      <c r="AN144" s="62">
        <f ca="1">AVERAGE(OFFSET($AM$3,0,0,'Données projet'!$E$10+1,1))-AVERAGE(OFFSET($H$3,0,0,'Données projet'!$E$10+1,1))</f>
        <v>430.11660085503223</v>
      </c>
      <c r="AO144" s="62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projet'!$B$11,Paramètres!$A$1:$I$89,3,0)*VLOOKUP('Données projet'!$B$11,Paramètres!$A$1:$I$89,5,0)</f>
        <v>1.4897523215040567E-13</v>
      </c>
      <c r="BF144" s="14">
        <f t="shared" si="145"/>
        <v>2.136562777003313E-12</v>
      </c>
      <c r="BG144" s="22">
        <f t="shared" si="115"/>
        <v>3.9806453659427267E-12</v>
      </c>
      <c r="BH144" s="62">
        <f t="shared" si="116"/>
        <v>293.33333333333729</v>
      </c>
      <c r="BI144" s="62">
        <f ca="1">AVERAGE(OFFSET($BH$3,0,0,'Données projet'!$E$11+1,1))-AVERAGE(OFFSET($H$3,0,0,'Données projet'!$E$11+1,1))</f>
        <v>346.7910845218741</v>
      </c>
      <c r="BJ144" s="62">
        <f t="shared" si="146"/>
        <v>469.89734899725369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-6.7984728957526396E-14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207.59954777160192</v>
      </c>
      <c r="CE144" s="62">
        <f t="shared" si="148"/>
        <v>314.81017053732063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0.40711980608779696</v>
      </c>
      <c r="CL144" s="23">
        <f>EXP(-LN(2)/25)*CL143+(1-EXP(-LN(2)/25))/(LN(2)/25)*Calculateur!CG144*Calculateur!CI144*VLOOKUP('Données projet'!$B$12,Paramètres!$A$1:$I$89,3,0)*0.475*44/12</f>
        <v>0.2465477547411325</v>
      </c>
      <c r="CM144" s="23">
        <f>EXP(-LN(2)/2)*CM143+(1-EXP(-LN(2)/2))/(LN(2)/2)*CG144*CJ144*VLOOKUP('Données projet'!$B$12,Paramètres!$A$1:$I$89,3,0)*0.475*44/12</f>
        <v>1.3515164085515491E-16</v>
      </c>
      <c r="CN144" s="24">
        <f t="shared" si="120"/>
        <v>0.65366756082892963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3.4106051316484809E-13</v>
      </c>
      <c r="CU144" s="18">
        <f>CT144*VLOOKUP('Données projet'!$B$13,Paramètres!$A$1:$I$89,3,0)*VLOOKUP('Données projet'!$B$13,Paramètres!$A$1:$I$89,5,0)</f>
        <v>2.5006556825246659E-13</v>
      </c>
      <c r="CV144" s="14">
        <f t="shared" si="149"/>
        <v>3.3765445850268018E-12</v>
      </c>
      <c r="CW144" s="22">
        <f t="shared" si="121"/>
        <v>6.3163460169613921E-12</v>
      </c>
      <c r="CX144" s="62">
        <f t="shared" si="122"/>
        <v>293.33333333333962</v>
      </c>
      <c r="CY144" s="62">
        <f ca="1">AVERAGE(OFFSET($CX$3,0,0,'Données projet'!$E$13+1,1))-AVERAGE(OFFSET($H$3,0,0,'Données projet'!$E$13+1,1))</f>
        <v>290.68086183422963</v>
      </c>
      <c r="CZ144" s="62">
        <f t="shared" si="150"/>
        <v>317.88330630101785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290.27439999999933</v>
      </c>
      <c r="P145" s="14">
        <f t="shared" si="141"/>
        <v>69.133710078848281</v>
      </c>
      <c r="Q145" s="22">
        <f t="shared" si="108"/>
        <v>625.9691250539928</v>
      </c>
      <c r="R145" s="62">
        <f t="shared" si="109"/>
        <v>919.30245838732617</v>
      </c>
      <c r="S145" s="62">
        <f ca="1">AVERAGE(OFFSET($R$3,0,0,'Données projet'!$E$9+1,1))-AVERAGE(OFFSET($H$3,0,0,'Données projet'!$E$9+1,1))</f>
        <v>476.8965664931755</v>
      </c>
      <c r="T145" s="62">
        <f t="shared" si="142"/>
        <v>254.25036207346591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2.4666666666666668</v>
      </c>
      <c r="AI145" s="14">
        <f>IF('Données projet'!$A$62&gt;35,AI144+AH145-AQ144,IF(A145&lt;'Données projet'!$A$62,$AF$205^A145,IF(A145='Données projet'!$A$62,'Données projet'!$B$62,AI144+AH145-AQ144)))</f>
        <v>286.26666666666597</v>
      </c>
      <c r="AJ145" s="14">
        <f>AI145*VLOOKUP('Données projet'!$B$10,Paramètres!$A$1:$I$89,3,0)*VLOOKUP('Données projet'!$B$10,Paramètres!$A$1:$I$89,5,0)</f>
        <v>259.01407999999935</v>
      </c>
      <c r="AK145" s="14">
        <f t="shared" si="143"/>
        <v>62.51217320775072</v>
      </c>
      <c r="AL145" s="22">
        <f t="shared" si="112"/>
        <v>559.99155767016464</v>
      </c>
      <c r="AM145" s="62">
        <f t="shared" si="113"/>
        <v>853.3248910034979</v>
      </c>
      <c r="AN145" s="62">
        <f ca="1">AVERAGE(OFFSET($AM$3,0,0,'Données projet'!$E$10+1,1))-AVERAGE(OFFSET($H$3,0,0,'Données projet'!$E$10+1,1))</f>
        <v>430.11660085503223</v>
      </c>
      <c r="AO145" s="62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projet'!$B$11,Paramètres!$A$1:$I$89,3,0)*VLOOKUP('Données projet'!$B$11,Paramètres!$A$1:$I$89,5,0)</f>
        <v>1.4897523215040567E-13</v>
      </c>
      <c r="BF145" s="14">
        <f t="shared" si="145"/>
        <v>2.136562777003313E-12</v>
      </c>
      <c r="BG145" s="22">
        <f t="shared" si="115"/>
        <v>3.9806453659427267E-12</v>
      </c>
      <c r="BH145" s="62">
        <f t="shared" si="116"/>
        <v>293.33333333333729</v>
      </c>
      <c r="BI145" s="62">
        <f ca="1">AVERAGE(OFFSET($BH$3,0,0,'Données projet'!$E$11+1,1))-AVERAGE(OFFSET($H$3,0,0,'Données projet'!$E$11+1,1))</f>
        <v>346.7910845218741</v>
      </c>
      <c r="BJ145" s="62">
        <f t="shared" si="146"/>
        <v>469.89734899725369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-6.7984728957526396E-14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207.59954777160192</v>
      </c>
      <c r="CE145" s="62">
        <f t="shared" si="148"/>
        <v>314.81017053732063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0.39913643500897755</v>
      </c>
      <c r="CL145" s="23">
        <f>EXP(-LN(2)/25)*CL144+(1-EXP(-LN(2)/25))/(LN(2)/25)*Calculateur!CG145*Calculateur!CI145*VLOOKUP('Données projet'!$B$12,Paramètres!$A$1:$I$89,3,0)*0.475*44/12</f>
        <v>0.23980589342235331</v>
      </c>
      <c r="CM145" s="23">
        <f>EXP(-LN(2)/2)*CM144+(1-EXP(-LN(2)/2))/(LN(2)/2)*CG145*CJ145*VLOOKUP('Données projet'!$B$12,Paramètres!$A$1:$I$89,3,0)*0.475*44/12</f>
        <v>9.5566641737168885E-17</v>
      </c>
      <c r="CN145" s="24">
        <f t="shared" si="120"/>
        <v>0.63894232843133103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3.4106051316484809E-13</v>
      </c>
      <c r="CU145" s="18">
        <f>CT145*VLOOKUP('Données projet'!$B$13,Paramètres!$A$1:$I$89,3,0)*VLOOKUP('Données projet'!$B$13,Paramètres!$A$1:$I$89,5,0)</f>
        <v>2.5006556825246659E-13</v>
      </c>
      <c r="CV145" s="14">
        <f t="shared" si="149"/>
        <v>3.3765445850268018E-12</v>
      </c>
      <c r="CW145" s="22">
        <f t="shared" si="121"/>
        <v>6.3163460169613921E-12</v>
      </c>
      <c r="CX145" s="62">
        <f t="shared" si="122"/>
        <v>293.33333333333962</v>
      </c>
      <c r="CY145" s="62">
        <f ca="1">AVERAGE(OFFSET($CX$3,0,0,'Données projet'!$E$13+1,1))-AVERAGE(OFFSET($H$3,0,0,'Données projet'!$E$13+1,1))</f>
        <v>290.68086183422963</v>
      </c>
      <c r="CZ145" s="62">
        <f t="shared" si="150"/>
        <v>317.88330630101785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292.77559999999926</v>
      </c>
      <c r="P146" s="14">
        <f t="shared" si="141"/>
        <v>69.659809836316882</v>
      </c>
      <c r="Q146" s="22">
        <f t="shared" si="108"/>
        <v>631.24167213158387</v>
      </c>
      <c r="R146" s="62">
        <f t="shared" si="109"/>
        <v>924.57500546491724</v>
      </c>
      <c r="S146" s="62">
        <f ca="1">AVERAGE(OFFSET($R$3,0,0,'Données projet'!$E$9+1,1))-AVERAGE(OFFSET($H$3,0,0,'Données projet'!$E$9+1,1))</f>
        <v>476.8965664931755</v>
      </c>
      <c r="T146" s="62">
        <f t="shared" si="142"/>
        <v>254.25036207346591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2.4666666666666668</v>
      </c>
      <c r="AI146" s="14">
        <f>IF('Données projet'!$A$62&gt;35,AI145+AH146-AQ145,IF(A146&lt;'Données projet'!$A$62,$AF$205^A146,IF(A146='Données projet'!$A$62,'Données projet'!$B$62,AI145+AH146-AQ145)))</f>
        <v>288.73333333333261</v>
      </c>
      <c r="AJ146" s="14">
        <f>AI146*VLOOKUP('Données projet'!$B$10,Paramètres!$A$1:$I$89,3,0)*VLOOKUP('Données projet'!$B$10,Paramètres!$A$1:$I$89,5,0)</f>
        <v>261.24591999999933</v>
      </c>
      <c r="AK146" s="14">
        <f t="shared" si="143"/>
        <v>62.987883814427661</v>
      </c>
      <c r="AL146" s="22">
        <f t="shared" si="112"/>
        <v>564.70720831012704</v>
      </c>
      <c r="AM146" s="62">
        <f t="shared" si="113"/>
        <v>858.0405416434603</v>
      </c>
      <c r="AN146" s="62">
        <f ca="1">AVERAGE(OFFSET($AM$3,0,0,'Données projet'!$E$10+1,1))-AVERAGE(OFFSET($H$3,0,0,'Données projet'!$E$10+1,1))</f>
        <v>430.11660085503223</v>
      </c>
      <c r="AO146" s="62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projet'!$B$11,Paramètres!$A$1:$I$89,3,0)*VLOOKUP('Données projet'!$B$11,Paramètres!$A$1:$I$89,5,0)</f>
        <v>1.4897523215040567E-13</v>
      </c>
      <c r="BF146" s="14">
        <f t="shared" si="145"/>
        <v>2.136562777003313E-12</v>
      </c>
      <c r="BG146" s="22">
        <f t="shared" si="115"/>
        <v>3.9806453659427267E-12</v>
      </c>
      <c r="BH146" s="62">
        <f t="shared" si="116"/>
        <v>293.33333333333729</v>
      </c>
      <c r="BI146" s="62">
        <f ca="1">AVERAGE(OFFSET($BH$3,0,0,'Données projet'!$E$11+1,1))-AVERAGE(OFFSET($H$3,0,0,'Données projet'!$E$11+1,1))</f>
        <v>346.7910845218741</v>
      </c>
      <c r="BJ146" s="62">
        <f t="shared" si="146"/>
        <v>469.89734899725369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-6.7984728957526396E-14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207.59954777160192</v>
      </c>
      <c r="CE146" s="62">
        <f t="shared" si="148"/>
        <v>314.81017053732063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0.39130961296763822</v>
      </c>
      <c r="CL146" s="23">
        <f>EXP(-LN(2)/25)*CL145+(1-EXP(-LN(2)/25))/(LN(2)/25)*Calculateur!CG146*Calculateur!CI146*VLOOKUP('Données projet'!$B$12,Paramètres!$A$1:$I$89,3,0)*0.475*44/12</f>
        <v>0.23324838865587522</v>
      </c>
      <c r="CM146" s="23">
        <f>EXP(-LN(2)/2)*CM145+(1-EXP(-LN(2)/2))/(LN(2)/2)*CG146*CJ146*VLOOKUP('Données projet'!$B$12,Paramètres!$A$1:$I$89,3,0)*0.475*44/12</f>
        <v>6.7575820427577457E-17</v>
      </c>
      <c r="CN146" s="24">
        <f t="shared" si="120"/>
        <v>0.6245580016235136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3.4106051316484809E-13</v>
      </c>
      <c r="CU146" s="18">
        <f>CT146*VLOOKUP('Données projet'!$B$13,Paramètres!$A$1:$I$89,3,0)*VLOOKUP('Données projet'!$B$13,Paramètres!$A$1:$I$89,5,0)</f>
        <v>2.5006556825246659E-13</v>
      </c>
      <c r="CV146" s="14">
        <f t="shared" si="149"/>
        <v>3.3765445850268018E-12</v>
      </c>
      <c r="CW146" s="22">
        <f t="shared" si="121"/>
        <v>6.3163460169613921E-12</v>
      </c>
      <c r="CX146" s="62">
        <f t="shared" si="122"/>
        <v>293.33333333333962</v>
      </c>
      <c r="CY146" s="62">
        <f ca="1">AVERAGE(OFFSET($CX$3,0,0,'Données projet'!$E$13+1,1))-AVERAGE(OFFSET($H$3,0,0,'Données projet'!$E$13+1,1))</f>
        <v>290.68086183422963</v>
      </c>
      <c r="CZ146" s="62">
        <f t="shared" si="150"/>
        <v>317.88330630101785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295.27679999999924</v>
      </c>
      <c r="P147" s="14">
        <f t="shared" si="141"/>
        <v>70.185386686980308</v>
      </c>
      <c r="Q147" s="22">
        <f t="shared" si="108"/>
        <v>636.51330847982263</v>
      </c>
      <c r="R147" s="62">
        <f t="shared" si="109"/>
        <v>929.84664181315588</v>
      </c>
      <c r="S147" s="62">
        <f ca="1">AVERAGE(OFFSET($R$3,0,0,'Données projet'!$E$9+1,1))-AVERAGE(OFFSET($H$3,0,0,'Données projet'!$E$9+1,1))</f>
        <v>476.8965664931755</v>
      </c>
      <c r="T147" s="62">
        <f t="shared" si="142"/>
        <v>254.25036207346591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2.4666666666666668</v>
      </c>
      <c r="AI147" s="14">
        <f>IF('Données projet'!$A$62&gt;35,AI146+AH147-AQ146,IF(A147&lt;'Données projet'!$A$62,$AF$205^A147,IF(A147='Données projet'!$A$62,'Données projet'!$B$62,AI146+AH147-AQ146)))</f>
        <v>291.19999999999925</v>
      </c>
      <c r="AJ147" s="14">
        <f>AI147*VLOOKUP('Données projet'!$B$10,Paramètres!$A$1:$I$89,3,0)*VLOOKUP('Données projet'!$B$10,Paramètres!$A$1:$I$89,5,0)</f>
        <v>263.47775999999931</v>
      </c>
      <c r="AK147" s="14">
        <f t="shared" si="143"/>
        <v>63.463121597633346</v>
      </c>
      <c r="AL147" s="22">
        <f t="shared" si="112"/>
        <v>569.42203544921017</v>
      </c>
      <c r="AM147" s="62">
        <f t="shared" si="113"/>
        <v>862.75536878254343</v>
      </c>
      <c r="AN147" s="62">
        <f ca="1">AVERAGE(OFFSET($AM$3,0,0,'Données projet'!$E$10+1,1))-AVERAGE(OFFSET($H$3,0,0,'Données projet'!$E$10+1,1))</f>
        <v>430.11660085503223</v>
      </c>
      <c r="AO147" s="62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projet'!$B$11,Paramètres!$A$1:$I$89,3,0)*VLOOKUP('Données projet'!$B$11,Paramètres!$A$1:$I$89,5,0)</f>
        <v>1.4897523215040567E-13</v>
      </c>
      <c r="BF147" s="14">
        <f t="shared" si="145"/>
        <v>2.136562777003313E-12</v>
      </c>
      <c r="BG147" s="22">
        <f t="shared" si="115"/>
        <v>3.9806453659427267E-12</v>
      </c>
      <c r="BH147" s="62">
        <f t="shared" si="116"/>
        <v>293.33333333333729</v>
      </c>
      <c r="BI147" s="62">
        <f ca="1">AVERAGE(OFFSET($BH$3,0,0,'Données projet'!$E$11+1,1))-AVERAGE(OFFSET($H$3,0,0,'Données projet'!$E$11+1,1))</f>
        <v>346.7910845218741</v>
      </c>
      <c r="BJ147" s="62">
        <f t="shared" si="146"/>
        <v>469.89734899725369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-6.7984728957526396E-14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207.59954777160192</v>
      </c>
      <c r="CE147" s="62">
        <f t="shared" si="148"/>
        <v>314.81017053732063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0.38363627013263951</v>
      </c>
      <c r="CL147" s="23">
        <f>EXP(-LN(2)/25)*CL146+(1-EXP(-LN(2)/25))/(LN(2)/25)*Calculateur!CG147*Calculateur!CI147*VLOOKUP('Données projet'!$B$12,Paramètres!$A$1:$I$89,3,0)*0.475*44/12</f>
        <v>0.22687019920208065</v>
      </c>
      <c r="CM147" s="23">
        <f>EXP(-LN(2)/2)*CM146+(1-EXP(-LN(2)/2))/(LN(2)/2)*CG147*CJ147*VLOOKUP('Données projet'!$B$12,Paramètres!$A$1:$I$89,3,0)*0.475*44/12</f>
        <v>4.7783320868584443E-17</v>
      </c>
      <c r="CN147" s="24">
        <f t="shared" si="120"/>
        <v>0.61050646933472019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3.4106051316484809E-13</v>
      </c>
      <c r="CU147" s="18">
        <f>CT147*VLOOKUP('Données projet'!$B$13,Paramètres!$A$1:$I$89,3,0)*VLOOKUP('Données projet'!$B$13,Paramètres!$A$1:$I$89,5,0)</f>
        <v>2.5006556825246659E-13</v>
      </c>
      <c r="CV147" s="14">
        <f t="shared" si="149"/>
        <v>3.3765445850268018E-12</v>
      </c>
      <c r="CW147" s="22">
        <f t="shared" si="121"/>
        <v>6.3163460169613921E-12</v>
      </c>
      <c r="CX147" s="62">
        <f t="shared" si="122"/>
        <v>293.33333333333962</v>
      </c>
      <c r="CY147" s="62">
        <f ca="1">AVERAGE(OFFSET($CX$3,0,0,'Données projet'!$E$13+1,1))-AVERAGE(OFFSET($H$3,0,0,'Données projet'!$E$13+1,1))</f>
        <v>290.68086183422963</v>
      </c>
      <c r="CZ147" s="62">
        <f t="shared" si="150"/>
        <v>317.88330630101785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297.77799999999922</v>
      </c>
      <c r="P148" s="14">
        <f t="shared" si="141"/>
        <v>70.710445573485245</v>
      </c>
      <c r="Q148" s="22">
        <f t="shared" si="108"/>
        <v>641.78404270715203</v>
      </c>
      <c r="R148" s="62">
        <f t="shared" si="109"/>
        <v>935.1173760404854</v>
      </c>
      <c r="S148" s="62">
        <f ca="1">AVERAGE(OFFSET($R$3,0,0,'Données projet'!$E$9+1,1))-AVERAGE(OFFSET($H$3,0,0,'Données projet'!$E$9+1,1))</f>
        <v>476.8965664931755</v>
      </c>
      <c r="T148" s="62">
        <f t="shared" si="142"/>
        <v>254.25036207346591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2.4666666666666668</v>
      </c>
      <c r="AI148" s="14">
        <f>IF('Données projet'!$A$62&gt;35,AI147+AH148-AQ147,IF(A148&lt;'Données projet'!$A$62,$AF$205^A148,IF(A148='Données projet'!$A$62,'Données projet'!$B$62,AI147+AH148-AQ147)))</f>
        <v>293.66666666666589</v>
      </c>
      <c r="AJ148" s="14">
        <f>AI148*VLOOKUP('Données projet'!$B$10,Paramètres!$A$1:$I$89,3,0)*VLOOKUP('Données projet'!$B$10,Paramètres!$A$1:$I$89,5,0)</f>
        <v>265.70959999999928</v>
      </c>
      <c r="AK148" s="14">
        <f t="shared" si="143"/>
        <v>63.937891026614238</v>
      </c>
      <c r="AL148" s="22">
        <f t="shared" si="112"/>
        <v>574.13604687135182</v>
      </c>
      <c r="AM148" s="62">
        <f t="shared" si="113"/>
        <v>867.46938020468519</v>
      </c>
      <c r="AN148" s="62">
        <f ca="1">AVERAGE(OFFSET($AM$3,0,0,'Données projet'!$E$10+1,1))-AVERAGE(OFFSET($H$3,0,0,'Données projet'!$E$10+1,1))</f>
        <v>430.11660085503223</v>
      </c>
      <c r="AO148" s="62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projet'!$B$11,Paramètres!$A$1:$I$89,3,0)*VLOOKUP('Données projet'!$B$11,Paramètres!$A$1:$I$89,5,0)</f>
        <v>1.4897523215040567E-13</v>
      </c>
      <c r="BF148" s="14">
        <f t="shared" si="145"/>
        <v>2.136562777003313E-12</v>
      </c>
      <c r="BG148" s="22">
        <f t="shared" si="115"/>
        <v>3.9806453659427267E-12</v>
      </c>
      <c r="BH148" s="62">
        <f t="shared" si="116"/>
        <v>293.33333333333729</v>
      </c>
      <c r="BI148" s="62">
        <f ca="1">AVERAGE(OFFSET($BH$3,0,0,'Données projet'!$E$11+1,1))-AVERAGE(OFFSET($H$3,0,0,'Données projet'!$E$11+1,1))</f>
        <v>346.7910845218741</v>
      </c>
      <c r="BJ148" s="62">
        <f t="shared" si="146"/>
        <v>469.89734899725369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-6.7984728957526396E-14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207.59954777160192</v>
      </c>
      <c r="CE148" s="62">
        <f t="shared" si="148"/>
        <v>314.81017053732063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0.37611339687035816</v>
      </c>
      <c r="CL148" s="23">
        <f>EXP(-LN(2)/25)*CL147+(1-EXP(-LN(2)/25))/(LN(2)/25)*Calculateur!CG148*Calculateur!CI148*VLOOKUP('Données projet'!$B$12,Paramètres!$A$1:$I$89,3,0)*0.475*44/12</f>
        <v>0.22066642167431449</v>
      </c>
      <c r="CM148" s="23">
        <f>EXP(-LN(2)/2)*CM147+(1-EXP(-LN(2)/2))/(LN(2)/2)*CG148*CJ148*VLOOKUP('Données projet'!$B$12,Paramètres!$A$1:$I$89,3,0)*0.475*44/12</f>
        <v>3.3787910213788729E-17</v>
      </c>
      <c r="CN148" s="24">
        <f t="shared" si="120"/>
        <v>0.59677981854467266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3.4106051316484809E-13</v>
      </c>
      <c r="CU148" s="18">
        <f>CT148*VLOOKUP('Données projet'!$B$13,Paramètres!$A$1:$I$89,3,0)*VLOOKUP('Données projet'!$B$13,Paramètres!$A$1:$I$89,5,0)</f>
        <v>2.5006556825246659E-13</v>
      </c>
      <c r="CV148" s="14">
        <f t="shared" si="149"/>
        <v>3.3765445850268018E-12</v>
      </c>
      <c r="CW148" s="22">
        <f t="shared" si="121"/>
        <v>6.3163460169613921E-12</v>
      </c>
      <c r="CX148" s="62">
        <f t="shared" si="122"/>
        <v>293.33333333333962</v>
      </c>
      <c r="CY148" s="62">
        <f ca="1">AVERAGE(OFFSET($CX$3,0,0,'Données projet'!$E$13+1,1))-AVERAGE(OFFSET($H$3,0,0,'Données projet'!$E$13+1,1))</f>
        <v>290.68086183422963</v>
      </c>
      <c r="CZ148" s="62">
        <f t="shared" si="150"/>
        <v>317.88330630101785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300.27919999999921</v>
      </c>
      <c r="P149" s="14">
        <f t="shared" si="141"/>
        <v>71.234991350653587</v>
      </c>
      <c r="Q149" s="22">
        <f t="shared" si="108"/>
        <v>647.05388326905359</v>
      </c>
      <c r="R149" s="62">
        <f t="shared" si="109"/>
        <v>940.38721660238684</v>
      </c>
      <c r="S149" s="62">
        <f ca="1">AVERAGE(OFFSET($R$3,0,0,'Données projet'!$E$9+1,1))-AVERAGE(OFFSET($H$3,0,0,'Données projet'!$E$9+1,1))</f>
        <v>476.8965664931755</v>
      </c>
      <c r="T149" s="62">
        <f t="shared" si="142"/>
        <v>254.25036207346591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2.4666666666666668</v>
      </c>
      <c r="AI149" s="14">
        <f>IF('Données projet'!$A$62&gt;35,AI148+AH149-AQ148,IF(A149&lt;'Données projet'!$A$62,$AF$205^A149,IF(A149='Données projet'!$A$62,'Données projet'!$B$62,AI148+AH149-AQ148)))</f>
        <v>296.13333333333253</v>
      </c>
      <c r="AJ149" s="14">
        <f>AI149*VLOOKUP('Données projet'!$B$10,Paramètres!$A$1:$I$89,3,0)*VLOOKUP('Données projet'!$B$10,Paramètres!$A$1:$I$89,5,0)</f>
        <v>267.94143999999926</v>
      </c>
      <c r="AK149" s="14">
        <f t="shared" si="143"/>
        <v>64.412196491203645</v>
      </c>
      <c r="AL149" s="22">
        <f t="shared" si="112"/>
        <v>578.84925022217828</v>
      </c>
      <c r="AM149" s="62">
        <f t="shared" si="113"/>
        <v>872.18258355551166</v>
      </c>
      <c r="AN149" s="62">
        <f ca="1">AVERAGE(OFFSET($AM$3,0,0,'Données projet'!$E$10+1,1))-AVERAGE(OFFSET($H$3,0,0,'Données projet'!$E$10+1,1))</f>
        <v>430.11660085503223</v>
      </c>
      <c r="AO149" s="62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projet'!$B$11,Paramètres!$A$1:$I$89,3,0)*VLOOKUP('Données projet'!$B$11,Paramètres!$A$1:$I$89,5,0)</f>
        <v>1.4897523215040567E-13</v>
      </c>
      <c r="BF149" s="14">
        <f t="shared" si="145"/>
        <v>2.136562777003313E-12</v>
      </c>
      <c r="BG149" s="22">
        <f t="shared" si="115"/>
        <v>3.9806453659427267E-12</v>
      </c>
      <c r="BH149" s="62">
        <f t="shared" si="116"/>
        <v>293.33333333333729</v>
      </c>
      <c r="BI149" s="62">
        <f ca="1">AVERAGE(OFFSET($BH$3,0,0,'Données projet'!$E$11+1,1))-AVERAGE(OFFSET($H$3,0,0,'Données projet'!$E$11+1,1))</f>
        <v>346.7910845218741</v>
      </c>
      <c r="BJ149" s="62">
        <f t="shared" si="146"/>
        <v>469.89734899725369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-6.7984728957526396E-14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207.59954777160192</v>
      </c>
      <c r="CE149" s="62">
        <f t="shared" si="148"/>
        <v>314.81017053732063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0.36873804256425052</v>
      </c>
      <c r="CL149" s="23">
        <f>EXP(-LN(2)/25)*CL148+(1-EXP(-LN(2)/25))/(LN(2)/25)*Calculateur!CG149*Calculateur!CI149*VLOOKUP('Données projet'!$B$12,Paramètres!$A$1:$I$89,3,0)*0.475*44/12</f>
        <v>0.21463228676928758</v>
      </c>
      <c r="CM149" s="23">
        <f>EXP(-LN(2)/2)*CM148+(1-EXP(-LN(2)/2))/(LN(2)/2)*CG149*CJ149*VLOOKUP('Données projet'!$B$12,Paramètres!$A$1:$I$89,3,0)*0.475*44/12</f>
        <v>2.3891660434292221E-17</v>
      </c>
      <c r="CN149" s="24">
        <f t="shared" si="120"/>
        <v>0.58337032933353816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3.4106051316484809E-13</v>
      </c>
      <c r="CU149" s="18">
        <f>CT149*VLOOKUP('Données projet'!$B$13,Paramètres!$A$1:$I$89,3,0)*VLOOKUP('Données projet'!$B$13,Paramètres!$A$1:$I$89,5,0)</f>
        <v>2.5006556825246659E-13</v>
      </c>
      <c r="CV149" s="14">
        <f t="shared" si="149"/>
        <v>3.3765445850268018E-12</v>
      </c>
      <c r="CW149" s="22">
        <f t="shared" si="121"/>
        <v>6.3163460169613921E-12</v>
      </c>
      <c r="CX149" s="62">
        <f t="shared" si="122"/>
        <v>293.33333333333962</v>
      </c>
      <c r="CY149" s="62">
        <f ca="1">AVERAGE(OFFSET($CX$3,0,0,'Données projet'!$E$13+1,1))-AVERAGE(OFFSET($H$3,0,0,'Données projet'!$E$13+1,1))</f>
        <v>290.68086183422963</v>
      </c>
      <c r="CZ149" s="62">
        <f t="shared" si="150"/>
        <v>317.88330630101785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302.78039999999919</v>
      </c>
      <c r="P150" s="14">
        <f t="shared" si="141"/>
        <v>71.759028787761522</v>
      </c>
      <c r="Q150" s="22">
        <f t="shared" si="108"/>
        <v>652.32283847201654</v>
      </c>
      <c r="R150" s="62">
        <f t="shared" si="109"/>
        <v>945.65617180534991</v>
      </c>
      <c r="S150" s="62">
        <f ca="1">AVERAGE(OFFSET($R$3,0,0,'Données projet'!$E$9+1,1))-AVERAGE(OFFSET($H$3,0,0,'Données projet'!$E$9+1,1))</f>
        <v>476.8965664931755</v>
      </c>
      <c r="T150" s="62">
        <f t="shared" si="142"/>
        <v>254.25036207346591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2.4666666666666668</v>
      </c>
      <c r="AI150" s="14">
        <f>IF('Données projet'!$A$62&gt;35,AI149+AH150-AQ149,IF(A150&lt;'Données projet'!$A$62,$AF$205^A150,IF(A150='Données projet'!$A$62,'Données projet'!$B$62,AI149+AH150-AQ149)))</f>
        <v>298.59999999999917</v>
      </c>
      <c r="AJ150" s="14">
        <f>AI150*VLOOKUP('Données projet'!$B$10,Paramètres!$A$1:$I$89,3,0)*VLOOKUP('Données projet'!$B$10,Paramètres!$A$1:$I$89,5,0)</f>
        <v>270.17327999999924</v>
      </c>
      <c r="AK150" s="14">
        <f t="shared" si="143"/>
        <v>64.886042303882803</v>
      </c>
      <c r="AL150" s="22">
        <f t="shared" si="112"/>
        <v>583.56165301259455</v>
      </c>
      <c r="AM150" s="62">
        <f t="shared" si="113"/>
        <v>876.89498634592792</v>
      </c>
      <c r="AN150" s="62">
        <f ca="1">AVERAGE(OFFSET($AM$3,0,0,'Données projet'!$E$10+1,1))-AVERAGE(OFFSET($H$3,0,0,'Données projet'!$E$10+1,1))</f>
        <v>430.11660085503223</v>
      </c>
      <c r="AO150" s="62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projet'!$B$11,Paramètres!$A$1:$I$89,3,0)*VLOOKUP('Données projet'!$B$11,Paramètres!$A$1:$I$89,5,0)</f>
        <v>1.4897523215040567E-13</v>
      </c>
      <c r="BF150" s="14">
        <f t="shared" si="145"/>
        <v>2.136562777003313E-12</v>
      </c>
      <c r="BG150" s="22">
        <f t="shared" si="115"/>
        <v>3.9806453659427267E-12</v>
      </c>
      <c r="BH150" s="62">
        <f t="shared" si="116"/>
        <v>293.33333333333729</v>
      </c>
      <c r="BI150" s="62">
        <f ca="1">AVERAGE(OFFSET($BH$3,0,0,'Données projet'!$E$11+1,1))-AVERAGE(OFFSET($H$3,0,0,'Données projet'!$E$11+1,1))</f>
        <v>346.7910845218741</v>
      </c>
      <c r="BJ150" s="62">
        <f t="shared" si="146"/>
        <v>469.89734899725369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-6.7984728957526396E-14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207.59954777160192</v>
      </c>
      <c r="CE150" s="62">
        <f t="shared" si="148"/>
        <v>314.81017053732063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0.36150731445756373</v>
      </c>
      <c r="CL150" s="23">
        <f>EXP(-LN(2)/25)*CL149+(1-EXP(-LN(2)/25))/(LN(2)/25)*Calculateur!CG150*Calculateur!CI150*VLOOKUP('Données projet'!$B$12,Paramètres!$A$1:$I$89,3,0)*0.475*44/12</f>
        <v>0.20876315560056</v>
      </c>
      <c r="CM150" s="23">
        <f>EXP(-LN(2)/2)*CM149+(1-EXP(-LN(2)/2))/(LN(2)/2)*CG150*CJ150*VLOOKUP('Données projet'!$B$12,Paramètres!$A$1:$I$89,3,0)*0.475*44/12</f>
        <v>1.6893955106894364E-17</v>
      </c>
      <c r="CN150" s="24">
        <f t="shared" si="120"/>
        <v>0.5702704700581237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3.4106051316484809E-13</v>
      </c>
      <c r="CU150" s="18">
        <f>CT150*VLOOKUP('Données projet'!$B$13,Paramètres!$A$1:$I$89,3,0)*VLOOKUP('Données projet'!$B$13,Paramètres!$A$1:$I$89,5,0)</f>
        <v>2.5006556825246659E-13</v>
      </c>
      <c r="CV150" s="14">
        <f t="shared" si="149"/>
        <v>3.3765445850268018E-12</v>
      </c>
      <c r="CW150" s="22">
        <f t="shared" si="121"/>
        <v>6.3163460169613921E-12</v>
      </c>
      <c r="CX150" s="62">
        <f t="shared" si="122"/>
        <v>293.33333333333962</v>
      </c>
      <c r="CY150" s="62">
        <f ca="1">AVERAGE(OFFSET($CX$3,0,0,'Données projet'!$E$13+1,1))-AVERAGE(OFFSET($H$3,0,0,'Données projet'!$E$13+1,1))</f>
        <v>290.68086183422963</v>
      </c>
      <c r="CZ150" s="62">
        <f t="shared" si="150"/>
        <v>317.88330630101785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305.28159999999917</v>
      </c>
      <c r="P151" s="14">
        <f t="shared" si="141"/>
        <v>72.282562570740865</v>
      </c>
      <c r="Q151" s="22">
        <f t="shared" si="108"/>
        <v>657.59091647737216</v>
      </c>
      <c r="R151" s="62">
        <f t="shared" si="109"/>
        <v>950.92424981070553</v>
      </c>
      <c r="S151" s="62">
        <f ca="1">AVERAGE(OFFSET($R$3,0,0,'Données projet'!$E$9+1,1))-AVERAGE(OFFSET($H$3,0,0,'Données projet'!$E$9+1,1))</f>
        <v>476.8965664931755</v>
      </c>
      <c r="T151" s="62">
        <f t="shared" si="142"/>
        <v>254.25036207346591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2.4666666666666668</v>
      </c>
      <c r="AI151" s="14">
        <f>IF('Données projet'!$A$62&gt;35,AI150+AH151-AQ150,IF(A151&lt;'Données projet'!$A$62,$AF$205^A151,IF(A151='Données projet'!$A$62,'Données projet'!$B$62,AI150+AH151-AQ150)))</f>
        <v>301.06666666666581</v>
      </c>
      <c r="AJ151" s="14">
        <f>AI151*VLOOKUP('Données projet'!$B$10,Paramètres!$A$1:$I$89,3,0)*VLOOKUP('Données projet'!$B$10,Paramètres!$A$1:$I$89,5,0)</f>
        <v>272.40511999999921</v>
      </c>
      <c r="AK151" s="14">
        <f t="shared" si="143"/>
        <v>65.35943270177107</v>
      </c>
      <c r="AL151" s="22">
        <f t="shared" si="112"/>
        <v>588.27326262224994</v>
      </c>
      <c r="AM151" s="62">
        <f t="shared" si="113"/>
        <v>881.60659595558332</v>
      </c>
      <c r="AN151" s="62">
        <f ca="1">AVERAGE(OFFSET($AM$3,0,0,'Données projet'!$E$10+1,1))-AVERAGE(OFFSET($H$3,0,0,'Données projet'!$E$10+1,1))</f>
        <v>430.11660085503223</v>
      </c>
      <c r="AO151" s="62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projet'!$B$11,Paramètres!$A$1:$I$89,3,0)*VLOOKUP('Données projet'!$B$11,Paramètres!$A$1:$I$89,5,0)</f>
        <v>1.4897523215040567E-13</v>
      </c>
      <c r="BF151" s="14">
        <f t="shared" si="145"/>
        <v>2.136562777003313E-12</v>
      </c>
      <c r="BG151" s="22">
        <f t="shared" si="115"/>
        <v>3.9806453659427267E-12</v>
      </c>
      <c r="BH151" s="62">
        <f t="shared" si="116"/>
        <v>293.33333333333729</v>
      </c>
      <c r="BI151" s="62">
        <f ca="1">AVERAGE(OFFSET($BH$3,0,0,'Données projet'!$E$11+1,1))-AVERAGE(OFFSET($H$3,0,0,'Données projet'!$E$11+1,1))</f>
        <v>346.7910845218741</v>
      </c>
      <c r="BJ151" s="62">
        <f t="shared" si="146"/>
        <v>469.89734899725369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-6.7984728957526396E-14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207.59954777160192</v>
      </c>
      <c r="CE151" s="62">
        <f t="shared" si="148"/>
        <v>314.81017053732063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0.35441837651874036</v>
      </c>
      <c r="CL151" s="23">
        <f>EXP(-LN(2)/25)*CL150+(1-EXP(-LN(2)/25))/(LN(2)/25)*Calculateur!CG151*Calculateur!CI151*VLOOKUP('Données projet'!$B$12,Paramètres!$A$1:$I$89,3,0)*0.475*44/12</f>
        <v>0.20305451613228548</v>
      </c>
      <c r="CM151" s="23">
        <f>EXP(-LN(2)/2)*CM150+(1-EXP(-LN(2)/2))/(LN(2)/2)*CG151*CJ151*VLOOKUP('Données projet'!$B$12,Paramètres!$A$1:$I$89,3,0)*0.475*44/12</f>
        <v>1.1945830217146111E-17</v>
      </c>
      <c r="CN151" s="24">
        <f t="shared" si="120"/>
        <v>0.55747289265102584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3.4106051316484809E-13</v>
      </c>
      <c r="CU151" s="18">
        <f>CT151*VLOOKUP('Données projet'!$B$13,Paramètres!$A$1:$I$89,3,0)*VLOOKUP('Données projet'!$B$13,Paramètres!$A$1:$I$89,5,0)</f>
        <v>2.5006556825246659E-13</v>
      </c>
      <c r="CV151" s="14">
        <f t="shared" si="149"/>
        <v>3.3765445850268018E-12</v>
      </c>
      <c r="CW151" s="22">
        <f t="shared" si="121"/>
        <v>6.3163460169613921E-12</v>
      </c>
      <c r="CX151" s="62">
        <f t="shared" si="122"/>
        <v>293.33333333333962</v>
      </c>
      <c r="CY151" s="62">
        <f ca="1">AVERAGE(OFFSET($CX$3,0,0,'Données projet'!$E$13+1,1))-AVERAGE(OFFSET($H$3,0,0,'Données projet'!$E$13+1,1))</f>
        <v>290.68086183422963</v>
      </c>
      <c r="CZ151" s="62">
        <f t="shared" si="150"/>
        <v>317.88330630101785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307.78279999999916</v>
      </c>
      <c r="P152" s="14">
        <f t="shared" si="141"/>
        <v>72.805597304305977</v>
      </c>
      <c r="Q152" s="22">
        <f t="shared" si="108"/>
        <v>662.858125304998</v>
      </c>
      <c r="R152" s="62">
        <f t="shared" si="109"/>
        <v>956.19145863833137</v>
      </c>
      <c r="S152" s="62">
        <f ca="1">AVERAGE(OFFSET($R$3,0,0,'Données projet'!$E$9+1,1))-AVERAGE(OFFSET($H$3,0,0,'Données projet'!$E$9+1,1))</f>
        <v>476.8965664931755</v>
      </c>
      <c r="T152" s="62">
        <f t="shared" si="142"/>
        <v>254.25036207346591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2.4666666666666668</v>
      </c>
      <c r="AI152" s="14">
        <f>IF('Données projet'!$A$62&gt;35,AI151+AH152-AQ151,IF(A152&lt;'Données projet'!$A$62,$AF$205^A152,IF(A152='Données projet'!$A$62,'Données projet'!$B$62,AI151+AH152-AQ151)))</f>
        <v>303.53333333333245</v>
      </c>
      <c r="AJ152" s="14">
        <f>AI152*VLOOKUP('Données projet'!$B$10,Paramètres!$A$1:$I$89,3,0)*VLOOKUP('Données projet'!$B$10,Paramètres!$A$1:$I$89,5,0)</f>
        <v>274.63695999999919</v>
      </c>
      <c r="AK152" s="14">
        <f t="shared" si="143"/>
        <v>65.83237184854913</v>
      </c>
      <c r="AL152" s="22">
        <f t="shared" si="112"/>
        <v>592.98408630288839</v>
      </c>
      <c r="AM152" s="62">
        <f t="shared" si="113"/>
        <v>886.31741963622176</v>
      </c>
      <c r="AN152" s="62">
        <f ca="1">AVERAGE(OFFSET($AM$3,0,0,'Données projet'!$E$10+1,1))-AVERAGE(OFFSET($H$3,0,0,'Données projet'!$E$10+1,1))</f>
        <v>430.11660085503223</v>
      </c>
      <c r="AO152" s="62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projet'!$B$11,Paramètres!$A$1:$I$89,3,0)*VLOOKUP('Données projet'!$B$11,Paramètres!$A$1:$I$89,5,0)</f>
        <v>1.4897523215040567E-13</v>
      </c>
      <c r="BF152" s="14">
        <f t="shared" si="145"/>
        <v>2.136562777003313E-12</v>
      </c>
      <c r="BG152" s="22">
        <f t="shared" si="115"/>
        <v>3.9806453659427267E-12</v>
      </c>
      <c r="BH152" s="62">
        <f t="shared" si="116"/>
        <v>293.33333333333729</v>
      </c>
      <c r="BI152" s="62">
        <f ca="1">AVERAGE(OFFSET($BH$3,0,0,'Données projet'!$E$11+1,1))-AVERAGE(OFFSET($H$3,0,0,'Données projet'!$E$11+1,1))</f>
        <v>346.7910845218741</v>
      </c>
      <c r="BJ152" s="62">
        <f t="shared" si="146"/>
        <v>469.89734899725369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-6.7984728957526396E-14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207.59954777160192</v>
      </c>
      <c r="CE152" s="62">
        <f t="shared" si="148"/>
        <v>314.81017053732063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0.34746844832907214</v>
      </c>
      <c r="CL152" s="23">
        <f>EXP(-LN(2)/25)*CL151+(1-EXP(-LN(2)/25))/(LN(2)/25)*Calculateur!CG152*Calculateur!CI152*VLOOKUP('Données projet'!$B$12,Paramètres!$A$1:$I$89,3,0)*0.475*44/12</f>
        <v>0.19750197971047523</v>
      </c>
      <c r="CM152" s="23">
        <f>EXP(-LN(2)/2)*CM151+(1-EXP(-LN(2)/2))/(LN(2)/2)*CG152*CJ152*VLOOKUP('Données projet'!$B$12,Paramètres!$A$1:$I$89,3,0)*0.475*44/12</f>
        <v>8.4469775534471822E-18</v>
      </c>
      <c r="CN152" s="24">
        <f t="shared" si="120"/>
        <v>0.54497042803954732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3.4106051316484809E-13</v>
      </c>
      <c r="CU152" s="18">
        <f>CT152*VLOOKUP('Données projet'!$B$13,Paramètres!$A$1:$I$89,3,0)*VLOOKUP('Données projet'!$B$13,Paramètres!$A$1:$I$89,5,0)</f>
        <v>2.5006556825246659E-13</v>
      </c>
      <c r="CV152" s="14">
        <f t="shared" si="149"/>
        <v>3.3765445850268018E-12</v>
      </c>
      <c r="CW152" s="22">
        <f t="shared" si="121"/>
        <v>6.3163460169613921E-12</v>
      </c>
      <c r="CX152" s="62">
        <f t="shared" si="122"/>
        <v>293.33333333333962</v>
      </c>
      <c r="CY152" s="62">
        <f ca="1">AVERAGE(OFFSET($CX$3,0,0,'Données projet'!$E$13+1,1))-AVERAGE(OFFSET($H$3,0,0,'Données projet'!$E$13+1,1))</f>
        <v>290.68086183422963</v>
      </c>
      <c r="CZ152" s="62">
        <f t="shared" si="150"/>
        <v>317.88330630101785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310.28399999999908</v>
      </c>
      <c r="P153" s="14">
        <f t="shared" si="141"/>
        <v>73.328137514009967</v>
      </c>
      <c r="Q153" s="22">
        <f t="shared" si="108"/>
        <v>668.12447283689914</v>
      </c>
      <c r="R153" s="62">
        <f t="shared" si="109"/>
        <v>961.45780617023252</v>
      </c>
      <c r="S153" s="62">
        <f ca="1">AVERAGE(OFFSET($R$3,0,0,'Données projet'!$E$9+1,1))-AVERAGE(OFFSET($H$3,0,0,'Données projet'!$E$9+1,1))</f>
        <v>476.8965664931755</v>
      </c>
      <c r="T153" s="62">
        <f t="shared" si="142"/>
        <v>254.25036207346591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2.4666666666666668</v>
      </c>
      <c r="AH153" s="13">
        <f t="array" ref="AH153">INDEX(AG:AG,MIN(IF(ISNUMBER(AG153:AG349),ROW(AG153:AG349),"")))</f>
        <v>2.4666666666666668</v>
      </c>
      <c r="AI153" s="14">
        <f>IF('Données projet'!$A$62&gt;35,AI152+AH153-AQ152,IF(A153&lt;'Données projet'!$A$62,$AF$205^A153,IF(A153='Données projet'!$A$62,'Données projet'!$B$62,AI152+AH153-AQ152)))</f>
        <v>305.99999999999909</v>
      </c>
      <c r="AJ153" s="14">
        <f>AI153*VLOOKUP('Données projet'!$B$10,Paramètres!$A$1:$I$89,3,0)*VLOOKUP('Données projet'!$B$10,Paramètres!$A$1:$I$89,5,0)</f>
        <v>276.86879999999917</v>
      </c>
      <c r="AK153" s="14">
        <f t="shared" si="143"/>
        <v>66.304863836318546</v>
      </c>
      <c r="AL153" s="22">
        <f t="shared" si="112"/>
        <v>597.69413118158661</v>
      </c>
      <c r="AM153" s="62">
        <f t="shared" si="113"/>
        <v>891.02746451491998</v>
      </c>
      <c r="AN153" s="62">
        <f ca="1">AVERAGE(OFFSET($AM$3,0,0,'Données projet'!$E$10+1,1))-AVERAGE(OFFSET($H$3,0,0,'Données projet'!$E$10+1,1))</f>
        <v>430.11660085503223</v>
      </c>
      <c r="AO153" s="62">
        <f t="shared" si="144"/>
        <v>231.36959598460686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projet'!$B$11,Paramètres!$A$1:$I$89,3,0)*VLOOKUP('Données projet'!$B$11,Paramètres!$A$1:$I$89,5,0)</f>
        <v>1.4897523215040567E-13</v>
      </c>
      <c r="BF153" s="14">
        <f t="shared" si="145"/>
        <v>2.136562777003313E-12</v>
      </c>
      <c r="BG153" s="22">
        <f t="shared" si="115"/>
        <v>3.9806453659427267E-12</v>
      </c>
      <c r="BH153" s="62">
        <f t="shared" si="116"/>
        <v>293.33333333333729</v>
      </c>
      <c r="BI153" s="62">
        <f ca="1">AVERAGE(OFFSET($BH$3,0,0,'Données projet'!$E$11+1,1))-AVERAGE(OFFSET($H$3,0,0,'Données projet'!$E$11+1,1))</f>
        <v>346.7910845218741</v>
      </c>
      <c r="BJ153" s="62">
        <f t="shared" si="146"/>
        <v>469.89734899725369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-6.7984728957526396E-14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207.59954777160192</v>
      </c>
      <c r="CE153" s="62">
        <f t="shared" si="148"/>
        <v>314.81017053732063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0.34065480399216569</v>
      </c>
      <c r="CL153" s="23">
        <f>EXP(-LN(2)/25)*CL152+(1-EXP(-LN(2)/25))/(LN(2)/25)*Calculateur!CG153*Calculateur!CI153*VLOOKUP('Données projet'!$B$12,Paramètres!$A$1:$I$89,3,0)*0.475*44/12</f>
        <v>0.19210127768911456</v>
      </c>
      <c r="CM153" s="23">
        <f>EXP(-LN(2)/2)*CM152+(1-EXP(-LN(2)/2))/(LN(2)/2)*CG153*CJ153*VLOOKUP('Données projet'!$B$12,Paramètres!$A$1:$I$89,3,0)*0.475*44/12</f>
        <v>5.9729151085730553E-18</v>
      </c>
      <c r="CN153" s="24">
        <f t="shared" si="120"/>
        <v>0.53275608168128019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3.4106051316484809E-13</v>
      </c>
      <c r="CU153" s="18">
        <f>CT153*VLOOKUP('Données projet'!$B$13,Paramètres!$A$1:$I$89,3,0)*VLOOKUP('Données projet'!$B$13,Paramètres!$A$1:$I$89,5,0)</f>
        <v>2.5006556825246659E-13</v>
      </c>
      <c r="CV153" s="14">
        <f t="shared" si="149"/>
        <v>3.3765445850268018E-12</v>
      </c>
      <c r="CW153" s="22">
        <f t="shared" si="121"/>
        <v>6.3163460169613921E-12</v>
      </c>
      <c r="CX153" s="62">
        <f t="shared" si="122"/>
        <v>293.33333333333962</v>
      </c>
      <c r="CY153" s="62">
        <f ca="1">AVERAGE(OFFSET($CX$3,0,0,'Données projet'!$E$13+1,1))-AVERAGE(OFFSET($H$3,0,0,'Données projet'!$E$13+1,1))</f>
        <v>290.68086183422963</v>
      </c>
      <c r="CZ153" s="62">
        <f t="shared" si="150"/>
        <v>317.88330630101785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-9.2222762759774924E-13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476.8965664931755</v>
      </c>
      <c r="T154" s="62">
        <f t="shared" si="142"/>
        <v>254.25036207346591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-9.0949470177292824E-13</v>
      </c>
      <c r="AJ154" s="14">
        <f>AI154*VLOOKUP('Données projet'!$B$10,Paramètres!$A$1:$I$89,3,0)*VLOOKUP('Données projet'!$B$10,Paramètres!$A$1:$I$89,5,0)</f>
        <v>-8.2291080616414541E-13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430.11660085503223</v>
      </c>
      <c r="AO154" s="62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projet'!$B$11,Paramètres!$A$1:$I$89,3,0)*VLOOKUP('Données projet'!$B$11,Paramètres!$A$1:$I$89,5,0)</f>
        <v>1.4897523215040567E-13</v>
      </c>
      <c r="BF154" s="14">
        <f t="shared" ref="BF154:BF203" si="167">EXP(-1.0587+0.8836*LN(BE154)+0.284)</f>
        <v>2.136562777003313E-12</v>
      </c>
      <c r="BG154" s="22">
        <f t="shared" ref="BG154:BG203" si="168">(BE154+BF154)*0.475*44/12</f>
        <v>3.9806453659427267E-12</v>
      </c>
      <c r="BH154" s="62">
        <f t="shared" si="116"/>
        <v>293.33333333333729</v>
      </c>
      <c r="BI154" s="62">
        <f ca="1">AVERAGE(OFFSET($BH$3,0,0,'Données projet'!$E$11+1,1))-AVERAGE(OFFSET($H$3,0,0,'Données projet'!$E$11+1,1))</f>
        <v>346.7910845218741</v>
      </c>
      <c r="BJ154" s="62">
        <f t="shared" si="146"/>
        <v>469.89734899725369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-6.7984728957526396E-14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207.59954777160192</v>
      </c>
      <c r="CE154" s="62">
        <f t="shared" si="148"/>
        <v>314.81017053732063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0.33397477106479329</v>
      </c>
      <c r="CL154" s="23">
        <f>EXP(-LN(2)/25)*CL153+(1-EXP(-LN(2)/25))/(LN(2)/25)*Calculateur!CG154*Calculateur!CI154*VLOOKUP('Données projet'!$B$12,Paramètres!$A$1:$I$89,3,0)*0.475*44/12</f>
        <v>0.18684825814853859</v>
      </c>
      <c r="CM154" s="23">
        <f>EXP(-LN(2)/2)*CM153+(1-EXP(-LN(2)/2))/(LN(2)/2)*CG154*CJ154*VLOOKUP('Données projet'!$B$12,Paramètres!$A$1:$I$89,3,0)*0.475*44/12</f>
        <v>4.2234887767235911E-18</v>
      </c>
      <c r="CN154" s="24">
        <f t="shared" ref="CN154:CN203" si="172">SUM(CK154:CM154)</f>
        <v>0.5208230292133319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3.4106051316484809E-13</v>
      </c>
      <c r="CU154" s="18">
        <f>CT154*VLOOKUP('Données projet'!$B$13,Paramètres!$A$1:$I$89,3,0)*VLOOKUP('Données projet'!$B$13,Paramètres!$A$1:$I$89,5,0)</f>
        <v>2.5006556825246659E-13</v>
      </c>
      <c r="CV154" s="14">
        <f t="shared" ref="CV154:CV203" si="173">EXP(-1.0587+0.8836*LN(CU154)+0.284)</f>
        <v>3.3765445850268018E-12</v>
      </c>
      <c r="CW154" s="22">
        <f t="shared" ref="CW154:CW203" si="174">(CU154+CV154)*0.475*44/12</f>
        <v>6.3163460169613921E-12</v>
      </c>
      <c r="CX154" s="62">
        <f t="shared" si="122"/>
        <v>293.33333333333962</v>
      </c>
      <c r="CY154" s="62">
        <f ca="1">AVERAGE(OFFSET($CX$3,0,0,'Données projet'!$E$13+1,1))-AVERAGE(OFFSET($H$3,0,0,'Données projet'!$E$13+1,1))</f>
        <v>290.68086183422963</v>
      </c>
      <c r="CZ154" s="62">
        <f t="shared" si="150"/>
        <v>317.88330630101785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-9.2222762759774924E-13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476.8965664931755</v>
      </c>
      <c r="T155" s="62">
        <f t="shared" si="142"/>
        <v>254.25036207346591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-9.0949470177292824E-13</v>
      </c>
      <c r="AJ155" s="14">
        <f>AI155*VLOOKUP('Données projet'!$B$10,Paramètres!$A$1:$I$89,3,0)*VLOOKUP('Données projet'!$B$10,Paramètres!$A$1:$I$89,5,0)</f>
        <v>-8.2291080616414541E-13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430.11660085503223</v>
      </c>
      <c r="AO155" s="62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projet'!$B$11,Paramètres!$A$1:$I$89,3,0)*VLOOKUP('Données projet'!$B$11,Paramètres!$A$1:$I$89,5,0)</f>
        <v>1.4897523215040567E-13</v>
      </c>
      <c r="BF155" s="14">
        <f t="shared" si="167"/>
        <v>2.136562777003313E-12</v>
      </c>
      <c r="BG155" s="22">
        <f t="shared" si="168"/>
        <v>3.9806453659427267E-12</v>
      </c>
      <c r="BH155" s="62">
        <f t="shared" si="116"/>
        <v>293.33333333333729</v>
      </c>
      <c r="BI155" s="62">
        <f ca="1">AVERAGE(OFFSET($BH$3,0,0,'Données projet'!$E$11+1,1))-AVERAGE(OFFSET($H$3,0,0,'Données projet'!$E$11+1,1))</f>
        <v>346.7910845218741</v>
      </c>
      <c r="BJ155" s="62">
        <f t="shared" si="146"/>
        <v>469.89734899725369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-6.7984728957526396E-14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207.59954777160192</v>
      </c>
      <c r="CE155" s="62">
        <f t="shared" si="148"/>
        <v>314.81017053732063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0.32742572950870891</v>
      </c>
      <c r="CL155" s="23">
        <f>EXP(-LN(2)/25)*CL154+(1-EXP(-LN(2)/25))/(LN(2)/25)*Calculateur!CG155*Calculateur!CI155*VLOOKUP('Données projet'!$B$12,Paramètres!$A$1:$I$89,3,0)*0.475*44/12</f>
        <v>0.18173888270354396</v>
      </c>
      <c r="CM155" s="23">
        <f>EXP(-LN(2)/2)*CM154+(1-EXP(-LN(2)/2))/(LN(2)/2)*CG155*CJ155*VLOOKUP('Données projet'!$B$12,Paramètres!$A$1:$I$89,3,0)*0.475*44/12</f>
        <v>2.9864575542865277E-18</v>
      </c>
      <c r="CN155" s="24">
        <f t="shared" si="172"/>
        <v>0.50916461221225284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3.4106051316484809E-13</v>
      </c>
      <c r="CU155" s="18">
        <f>CT155*VLOOKUP('Données projet'!$B$13,Paramètres!$A$1:$I$89,3,0)*VLOOKUP('Données projet'!$B$13,Paramètres!$A$1:$I$89,5,0)</f>
        <v>2.5006556825246659E-13</v>
      </c>
      <c r="CV155" s="14">
        <f t="shared" si="173"/>
        <v>3.3765445850268018E-12</v>
      </c>
      <c r="CW155" s="22">
        <f t="shared" si="174"/>
        <v>6.3163460169613921E-12</v>
      </c>
      <c r="CX155" s="62">
        <f t="shared" si="122"/>
        <v>293.33333333333962</v>
      </c>
      <c r="CY155" s="62">
        <f ca="1">AVERAGE(OFFSET($CX$3,0,0,'Données projet'!$E$13+1,1))-AVERAGE(OFFSET($H$3,0,0,'Données projet'!$E$13+1,1))</f>
        <v>290.68086183422963</v>
      </c>
      <c r="CZ155" s="62">
        <f t="shared" si="150"/>
        <v>317.88330630101785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-9.2222762759774924E-13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476.8965664931755</v>
      </c>
      <c r="T156" s="62">
        <f t="shared" si="142"/>
        <v>254.25036207346591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-9.0949470177292824E-13</v>
      </c>
      <c r="AJ156" s="14">
        <f>AI156*VLOOKUP('Données projet'!$B$10,Paramètres!$A$1:$I$89,3,0)*VLOOKUP('Données projet'!$B$10,Paramètres!$A$1:$I$89,5,0)</f>
        <v>-8.2291080616414541E-13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430.11660085503223</v>
      </c>
      <c r="AO156" s="62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projet'!$B$11,Paramètres!$A$1:$I$89,3,0)*VLOOKUP('Données projet'!$B$11,Paramètres!$A$1:$I$89,5,0)</f>
        <v>1.4897523215040567E-13</v>
      </c>
      <c r="BF156" s="14">
        <f t="shared" si="167"/>
        <v>2.136562777003313E-12</v>
      </c>
      <c r="BG156" s="22">
        <f t="shared" si="168"/>
        <v>3.9806453659427267E-12</v>
      </c>
      <c r="BH156" s="62">
        <f t="shared" si="116"/>
        <v>293.33333333333729</v>
      </c>
      <c r="BI156" s="62">
        <f ca="1">AVERAGE(OFFSET($BH$3,0,0,'Données projet'!$E$11+1,1))-AVERAGE(OFFSET($H$3,0,0,'Données projet'!$E$11+1,1))</f>
        <v>346.7910845218741</v>
      </c>
      <c r="BJ156" s="62">
        <f t="shared" si="146"/>
        <v>469.89734899725369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-6.7984728957526396E-14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207.59954777160192</v>
      </c>
      <c r="CE156" s="62">
        <f t="shared" si="148"/>
        <v>314.81017053732063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0.3210051106630184</v>
      </c>
      <c r="CL156" s="23">
        <f>EXP(-LN(2)/25)*CL155+(1-EXP(-LN(2)/25))/(LN(2)/25)*Calculateur!CG156*Calculateur!CI156*VLOOKUP('Données projet'!$B$12,Paramètres!$A$1:$I$89,3,0)*0.475*44/12</f>
        <v>0.17676922339878309</v>
      </c>
      <c r="CM156" s="23">
        <f>EXP(-LN(2)/2)*CM155+(1-EXP(-LN(2)/2))/(LN(2)/2)*CG156*CJ156*VLOOKUP('Données projet'!$B$12,Paramètres!$A$1:$I$89,3,0)*0.475*44/12</f>
        <v>2.1117443883617955E-18</v>
      </c>
      <c r="CN156" s="24">
        <f t="shared" si="172"/>
        <v>0.49777433406180149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3.4106051316484809E-13</v>
      </c>
      <c r="CU156" s="18">
        <f>CT156*VLOOKUP('Données projet'!$B$13,Paramètres!$A$1:$I$89,3,0)*VLOOKUP('Données projet'!$B$13,Paramètres!$A$1:$I$89,5,0)</f>
        <v>2.5006556825246659E-13</v>
      </c>
      <c r="CV156" s="14">
        <f t="shared" si="173"/>
        <v>3.3765445850268018E-12</v>
      </c>
      <c r="CW156" s="22">
        <f t="shared" si="174"/>
        <v>6.3163460169613921E-12</v>
      </c>
      <c r="CX156" s="62">
        <f t="shared" si="122"/>
        <v>293.33333333333962</v>
      </c>
      <c r="CY156" s="62">
        <f ca="1">AVERAGE(OFFSET($CX$3,0,0,'Données projet'!$E$13+1,1))-AVERAGE(OFFSET($H$3,0,0,'Données projet'!$E$13+1,1))</f>
        <v>290.68086183422963</v>
      </c>
      <c r="CZ156" s="62">
        <f t="shared" si="150"/>
        <v>317.88330630101785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-9.2222762759774924E-13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476.8965664931755</v>
      </c>
      <c r="T157" s="62">
        <f t="shared" si="142"/>
        <v>254.25036207346591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-9.0949470177292824E-13</v>
      </c>
      <c r="AJ157" s="14">
        <f>AI157*VLOOKUP('Données projet'!$B$10,Paramètres!$A$1:$I$89,3,0)*VLOOKUP('Données projet'!$B$10,Paramètres!$A$1:$I$89,5,0)</f>
        <v>-8.2291080616414541E-13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430.11660085503223</v>
      </c>
      <c r="AO157" s="62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projet'!$B$11,Paramètres!$A$1:$I$89,3,0)*VLOOKUP('Données projet'!$B$11,Paramètres!$A$1:$I$89,5,0)</f>
        <v>1.4897523215040567E-13</v>
      </c>
      <c r="BF157" s="14">
        <f t="shared" si="167"/>
        <v>2.136562777003313E-12</v>
      </c>
      <c r="BG157" s="22">
        <f t="shared" si="168"/>
        <v>3.9806453659427267E-12</v>
      </c>
      <c r="BH157" s="62">
        <f t="shared" si="116"/>
        <v>293.33333333333729</v>
      </c>
      <c r="BI157" s="62">
        <f ca="1">AVERAGE(OFFSET($BH$3,0,0,'Données projet'!$E$11+1,1))-AVERAGE(OFFSET($H$3,0,0,'Données projet'!$E$11+1,1))</f>
        <v>346.7910845218741</v>
      </c>
      <c r="BJ157" s="62">
        <f t="shared" si="146"/>
        <v>469.89734899725369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-6.7984728957526396E-14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207.59954777160192</v>
      </c>
      <c r="CE157" s="62">
        <f t="shared" si="148"/>
        <v>314.81017053732063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0.31471039623670111</v>
      </c>
      <c r="CL157" s="23">
        <f>EXP(-LN(2)/25)*CL156+(1-EXP(-LN(2)/25))/(LN(2)/25)*Calculateur!CG157*Calculateur!CI157*VLOOKUP('Données projet'!$B$12,Paramètres!$A$1:$I$89,3,0)*0.475*44/12</f>
        <v>0.17193545968905391</v>
      </c>
      <c r="CM157" s="23">
        <f>EXP(-LN(2)/2)*CM156+(1-EXP(-LN(2)/2))/(LN(2)/2)*CG157*CJ157*VLOOKUP('Données projet'!$B$12,Paramètres!$A$1:$I$89,3,0)*0.475*44/12</f>
        <v>1.4932287771432638E-18</v>
      </c>
      <c r="CN157" s="24">
        <f t="shared" si="172"/>
        <v>0.48664585592575504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3.4106051316484809E-13</v>
      </c>
      <c r="CU157" s="18">
        <f>CT157*VLOOKUP('Données projet'!$B$13,Paramètres!$A$1:$I$89,3,0)*VLOOKUP('Données projet'!$B$13,Paramètres!$A$1:$I$89,5,0)</f>
        <v>2.5006556825246659E-13</v>
      </c>
      <c r="CV157" s="14">
        <f t="shared" si="173"/>
        <v>3.3765445850268018E-12</v>
      </c>
      <c r="CW157" s="22">
        <f t="shared" si="174"/>
        <v>6.3163460169613921E-12</v>
      </c>
      <c r="CX157" s="62">
        <f t="shared" si="122"/>
        <v>293.33333333333962</v>
      </c>
      <c r="CY157" s="62">
        <f ca="1">AVERAGE(OFFSET($CX$3,0,0,'Données projet'!$E$13+1,1))-AVERAGE(OFFSET($H$3,0,0,'Données projet'!$E$13+1,1))</f>
        <v>290.68086183422963</v>
      </c>
      <c r="CZ157" s="62">
        <f t="shared" si="150"/>
        <v>317.88330630101785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-9.2222762759774924E-13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476.8965664931755</v>
      </c>
      <c r="T158" s="62">
        <f t="shared" si="142"/>
        <v>254.25036207346591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-9.0949470177292824E-13</v>
      </c>
      <c r="AJ158" s="14">
        <f>AI158*VLOOKUP('Données projet'!$B$10,Paramètres!$A$1:$I$89,3,0)*VLOOKUP('Données projet'!$B$10,Paramètres!$A$1:$I$89,5,0)</f>
        <v>-8.2291080616414541E-13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430.11660085503223</v>
      </c>
      <c r="AO158" s="62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projet'!$B$11,Paramètres!$A$1:$I$89,3,0)*VLOOKUP('Données projet'!$B$11,Paramètres!$A$1:$I$89,5,0)</f>
        <v>1.4897523215040567E-13</v>
      </c>
      <c r="BF158" s="14">
        <f t="shared" si="167"/>
        <v>2.136562777003313E-12</v>
      </c>
      <c r="BG158" s="22">
        <f t="shared" si="168"/>
        <v>3.9806453659427267E-12</v>
      </c>
      <c r="BH158" s="62">
        <f t="shared" si="116"/>
        <v>293.33333333333729</v>
      </c>
      <c r="BI158" s="62">
        <f ca="1">AVERAGE(OFFSET($BH$3,0,0,'Données projet'!$E$11+1,1))-AVERAGE(OFFSET($H$3,0,0,'Données projet'!$E$11+1,1))</f>
        <v>346.7910845218741</v>
      </c>
      <c r="BJ158" s="62">
        <f t="shared" si="146"/>
        <v>469.89734899725369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-6.7984728957526396E-14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207.59954777160192</v>
      </c>
      <c r="CE158" s="62">
        <f t="shared" si="148"/>
        <v>314.81017053732063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0.30853911732088718</v>
      </c>
      <c r="CL158" s="23">
        <f>EXP(-LN(2)/25)*CL157+(1-EXP(-LN(2)/25))/(LN(2)/25)*Calculateur!CG158*Calculateur!CI158*VLOOKUP('Données projet'!$B$12,Paramètres!$A$1:$I$89,3,0)*0.475*44/12</f>
        <v>0.16723387550216387</v>
      </c>
      <c r="CM158" s="23">
        <f>EXP(-LN(2)/2)*CM157+(1-EXP(-LN(2)/2))/(LN(2)/2)*CG158*CJ158*VLOOKUP('Données projet'!$B$12,Paramètres!$A$1:$I$89,3,0)*0.475*44/12</f>
        <v>1.0558721941808978E-18</v>
      </c>
      <c r="CN158" s="24">
        <f t="shared" si="172"/>
        <v>0.47577299282305108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3.4106051316484809E-13</v>
      </c>
      <c r="CU158" s="18">
        <f>CT158*VLOOKUP('Données projet'!$B$13,Paramètres!$A$1:$I$89,3,0)*VLOOKUP('Données projet'!$B$13,Paramètres!$A$1:$I$89,5,0)</f>
        <v>2.5006556825246659E-13</v>
      </c>
      <c r="CV158" s="14">
        <f t="shared" si="173"/>
        <v>3.3765445850268018E-12</v>
      </c>
      <c r="CW158" s="22">
        <f t="shared" si="174"/>
        <v>6.3163460169613921E-12</v>
      </c>
      <c r="CX158" s="62">
        <f t="shared" si="122"/>
        <v>293.33333333333962</v>
      </c>
      <c r="CY158" s="62">
        <f ca="1">AVERAGE(OFFSET($CX$3,0,0,'Données projet'!$E$13+1,1))-AVERAGE(OFFSET($H$3,0,0,'Données projet'!$E$13+1,1))</f>
        <v>290.68086183422963</v>
      </c>
      <c r="CZ158" s="62">
        <f t="shared" si="150"/>
        <v>317.88330630101785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-9.2222762759774924E-13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476.8965664931755</v>
      </c>
      <c r="T159" s="62">
        <f t="shared" si="142"/>
        <v>254.25036207346591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-9.0949470177292824E-13</v>
      </c>
      <c r="AJ159" s="14">
        <f>AI159*VLOOKUP('Données projet'!$B$10,Paramètres!$A$1:$I$89,3,0)*VLOOKUP('Données projet'!$B$10,Paramètres!$A$1:$I$89,5,0)</f>
        <v>-8.2291080616414541E-13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430.11660085503223</v>
      </c>
      <c r="AO159" s="62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projet'!$B$11,Paramètres!$A$1:$I$89,3,0)*VLOOKUP('Données projet'!$B$11,Paramètres!$A$1:$I$89,5,0)</f>
        <v>1.4897523215040567E-13</v>
      </c>
      <c r="BF159" s="14">
        <f t="shared" si="167"/>
        <v>2.136562777003313E-12</v>
      </c>
      <c r="BG159" s="22">
        <f t="shared" si="168"/>
        <v>3.9806453659427267E-12</v>
      </c>
      <c r="BH159" s="62">
        <f t="shared" si="116"/>
        <v>293.33333333333729</v>
      </c>
      <c r="BI159" s="62">
        <f ca="1">AVERAGE(OFFSET($BH$3,0,0,'Données projet'!$E$11+1,1))-AVERAGE(OFFSET($H$3,0,0,'Données projet'!$E$11+1,1))</f>
        <v>346.7910845218741</v>
      </c>
      <c r="BJ159" s="62">
        <f t="shared" si="146"/>
        <v>469.89734899725369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-6.7984728957526396E-14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207.59954777160192</v>
      </c>
      <c r="CE159" s="62">
        <f t="shared" si="148"/>
        <v>314.81017053732063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0.30248885342050391</v>
      </c>
      <c r="CL159" s="23">
        <f>EXP(-LN(2)/25)*CL158+(1-EXP(-LN(2)/25))/(LN(2)/25)*Calculateur!CG159*Calculateur!CI159*VLOOKUP('Données projet'!$B$12,Paramètres!$A$1:$I$89,3,0)*0.475*44/12</f>
        <v>0.16266085638210989</v>
      </c>
      <c r="CM159" s="23">
        <f>EXP(-LN(2)/2)*CM158+(1-EXP(-LN(2)/2))/(LN(2)/2)*CG159*CJ159*VLOOKUP('Données projet'!$B$12,Paramètres!$A$1:$I$89,3,0)*0.475*44/12</f>
        <v>7.4661438857163191E-19</v>
      </c>
      <c r="CN159" s="24">
        <f t="shared" si="172"/>
        <v>0.46514970980261383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3.4106051316484809E-13</v>
      </c>
      <c r="CU159" s="18">
        <f>CT159*VLOOKUP('Données projet'!$B$13,Paramètres!$A$1:$I$89,3,0)*VLOOKUP('Données projet'!$B$13,Paramètres!$A$1:$I$89,5,0)</f>
        <v>2.5006556825246659E-13</v>
      </c>
      <c r="CV159" s="14">
        <f t="shared" si="173"/>
        <v>3.3765445850268018E-12</v>
      </c>
      <c r="CW159" s="22">
        <f t="shared" si="174"/>
        <v>6.3163460169613921E-12</v>
      </c>
      <c r="CX159" s="62">
        <f t="shared" si="122"/>
        <v>293.33333333333962</v>
      </c>
      <c r="CY159" s="62">
        <f ca="1">AVERAGE(OFFSET($CX$3,0,0,'Données projet'!$E$13+1,1))-AVERAGE(OFFSET($H$3,0,0,'Données projet'!$E$13+1,1))</f>
        <v>290.68086183422963</v>
      </c>
      <c r="CZ159" s="62">
        <f t="shared" si="150"/>
        <v>317.88330630101785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-9.2222762759774924E-13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476.8965664931755</v>
      </c>
      <c r="T160" s="62">
        <f t="shared" si="142"/>
        <v>254.25036207346591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-9.0949470177292824E-13</v>
      </c>
      <c r="AJ160" s="14">
        <f>AI160*VLOOKUP('Données projet'!$B$10,Paramètres!$A$1:$I$89,3,0)*VLOOKUP('Données projet'!$B$10,Paramètres!$A$1:$I$89,5,0)</f>
        <v>-8.2291080616414541E-13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430.11660085503223</v>
      </c>
      <c r="AO160" s="62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projet'!$B$11,Paramètres!$A$1:$I$89,3,0)*VLOOKUP('Données projet'!$B$11,Paramètres!$A$1:$I$89,5,0)</f>
        <v>1.4897523215040567E-13</v>
      </c>
      <c r="BF160" s="14">
        <f t="shared" si="167"/>
        <v>2.136562777003313E-12</v>
      </c>
      <c r="BG160" s="22">
        <f t="shared" si="168"/>
        <v>3.9806453659427267E-12</v>
      </c>
      <c r="BH160" s="62">
        <f t="shared" si="116"/>
        <v>293.33333333333729</v>
      </c>
      <c r="BI160" s="62">
        <f ca="1">AVERAGE(OFFSET($BH$3,0,0,'Données projet'!$E$11+1,1))-AVERAGE(OFFSET($H$3,0,0,'Données projet'!$E$11+1,1))</f>
        <v>346.7910845218741</v>
      </c>
      <c r="BJ160" s="62">
        <f t="shared" si="146"/>
        <v>469.89734899725369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-6.7984728957526396E-14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207.59954777160192</v>
      </c>
      <c r="CE160" s="62">
        <f t="shared" si="148"/>
        <v>314.81017053732063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0.29655723150491053</v>
      </c>
      <c r="CL160" s="23">
        <f>EXP(-LN(2)/25)*CL159+(1-EXP(-LN(2)/25))/(LN(2)/25)*Calculateur!CG160*Calculateur!CI160*VLOOKUP('Données projet'!$B$12,Paramètres!$A$1:$I$89,3,0)*0.475*44/12</f>
        <v>0.15821288671037842</v>
      </c>
      <c r="CM160" s="23">
        <f>EXP(-LN(2)/2)*CM159+(1-EXP(-LN(2)/2))/(LN(2)/2)*CG160*CJ160*VLOOKUP('Données projet'!$B$12,Paramètres!$A$1:$I$89,3,0)*0.475*44/12</f>
        <v>5.2793609709044889E-19</v>
      </c>
      <c r="CN160" s="24">
        <f t="shared" si="172"/>
        <v>0.45477011821528895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3.4106051316484809E-13</v>
      </c>
      <c r="CU160" s="18">
        <f>CT160*VLOOKUP('Données projet'!$B$13,Paramètres!$A$1:$I$89,3,0)*VLOOKUP('Données projet'!$B$13,Paramètres!$A$1:$I$89,5,0)</f>
        <v>2.5006556825246659E-13</v>
      </c>
      <c r="CV160" s="14">
        <f t="shared" si="173"/>
        <v>3.3765445850268018E-12</v>
      </c>
      <c r="CW160" s="22">
        <f t="shared" si="174"/>
        <v>6.3163460169613921E-12</v>
      </c>
      <c r="CX160" s="62">
        <f t="shared" si="122"/>
        <v>293.33333333333962</v>
      </c>
      <c r="CY160" s="62">
        <f ca="1">AVERAGE(OFFSET($CX$3,0,0,'Données projet'!$E$13+1,1))-AVERAGE(OFFSET($H$3,0,0,'Données projet'!$E$13+1,1))</f>
        <v>290.68086183422963</v>
      </c>
      <c r="CZ160" s="62">
        <f t="shared" si="150"/>
        <v>317.88330630101785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-9.2222762759774924E-13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476.8965664931755</v>
      </c>
      <c r="T161" s="62">
        <f t="shared" si="142"/>
        <v>254.25036207346591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-9.0949470177292824E-13</v>
      </c>
      <c r="AJ161" s="14">
        <f>AI161*VLOOKUP('Données projet'!$B$10,Paramètres!$A$1:$I$89,3,0)*VLOOKUP('Données projet'!$B$10,Paramètres!$A$1:$I$89,5,0)</f>
        <v>-8.2291080616414541E-13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430.11660085503223</v>
      </c>
      <c r="AO161" s="62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projet'!$B$11,Paramètres!$A$1:$I$89,3,0)*VLOOKUP('Données projet'!$B$11,Paramètres!$A$1:$I$89,5,0)</f>
        <v>1.4897523215040567E-13</v>
      </c>
      <c r="BF161" s="14">
        <f t="shared" si="167"/>
        <v>2.136562777003313E-12</v>
      </c>
      <c r="BG161" s="22">
        <f t="shared" si="168"/>
        <v>3.9806453659427267E-12</v>
      </c>
      <c r="BH161" s="62">
        <f t="shared" si="116"/>
        <v>293.33333333333729</v>
      </c>
      <c r="BI161" s="62">
        <f ca="1">AVERAGE(OFFSET($BH$3,0,0,'Données projet'!$E$11+1,1))-AVERAGE(OFFSET($H$3,0,0,'Données projet'!$E$11+1,1))</f>
        <v>346.7910845218741</v>
      </c>
      <c r="BJ161" s="62">
        <f t="shared" si="146"/>
        <v>469.89734899725369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-6.7984728957526396E-14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207.59954777160192</v>
      </c>
      <c r="CE161" s="62">
        <f t="shared" si="148"/>
        <v>314.81017053732063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0.29074192507714985</v>
      </c>
      <c r="CL161" s="23">
        <f>EXP(-LN(2)/25)*CL160+(1-EXP(-LN(2)/25))/(LN(2)/25)*Calculateur!CG161*Calculateur!CI161*VLOOKUP('Données projet'!$B$12,Paramètres!$A$1:$I$89,3,0)*0.475*44/12</f>
        <v>0.15388654700322901</v>
      </c>
      <c r="CM161" s="23">
        <f>EXP(-LN(2)/2)*CM160+(1-EXP(-LN(2)/2))/(LN(2)/2)*CG161*CJ161*VLOOKUP('Données projet'!$B$12,Paramètres!$A$1:$I$89,3,0)*0.475*44/12</f>
        <v>3.7330719428581596E-19</v>
      </c>
      <c r="CN161" s="24">
        <f t="shared" si="172"/>
        <v>0.44462847208037887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3.4106051316484809E-13</v>
      </c>
      <c r="CU161" s="18">
        <f>CT161*VLOOKUP('Données projet'!$B$13,Paramètres!$A$1:$I$89,3,0)*VLOOKUP('Données projet'!$B$13,Paramètres!$A$1:$I$89,5,0)</f>
        <v>2.5006556825246659E-13</v>
      </c>
      <c r="CV161" s="14">
        <f t="shared" si="173"/>
        <v>3.3765445850268018E-12</v>
      </c>
      <c r="CW161" s="22">
        <f t="shared" si="174"/>
        <v>6.3163460169613921E-12</v>
      </c>
      <c r="CX161" s="62">
        <f t="shared" si="122"/>
        <v>293.33333333333962</v>
      </c>
      <c r="CY161" s="62">
        <f ca="1">AVERAGE(OFFSET($CX$3,0,0,'Données projet'!$E$13+1,1))-AVERAGE(OFFSET($H$3,0,0,'Données projet'!$E$13+1,1))</f>
        <v>290.68086183422963</v>
      </c>
      <c r="CZ161" s="62">
        <f t="shared" si="150"/>
        <v>317.88330630101785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-9.2222762759774924E-13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476.8965664931755</v>
      </c>
      <c r="T162" s="62">
        <f t="shared" si="142"/>
        <v>254.25036207346591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-9.0949470177292824E-13</v>
      </c>
      <c r="AJ162" s="14">
        <f>AI162*VLOOKUP('Données projet'!$B$10,Paramètres!$A$1:$I$89,3,0)*VLOOKUP('Données projet'!$B$10,Paramètres!$A$1:$I$89,5,0)</f>
        <v>-8.2291080616414541E-13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430.11660085503223</v>
      </c>
      <c r="AO162" s="62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projet'!$B$11,Paramètres!$A$1:$I$89,3,0)*VLOOKUP('Données projet'!$B$11,Paramètres!$A$1:$I$89,5,0)</f>
        <v>1.4897523215040567E-13</v>
      </c>
      <c r="BF162" s="14">
        <f t="shared" si="167"/>
        <v>2.136562777003313E-12</v>
      </c>
      <c r="BG162" s="22">
        <f t="shared" si="168"/>
        <v>3.9806453659427267E-12</v>
      </c>
      <c r="BH162" s="62">
        <f t="shared" si="116"/>
        <v>293.33333333333729</v>
      </c>
      <c r="BI162" s="62">
        <f ca="1">AVERAGE(OFFSET($BH$3,0,0,'Données projet'!$E$11+1,1))-AVERAGE(OFFSET($H$3,0,0,'Données projet'!$E$11+1,1))</f>
        <v>346.7910845218741</v>
      </c>
      <c r="BJ162" s="62">
        <f t="shared" si="146"/>
        <v>469.89734899725369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-6.7984728957526396E-14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207.59954777160192</v>
      </c>
      <c r="CE162" s="62">
        <f t="shared" si="148"/>
        <v>314.81017053732063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0.28504065326145084</v>
      </c>
      <c r="CL162" s="23">
        <f>EXP(-LN(2)/25)*CL161+(1-EXP(-LN(2)/25))/(LN(2)/25)*Calculateur!CG162*Calculateur!CI162*VLOOKUP('Données projet'!$B$12,Paramètres!$A$1:$I$89,3,0)*0.475*44/12</f>
        <v>0.14967851128288392</v>
      </c>
      <c r="CM162" s="23">
        <f>EXP(-LN(2)/2)*CM161+(1-EXP(-LN(2)/2))/(LN(2)/2)*CG162*CJ162*VLOOKUP('Données projet'!$B$12,Paramètres!$A$1:$I$89,3,0)*0.475*44/12</f>
        <v>2.6396804854522444E-19</v>
      </c>
      <c r="CN162" s="24">
        <f t="shared" si="172"/>
        <v>0.43471916454433479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3.4106051316484809E-13</v>
      </c>
      <c r="CU162" s="18">
        <f>CT162*VLOOKUP('Données projet'!$B$13,Paramètres!$A$1:$I$89,3,0)*VLOOKUP('Données projet'!$B$13,Paramètres!$A$1:$I$89,5,0)</f>
        <v>2.5006556825246659E-13</v>
      </c>
      <c r="CV162" s="14">
        <f t="shared" si="173"/>
        <v>3.3765445850268018E-12</v>
      </c>
      <c r="CW162" s="22">
        <f t="shared" si="174"/>
        <v>6.3163460169613921E-12</v>
      </c>
      <c r="CX162" s="62">
        <f t="shared" si="122"/>
        <v>293.33333333333962</v>
      </c>
      <c r="CY162" s="62">
        <f ca="1">AVERAGE(OFFSET($CX$3,0,0,'Données projet'!$E$13+1,1))-AVERAGE(OFFSET($H$3,0,0,'Données projet'!$E$13+1,1))</f>
        <v>290.68086183422963</v>
      </c>
      <c r="CZ162" s="62">
        <f t="shared" si="150"/>
        <v>317.88330630101785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-9.2222762759774924E-13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476.8965664931755</v>
      </c>
      <c r="T163" s="62">
        <f t="shared" si="142"/>
        <v>254.25036207346591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-9.0949470177292824E-13</v>
      </c>
      <c r="AJ163" s="14">
        <f>AI163*VLOOKUP('Données projet'!$B$10,Paramètres!$A$1:$I$89,3,0)*VLOOKUP('Données projet'!$B$10,Paramètres!$A$1:$I$89,5,0)</f>
        <v>-8.2291080616414541E-13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430.11660085503223</v>
      </c>
      <c r="AO163" s="62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projet'!$B$11,Paramètres!$A$1:$I$89,3,0)*VLOOKUP('Données projet'!$B$11,Paramètres!$A$1:$I$89,5,0)</f>
        <v>1.4897523215040567E-13</v>
      </c>
      <c r="BF163" s="14">
        <f t="shared" si="167"/>
        <v>2.136562777003313E-12</v>
      </c>
      <c r="BG163" s="22">
        <f t="shared" si="168"/>
        <v>3.9806453659427267E-12</v>
      </c>
      <c r="BH163" s="62">
        <f t="shared" si="116"/>
        <v>293.33333333333729</v>
      </c>
      <c r="BI163" s="62">
        <f ca="1">AVERAGE(OFFSET($BH$3,0,0,'Données projet'!$E$11+1,1))-AVERAGE(OFFSET($H$3,0,0,'Données projet'!$E$11+1,1))</f>
        <v>346.7910845218741</v>
      </c>
      <c r="BJ163" s="62">
        <f t="shared" si="146"/>
        <v>469.89734899725369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-6.7984728957526396E-14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207.59954777160192</v>
      </c>
      <c r="CE163" s="62">
        <f t="shared" si="148"/>
        <v>314.81017053732063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0.27945117990862528</v>
      </c>
      <c r="CL163" s="23">
        <f>EXP(-LN(2)/25)*CL162+(1-EXP(-LN(2)/25))/(LN(2)/25)*Calculateur!CG163*Calculateur!CI163*VLOOKUP('Données projet'!$B$12,Paramètres!$A$1:$I$89,3,0)*0.475*44/12</f>
        <v>0.14558554452060266</v>
      </c>
      <c r="CM163" s="23">
        <f>EXP(-LN(2)/2)*CM162+(1-EXP(-LN(2)/2))/(LN(2)/2)*CG163*CJ163*VLOOKUP('Données projet'!$B$12,Paramètres!$A$1:$I$89,3,0)*0.475*44/12</f>
        <v>1.8665359714290798E-19</v>
      </c>
      <c r="CN163" s="24">
        <f t="shared" si="172"/>
        <v>0.42503672442922791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3.4106051316484809E-13</v>
      </c>
      <c r="CU163" s="18">
        <f>CT163*VLOOKUP('Données projet'!$B$13,Paramètres!$A$1:$I$89,3,0)*VLOOKUP('Données projet'!$B$13,Paramètres!$A$1:$I$89,5,0)</f>
        <v>2.5006556825246659E-13</v>
      </c>
      <c r="CV163" s="14">
        <f t="shared" si="173"/>
        <v>3.3765445850268018E-12</v>
      </c>
      <c r="CW163" s="22">
        <f t="shared" si="174"/>
        <v>6.3163460169613921E-12</v>
      </c>
      <c r="CX163" s="62">
        <f t="shared" si="122"/>
        <v>293.33333333333962</v>
      </c>
      <c r="CY163" s="62">
        <f ca="1">AVERAGE(OFFSET($CX$3,0,0,'Données projet'!$E$13+1,1))-AVERAGE(OFFSET($H$3,0,0,'Données projet'!$E$13+1,1))</f>
        <v>290.68086183422963</v>
      </c>
      <c r="CZ163" s="62">
        <f t="shared" si="150"/>
        <v>317.88330630101785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-9.2222762759774924E-13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476.8965664931755</v>
      </c>
      <c r="T164" s="62">
        <f t="shared" si="142"/>
        <v>254.25036207346591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-9.0949470177292824E-13</v>
      </c>
      <c r="AJ164" s="14">
        <f>AI164*VLOOKUP('Données projet'!$B$10,Paramètres!$A$1:$I$89,3,0)*VLOOKUP('Données projet'!$B$10,Paramètres!$A$1:$I$89,5,0)</f>
        <v>-8.2291080616414541E-13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430.11660085503223</v>
      </c>
      <c r="AO164" s="62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projet'!$B$11,Paramètres!$A$1:$I$89,3,0)*VLOOKUP('Données projet'!$B$11,Paramètres!$A$1:$I$89,5,0)</f>
        <v>1.4897523215040567E-13</v>
      </c>
      <c r="BF164" s="14">
        <f t="shared" si="167"/>
        <v>2.136562777003313E-12</v>
      </c>
      <c r="BG164" s="22">
        <f t="shared" si="168"/>
        <v>3.9806453659427267E-12</v>
      </c>
      <c r="BH164" s="62">
        <f t="shared" si="116"/>
        <v>293.33333333333729</v>
      </c>
      <c r="BI164" s="62">
        <f ca="1">AVERAGE(OFFSET($BH$3,0,0,'Données projet'!$E$11+1,1))-AVERAGE(OFFSET($H$3,0,0,'Données projet'!$E$11+1,1))</f>
        <v>346.7910845218741</v>
      </c>
      <c r="BJ164" s="62">
        <f t="shared" si="146"/>
        <v>469.89734899725369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-6.7984728957526396E-14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207.59954777160192</v>
      </c>
      <c r="CE164" s="62">
        <f t="shared" si="148"/>
        <v>314.81017053732063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0.27397131271900649</v>
      </c>
      <c r="CL164" s="23">
        <f>EXP(-LN(2)/25)*CL163+(1-EXP(-LN(2)/25))/(LN(2)/25)*Calculateur!CG164*Calculateur!CI164*VLOOKUP('Données projet'!$B$12,Paramètres!$A$1:$I$89,3,0)*0.475*44/12</f>
        <v>0.14160450014967574</v>
      </c>
      <c r="CM164" s="23">
        <f>EXP(-LN(2)/2)*CM163+(1-EXP(-LN(2)/2))/(LN(2)/2)*CG164*CJ164*VLOOKUP('Données projet'!$B$12,Paramètres!$A$1:$I$89,3,0)*0.475*44/12</f>
        <v>1.3198402427261222E-19</v>
      </c>
      <c r="CN164" s="24">
        <f t="shared" si="172"/>
        <v>0.41557581286868223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3.4106051316484809E-13</v>
      </c>
      <c r="CU164" s="18">
        <f>CT164*VLOOKUP('Données projet'!$B$13,Paramètres!$A$1:$I$89,3,0)*VLOOKUP('Données projet'!$B$13,Paramètres!$A$1:$I$89,5,0)</f>
        <v>2.5006556825246659E-13</v>
      </c>
      <c r="CV164" s="14">
        <f t="shared" si="173"/>
        <v>3.3765445850268018E-12</v>
      </c>
      <c r="CW164" s="22">
        <f t="shared" si="174"/>
        <v>6.3163460169613921E-12</v>
      </c>
      <c r="CX164" s="62">
        <f t="shared" si="122"/>
        <v>293.33333333333962</v>
      </c>
      <c r="CY164" s="62">
        <f ca="1">AVERAGE(OFFSET($CX$3,0,0,'Données projet'!$E$13+1,1))-AVERAGE(OFFSET($H$3,0,0,'Données projet'!$E$13+1,1))</f>
        <v>290.68086183422963</v>
      </c>
      <c r="CZ164" s="62">
        <f t="shared" si="150"/>
        <v>317.88330630101785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-9.2222762759774924E-13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476.8965664931755</v>
      </c>
      <c r="T165" s="62">
        <f t="shared" si="142"/>
        <v>254.25036207346591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-9.0949470177292824E-13</v>
      </c>
      <c r="AJ165" s="14">
        <f>AI165*VLOOKUP('Données projet'!$B$10,Paramètres!$A$1:$I$89,3,0)*VLOOKUP('Données projet'!$B$10,Paramètres!$A$1:$I$89,5,0)</f>
        <v>-8.2291080616414541E-13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430.11660085503223</v>
      </c>
      <c r="AO165" s="62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projet'!$B$11,Paramètres!$A$1:$I$89,3,0)*VLOOKUP('Données projet'!$B$11,Paramètres!$A$1:$I$89,5,0)</f>
        <v>1.4897523215040567E-13</v>
      </c>
      <c r="BF165" s="14">
        <f t="shared" si="167"/>
        <v>2.136562777003313E-12</v>
      </c>
      <c r="BG165" s="22">
        <f t="shared" si="168"/>
        <v>3.9806453659427267E-12</v>
      </c>
      <c r="BH165" s="62">
        <f t="shared" si="116"/>
        <v>293.33333333333729</v>
      </c>
      <c r="BI165" s="62">
        <f ca="1">AVERAGE(OFFSET($BH$3,0,0,'Données projet'!$E$11+1,1))-AVERAGE(OFFSET($H$3,0,0,'Données projet'!$E$11+1,1))</f>
        <v>346.7910845218741</v>
      </c>
      <c r="BJ165" s="62">
        <f t="shared" si="146"/>
        <v>469.89734899725369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-6.7984728957526396E-14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207.59954777160192</v>
      </c>
      <c r="CE165" s="62">
        <f t="shared" si="148"/>
        <v>314.81017053732063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0.26859890238258716</v>
      </c>
      <c r="CL165" s="23">
        <f>EXP(-LN(2)/25)*CL164+(1-EXP(-LN(2)/25))/(LN(2)/25)*Calculateur!CG165*Calculateur!CI165*VLOOKUP('Données projet'!$B$12,Paramètres!$A$1:$I$89,3,0)*0.475*44/12</f>
        <v>0.13773231764642582</v>
      </c>
      <c r="CM165" s="23">
        <f>EXP(-LN(2)/2)*CM164+(1-EXP(-LN(2)/2))/(LN(2)/2)*CG165*CJ165*VLOOKUP('Données projet'!$B$12,Paramètres!$A$1:$I$89,3,0)*0.475*44/12</f>
        <v>9.3326798571453989E-20</v>
      </c>
      <c r="CN165" s="24">
        <f t="shared" si="172"/>
        <v>0.40633122002901301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3.4106051316484809E-13</v>
      </c>
      <c r="CU165" s="18">
        <f>CT165*VLOOKUP('Données projet'!$B$13,Paramètres!$A$1:$I$89,3,0)*VLOOKUP('Données projet'!$B$13,Paramètres!$A$1:$I$89,5,0)</f>
        <v>2.5006556825246659E-13</v>
      </c>
      <c r="CV165" s="14">
        <f t="shared" si="173"/>
        <v>3.3765445850268018E-12</v>
      </c>
      <c r="CW165" s="22">
        <f t="shared" si="174"/>
        <v>6.3163460169613921E-12</v>
      </c>
      <c r="CX165" s="62">
        <f t="shared" si="122"/>
        <v>293.33333333333962</v>
      </c>
      <c r="CY165" s="62">
        <f ca="1">AVERAGE(OFFSET($CX$3,0,0,'Données projet'!$E$13+1,1))-AVERAGE(OFFSET($H$3,0,0,'Données projet'!$E$13+1,1))</f>
        <v>290.68086183422963</v>
      </c>
      <c r="CZ165" s="62">
        <f t="shared" si="150"/>
        <v>317.88330630101785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-9.2222762759774924E-13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476.8965664931755</v>
      </c>
      <c r="T166" s="62">
        <f t="shared" si="142"/>
        <v>254.25036207346591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-9.0949470177292824E-13</v>
      </c>
      <c r="AJ166" s="14">
        <f>AI166*VLOOKUP('Données projet'!$B$10,Paramètres!$A$1:$I$89,3,0)*VLOOKUP('Données projet'!$B$10,Paramètres!$A$1:$I$89,5,0)</f>
        <v>-8.2291080616414541E-13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430.11660085503223</v>
      </c>
      <c r="AO166" s="62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projet'!$B$11,Paramètres!$A$1:$I$89,3,0)*VLOOKUP('Données projet'!$B$11,Paramètres!$A$1:$I$89,5,0)</f>
        <v>1.4897523215040567E-13</v>
      </c>
      <c r="BF166" s="14">
        <f t="shared" si="167"/>
        <v>2.136562777003313E-12</v>
      </c>
      <c r="BG166" s="22">
        <f t="shared" si="168"/>
        <v>3.9806453659427267E-12</v>
      </c>
      <c r="BH166" s="62">
        <f t="shared" si="116"/>
        <v>293.33333333333729</v>
      </c>
      <c r="BI166" s="62">
        <f ca="1">AVERAGE(OFFSET($BH$3,0,0,'Données projet'!$E$11+1,1))-AVERAGE(OFFSET($H$3,0,0,'Données projet'!$E$11+1,1))</f>
        <v>346.7910845218741</v>
      </c>
      <c r="BJ166" s="62">
        <f t="shared" si="146"/>
        <v>469.89734899725369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-6.7984728957526396E-14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207.59954777160192</v>
      </c>
      <c r="CE166" s="62">
        <f t="shared" si="148"/>
        <v>314.81017053732063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0.26333184173601831</v>
      </c>
      <c r="CL166" s="23">
        <f>EXP(-LN(2)/25)*CL165+(1-EXP(-LN(2)/25))/(LN(2)/25)*Calculateur!CG166*Calculateur!CI166*VLOOKUP('Données projet'!$B$12,Paramètres!$A$1:$I$89,3,0)*0.475*44/12</f>
        <v>0.13396602017735651</v>
      </c>
      <c r="CM166" s="23">
        <f>EXP(-LN(2)/2)*CM165+(1-EXP(-LN(2)/2))/(LN(2)/2)*CG166*CJ166*VLOOKUP('Données projet'!$B$12,Paramètres!$A$1:$I$89,3,0)*0.475*44/12</f>
        <v>6.5992012136306111E-20</v>
      </c>
      <c r="CN166" s="24">
        <f t="shared" si="172"/>
        <v>0.39729786191337479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3.4106051316484809E-13</v>
      </c>
      <c r="CU166" s="18">
        <f>CT166*VLOOKUP('Données projet'!$B$13,Paramètres!$A$1:$I$89,3,0)*VLOOKUP('Données projet'!$B$13,Paramètres!$A$1:$I$89,5,0)</f>
        <v>2.5006556825246659E-13</v>
      </c>
      <c r="CV166" s="14">
        <f t="shared" si="173"/>
        <v>3.3765445850268018E-12</v>
      </c>
      <c r="CW166" s="22">
        <f t="shared" si="174"/>
        <v>6.3163460169613921E-12</v>
      </c>
      <c r="CX166" s="62">
        <f t="shared" si="122"/>
        <v>293.33333333333962</v>
      </c>
      <c r="CY166" s="62">
        <f ca="1">AVERAGE(OFFSET($CX$3,0,0,'Données projet'!$E$13+1,1))-AVERAGE(OFFSET($H$3,0,0,'Données projet'!$E$13+1,1))</f>
        <v>290.68086183422963</v>
      </c>
      <c r="CZ166" s="62">
        <f t="shared" si="150"/>
        <v>317.88330630101785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-9.2222762759774924E-13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476.8965664931755</v>
      </c>
      <c r="T167" s="62">
        <f t="shared" si="142"/>
        <v>254.25036207346591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-9.0949470177292824E-13</v>
      </c>
      <c r="AJ167" s="14">
        <f>AI167*VLOOKUP('Données projet'!$B$10,Paramètres!$A$1:$I$89,3,0)*VLOOKUP('Données projet'!$B$10,Paramètres!$A$1:$I$89,5,0)</f>
        <v>-8.2291080616414541E-13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430.11660085503223</v>
      </c>
      <c r="AO167" s="62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projet'!$B$11,Paramètres!$A$1:$I$89,3,0)*VLOOKUP('Données projet'!$B$11,Paramètres!$A$1:$I$89,5,0)</f>
        <v>1.4897523215040567E-13</v>
      </c>
      <c r="BF167" s="14">
        <f t="shared" si="167"/>
        <v>2.136562777003313E-12</v>
      </c>
      <c r="BG167" s="22">
        <f t="shared" si="168"/>
        <v>3.9806453659427267E-12</v>
      </c>
      <c r="BH167" s="62">
        <f t="shared" si="116"/>
        <v>293.33333333333729</v>
      </c>
      <c r="BI167" s="62">
        <f ca="1">AVERAGE(OFFSET($BH$3,0,0,'Données projet'!$E$11+1,1))-AVERAGE(OFFSET($H$3,0,0,'Données projet'!$E$11+1,1))</f>
        <v>346.7910845218741</v>
      </c>
      <c r="BJ167" s="62">
        <f t="shared" si="146"/>
        <v>469.89734899725369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-6.7984728957526396E-14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207.59954777160192</v>
      </c>
      <c r="CE167" s="62">
        <f t="shared" si="148"/>
        <v>314.81017053732063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0.25816806493613886</v>
      </c>
      <c r="CL167" s="23">
        <f>EXP(-LN(2)/25)*CL166+(1-EXP(-LN(2)/25))/(LN(2)/25)*Calculateur!CG167*Calculateur!CI167*VLOOKUP('Données projet'!$B$12,Paramètres!$A$1:$I$89,3,0)*0.475*44/12</f>
        <v>0.13030271231063989</v>
      </c>
      <c r="CM167" s="23">
        <f>EXP(-LN(2)/2)*CM166+(1-EXP(-LN(2)/2))/(LN(2)/2)*CG167*CJ167*VLOOKUP('Données projet'!$B$12,Paramètres!$A$1:$I$89,3,0)*0.475*44/12</f>
        <v>4.6663399285726995E-20</v>
      </c>
      <c r="CN167" s="24">
        <f t="shared" si="172"/>
        <v>0.38847077724677875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3.4106051316484809E-13</v>
      </c>
      <c r="CU167" s="18">
        <f>CT167*VLOOKUP('Données projet'!$B$13,Paramètres!$A$1:$I$89,3,0)*VLOOKUP('Données projet'!$B$13,Paramètres!$A$1:$I$89,5,0)</f>
        <v>2.5006556825246659E-13</v>
      </c>
      <c r="CV167" s="14">
        <f t="shared" si="173"/>
        <v>3.3765445850268018E-12</v>
      </c>
      <c r="CW167" s="22">
        <f t="shared" si="174"/>
        <v>6.3163460169613921E-12</v>
      </c>
      <c r="CX167" s="62">
        <f t="shared" si="122"/>
        <v>293.33333333333962</v>
      </c>
      <c r="CY167" s="62">
        <f ca="1">AVERAGE(OFFSET($CX$3,0,0,'Données projet'!$E$13+1,1))-AVERAGE(OFFSET($H$3,0,0,'Données projet'!$E$13+1,1))</f>
        <v>290.68086183422963</v>
      </c>
      <c r="CZ167" s="62">
        <f t="shared" si="150"/>
        <v>317.88330630101785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-9.2222762759774924E-13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476.8965664931755</v>
      </c>
      <c r="T168" s="62">
        <f t="shared" si="142"/>
        <v>254.25036207346591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-9.0949470177292824E-13</v>
      </c>
      <c r="AJ168" s="14">
        <f>AI168*VLOOKUP('Données projet'!$B$10,Paramètres!$A$1:$I$89,3,0)*VLOOKUP('Données projet'!$B$10,Paramètres!$A$1:$I$89,5,0)</f>
        <v>-8.2291080616414541E-13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430.11660085503223</v>
      </c>
      <c r="AO168" s="62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projet'!$B$11,Paramètres!$A$1:$I$89,3,0)*VLOOKUP('Données projet'!$B$11,Paramètres!$A$1:$I$89,5,0)</f>
        <v>1.4897523215040567E-13</v>
      </c>
      <c r="BF168" s="14">
        <f t="shared" si="167"/>
        <v>2.136562777003313E-12</v>
      </c>
      <c r="BG168" s="22">
        <f t="shared" si="168"/>
        <v>3.9806453659427267E-12</v>
      </c>
      <c r="BH168" s="62">
        <f t="shared" si="116"/>
        <v>293.33333333333729</v>
      </c>
      <c r="BI168" s="62">
        <f ca="1">AVERAGE(OFFSET($BH$3,0,0,'Données projet'!$E$11+1,1))-AVERAGE(OFFSET($H$3,0,0,'Données projet'!$E$11+1,1))</f>
        <v>346.7910845218741</v>
      </c>
      <c r="BJ168" s="62">
        <f t="shared" si="146"/>
        <v>469.89734899725369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-6.7984728957526396E-14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207.59954777160192</v>
      </c>
      <c r="CE168" s="62">
        <f t="shared" si="148"/>
        <v>314.81017053732063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0.25310554664971224</v>
      </c>
      <c r="CL168" s="23">
        <f>EXP(-LN(2)/25)*CL167+(1-EXP(-LN(2)/25))/(LN(2)/25)*Calculateur!CG168*Calculateur!CI168*VLOOKUP('Données projet'!$B$12,Paramètres!$A$1:$I$89,3,0)*0.475*44/12</f>
        <v>0.12673957779018361</v>
      </c>
      <c r="CM168" s="23">
        <f>EXP(-LN(2)/2)*CM167+(1-EXP(-LN(2)/2))/(LN(2)/2)*CG168*CJ168*VLOOKUP('Données projet'!$B$12,Paramètres!$A$1:$I$89,3,0)*0.475*44/12</f>
        <v>3.2996006068153055E-20</v>
      </c>
      <c r="CN168" s="24">
        <f t="shared" si="172"/>
        <v>0.37984512443989582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3.4106051316484809E-13</v>
      </c>
      <c r="CU168" s="18">
        <f>CT168*VLOOKUP('Données projet'!$B$13,Paramètres!$A$1:$I$89,3,0)*VLOOKUP('Données projet'!$B$13,Paramètres!$A$1:$I$89,5,0)</f>
        <v>2.5006556825246659E-13</v>
      </c>
      <c r="CV168" s="14">
        <f t="shared" si="173"/>
        <v>3.3765445850268018E-12</v>
      </c>
      <c r="CW168" s="22">
        <f t="shared" si="174"/>
        <v>6.3163460169613921E-12</v>
      </c>
      <c r="CX168" s="62">
        <f t="shared" si="122"/>
        <v>293.33333333333962</v>
      </c>
      <c r="CY168" s="62">
        <f ca="1">AVERAGE(OFFSET($CX$3,0,0,'Données projet'!$E$13+1,1))-AVERAGE(OFFSET($H$3,0,0,'Données projet'!$E$13+1,1))</f>
        <v>290.68086183422963</v>
      </c>
      <c r="CZ168" s="62">
        <f t="shared" si="150"/>
        <v>317.88330630101785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-9.2222762759774924E-13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476.8965664931755</v>
      </c>
      <c r="T169" s="62">
        <f t="shared" si="142"/>
        <v>254.25036207346591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-9.0949470177292824E-13</v>
      </c>
      <c r="AJ169" s="14">
        <f>AI169*VLOOKUP('Données projet'!$B$10,Paramètres!$A$1:$I$89,3,0)*VLOOKUP('Données projet'!$B$10,Paramètres!$A$1:$I$89,5,0)</f>
        <v>-8.2291080616414541E-13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430.11660085503223</v>
      </c>
      <c r="AO169" s="62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projet'!$B$11,Paramètres!$A$1:$I$89,3,0)*VLOOKUP('Données projet'!$B$11,Paramètres!$A$1:$I$89,5,0)</f>
        <v>1.4897523215040567E-13</v>
      </c>
      <c r="BF169" s="14">
        <f t="shared" si="167"/>
        <v>2.136562777003313E-12</v>
      </c>
      <c r="BG169" s="22">
        <f t="shared" si="168"/>
        <v>3.9806453659427267E-12</v>
      </c>
      <c r="BH169" s="62">
        <f t="shared" si="116"/>
        <v>293.33333333333729</v>
      </c>
      <c r="BI169" s="62">
        <f ca="1">AVERAGE(OFFSET($BH$3,0,0,'Données projet'!$E$11+1,1))-AVERAGE(OFFSET($H$3,0,0,'Données projet'!$E$11+1,1))</f>
        <v>346.7910845218741</v>
      </c>
      <c r="BJ169" s="62">
        <f t="shared" si="146"/>
        <v>469.89734899725369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-6.7984728957526396E-14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207.59954777160192</v>
      </c>
      <c r="CE169" s="62">
        <f t="shared" si="148"/>
        <v>314.81017053732063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0.24814230125905118</v>
      </c>
      <c r="CL169" s="23">
        <f>EXP(-LN(2)/25)*CL168+(1-EXP(-LN(2)/25))/(LN(2)/25)*Calculateur!CG169*Calculateur!CI169*VLOOKUP('Données projet'!$B$12,Paramètres!$A$1:$I$89,3,0)*0.475*44/12</f>
        <v>0.1232738773705663</v>
      </c>
      <c r="CM169" s="23">
        <f>EXP(-LN(2)/2)*CM168+(1-EXP(-LN(2)/2))/(LN(2)/2)*CG169*CJ169*VLOOKUP('Données projet'!$B$12,Paramètres!$A$1:$I$89,3,0)*0.475*44/12</f>
        <v>2.3331699642863497E-20</v>
      </c>
      <c r="CN169" s="24">
        <f t="shared" si="172"/>
        <v>0.37141617862961751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3.4106051316484809E-13</v>
      </c>
      <c r="CU169" s="18">
        <f>CT169*VLOOKUP('Données projet'!$B$13,Paramètres!$A$1:$I$89,3,0)*VLOOKUP('Données projet'!$B$13,Paramètres!$A$1:$I$89,5,0)</f>
        <v>2.5006556825246659E-13</v>
      </c>
      <c r="CV169" s="14">
        <f t="shared" si="173"/>
        <v>3.3765445850268018E-12</v>
      </c>
      <c r="CW169" s="22">
        <f t="shared" si="174"/>
        <v>6.3163460169613921E-12</v>
      </c>
      <c r="CX169" s="62">
        <f t="shared" si="122"/>
        <v>293.33333333333962</v>
      </c>
      <c r="CY169" s="62">
        <f ca="1">AVERAGE(OFFSET($CX$3,0,0,'Données projet'!$E$13+1,1))-AVERAGE(OFFSET($H$3,0,0,'Données projet'!$E$13+1,1))</f>
        <v>290.68086183422963</v>
      </c>
      <c r="CZ169" s="62">
        <f t="shared" si="150"/>
        <v>317.88330630101785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-9.2222762759774924E-13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476.8965664931755</v>
      </c>
      <c r="T170" s="62">
        <f t="shared" si="142"/>
        <v>254.25036207346591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-9.0949470177292824E-13</v>
      </c>
      <c r="AJ170" s="14">
        <f>AI170*VLOOKUP('Données projet'!$B$10,Paramètres!$A$1:$I$89,3,0)*VLOOKUP('Données projet'!$B$10,Paramètres!$A$1:$I$89,5,0)</f>
        <v>-8.2291080616414541E-13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430.11660085503223</v>
      </c>
      <c r="AO170" s="62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projet'!$B$11,Paramètres!$A$1:$I$89,3,0)*VLOOKUP('Données projet'!$B$11,Paramètres!$A$1:$I$89,5,0)</f>
        <v>1.4897523215040567E-13</v>
      </c>
      <c r="BF170" s="14">
        <f t="shared" si="167"/>
        <v>2.136562777003313E-12</v>
      </c>
      <c r="BG170" s="22">
        <f t="shared" si="168"/>
        <v>3.9806453659427267E-12</v>
      </c>
      <c r="BH170" s="62">
        <f t="shared" si="116"/>
        <v>293.33333333333729</v>
      </c>
      <c r="BI170" s="62">
        <f ca="1">AVERAGE(OFFSET($BH$3,0,0,'Données projet'!$E$11+1,1))-AVERAGE(OFFSET($H$3,0,0,'Données projet'!$E$11+1,1))</f>
        <v>346.7910845218741</v>
      </c>
      <c r="BJ170" s="62">
        <f t="shared" si="146"/>
        <v>469.89734899725369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-6.7984728957526396E-14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207.59954777160192</v>
      </c>
      <c r="CE170" s="62">
        <f t="shared" si="148"/>
        <v>314.81017053732063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0.24327638208322019</v>
      </c>
      <c r="CL170" s="23">
        <f>EXP(-LN(2)/25)*CL169+(1-EXP(-LN(2)/25))/(LN(2)/25)*Calculateur!CG170*Calculateur!CI170*VLOOKUP('Données projet'!$B$12,Paramètres!$A$1:$I$89,3,0)*0.475*44/12</f>
        <v>0.1199029467111767</v>
      </c>
      <c r="CM170" s="23">
        <f>EXP(-LN(2)/2)*CM169+(1-EXP(-LN(2)/2))/(LN(2)/2)*CG170*CJ170*VLOOKUP('Données projet'!$B$12,Paramètres!$A$1:$I$89,3,0)*0.475*44/12</f>
        <v>1.6498003034076528E-20</v>
      </c>
      <c r="CN170" s="24">
        <f t="shared" si="172"/>
        <v>0.36317932879439691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3.4106051316484809E-13</v>
      </c>
      <c r="CU170" s="18">
        <f>CT170*VLOOKUP('Données projet'!$B$13,Paramètres!$A$1:$I$89,3,0)*VLOOKUP('Données projet'!$B$13,Paramètres!$A$1:$I$89,5,0)</f>
        <v>2.5006556825246659E-13</v>
      </c>
      <c r="CV170" s="14">
        <f t="shared" si="173"/>
        <v>3.3765445850268018E-12</v>
      </c>
      <c r="CW170" s="22">
        <f t="shared" si="174"/>
        <v>6.3163460169613921E-12</v>
      </c>
      <c r="CX170" s="62">
        <f t="shared" si="122"/>
        <v>293.33333333333962</v>
      </c>
      <c r="CY170" s="62">
        <f ca="1">AVERAGE(OFFSET($CX$3,0,0,'Données projet'!$E$13+1,1))-AVERAGE(OFFSET($H$3,0,0,'Données projet'!$E$13+1,1))</f>
        <v>290.68086183422963</v>
      </c>
      <c r="CZ170" s="62">
        <f t="shared" si="150"/>
        <v>317.88330630101785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-9.2222762759774924E-13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476.8965664931755</v>
      </c>
      <c r="T171" s="62">
        <f t="shared" si="142"/>
        <v>254.25036207346591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-9.0949470177292824E-13</v>
      </c>
      <c r="AJ171" s="14">
        <f>AI171*VLOOKUP('Données projet'!$B$10,Paramètres!$A$1:$I$89,3,0)*VLOOKUP('Données projet'!$B$10,Paramètres!$A$1:$I$89,5,0)</f>
        <v>-8.2291080616414541E-13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430.11660085503223</v>
      </c>
      <c r="AO171" s="62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projet'!$B$11,Paramètres!$A$1:$I$89,3,0)*VLOOKUP('Données projet'!$B$11,Paramètres!$A$1:$I$89,5,0)</f>
        <v>1.4897523215040567E-13</v>
      </c>
      <c r="BF171" s="14">
        <f t="shared" si="167"/>
        <v>2.136562777003313E-12</v>
      </c>
      <c r="BG171" s="22">
        <f t="shared" si="168"/>
        <v>3.9806453659427267E-12</v>
      </c>
      <c r="BH171" s="62">
        <f t="shared" si="116"/>
        <v>293.33333333333729</v>
      </c>
      <c r="BI171" s="62">
        <f ca="1">AVERAGE(OFFSET($BH$3,0,0,'Données projet'!$E$11+1,1))-AVERAGE(OFFSET($H$3,0,0,'Données projet'!$E$11+1,1))</f>
        <v>346.7910845218741</v>
      </c>
      <c r="BJ171" s="62">
        <f t="shared" si="146"/>
        <v>469.89734899725369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-6.7984728957526396E-14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207.59954777160192</v>
      </c>
      <c r="CE171" s="62">
        <f t="shared" si="148"/>
        <v>314.81017053732063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0.23850588061450961</v>
      </c>
      <c r="CL171" s="23">
        <f>EXP(-LN(2)/25)*CL170+(1-EXP(-LN(2)/25))/(LN(2)/25)*Calculateur!CG171*Calculateur!CI171*VLOOKUP('Données projet'!$B$12,Paramètres!$A$1:$I$89,3,0)*0.475*44/12</f>
        <v>0.11662419432793765</v>
      </c>
      <c r="CM171" s="23">
        <f>EXP(-LN(2)/2)*CM170+(1-EXP(-LN(2)/2))/(LN(2)/2)*CG171*CJ171*VLOOKUP('Données projet'!$B$12,Paramètres!$A$1:$I$89,3,0)*0.475*44/12</f>
        <v>1.1665849821431749E-20</v>
      </c>
      <c r="CN171" s="24">
        <f t="shared" si="172"/>
        <v>0.35513007494244725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3.4106051316484809E-13</v>
      </c>
      <c r="CU171" s="18">
        <f>CT171*VLOOKUP('Données projet'!$B$13,Paramètres!$A$1:$I$89,3,0)*VLOOKUP('Données projet'!$B$13,Paramètres!$A$1:$I$89,5,0)</f>
        <v>2.5006556825246659E-13</v>
      </c>
      <c r="CV171" s="14">
        <f t="shared" si="173"/>
        <v>3.3765445850268018E-12</v>
      </c>
      <c r="CW171" s="22">
        <f t="shared" si="174"/>
        <v>6.3163460169613921E-12</v>
      </c>
      <c r="CX171" s="62">
        <f t="shared" si="122"/>
        <v>293.33333333333962</v>
      </c>
      <c r="CY171" s="62">
        <f ca="1">AVERAGE(OFFSET($CX$3,0,0,'Données projet'!$E$13+1,1))-AVERAGE(OFFSET($H$3,0,0,'Données projet'!$E$13+1,1))</f>
        <v>290.68086183422963</v>
      </c>
      <c r="CZ171" s="62">
        <f t="shared" si="150"/>
        <v>317.88330630101785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-9.2222762759774924E-13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476.8965664931755</v>
      </c>
      <c r="T172" s="62">
        <f t="shared" si="142"/>
        <v>254.25036207346591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-9.0949470177292824E-13</v>
      </c>
      <c r="AJ172" s="14">
        <f>AI172*VLOOKUP('Données projet'!$B$10,Paramètres!$A$1:$I$89,3,0)*VLOOKUP('Données projet'!$B$10,Paramètres!$A$1:$I$89,5,0)</f>
        <v>-8.2291080616414541E-13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430.11660085503223</v>
      </c>
      <c r="AO172" s="62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projet'!$B$11,Paramètres!$A$1:$I$89,3,0)*VLOOKUP('Données projet'!$B$11,Paramètres!$A$1:$I$89,5,0)</f>
        <v>1.4897523215040567E-13</v>
      </c>
      <c r="BF172" s="14">
        <f t="shared" si="167"/>
        <v>2.136562777003313E-12</v>
      </c>
      <c r="BG172" s="22">
        <f t="shared" si="168"/>
        <v>3.9806453659427267E-12</v>
      </c>
      <c r="BH172" s="62">
        <f t="shared" si="116"/>
        <v>293.33333333333729</v>
      </c>
      <c r="BI172" s="62">
        <f ca="1">AVERAGE(OFFSET($BH$3,0,0,'Données projet'!$E$11+1,1))-AVERAGE(OFFSET($H$3,0,0,'Données projet'!$E$11+1,1))</f>
        <v>346.7910845218741</v>
      </c>
      <c r="BJ172" s="62">
        <f t="shared" si="146"/>
        <v>469.89734899725369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-6.7984728957526396E-14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207.59954777160192</v>
      </c>
      <c r="CE172" s="62">
        <f t="shared" si="148"/>
        <v>314.81017053732063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0.23382892576988187</v>
      </c>
      <c r="CL172" s="23">
        <f>EXP(-LN(2)/25)*CL171+(1-EXP(-LN(2)/25))/(LN(2)/25)*Calculateur!CG172*Calculateur!CI172*VLOOKUP('Données projet'!$B$12,Paramètres!$A$1:$I$89,3,0)*0.475*44/12</f>
        <v>0.11343509960104037</v>
      </c>
      <c r="CM172" s="23">
        <f>EXP(-LN(2)/2)*CM171+(1-EXP(-LN(2)/2))/(LN(2)/2)*CG172*CJ172*VLOOKUP('Données projet'!$B$12,Paramètres!$A$1:$I$89,3,0)*0.475*44/12</f>
        <v>8.2490015170382638E-21</v>
      </c>
      <c r="CN172" s="24">
        <f t="shared" si="172"/>
        <v>0.34726402537092227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3.4106051316484809E-13</v>
      </c>
      <c r="CU172" s="18">
        <f>CT172*VLOOKUP('Données projet'!$B$13,Paramètres!$A$1:$I$89,3,0)*VLOOKUP('Données projet'!$B$13,Paramètres!$A$1:$I$89,5,0)</f>
        <v>2.5006556825246659E-13</v>
      </c>
      <c r="CV172" s="14">
        <f t="shared" si="173"/>
        <v>3.3765445850268018E-12</v>
      </c>
      <c r="CW172" s="22">
        <f t="shared" si="174"/>
        <v>6.3163460169613921E-12</v>
      </c>
      <c r="CX172" s="62">
        <f t="shared" si="122"/>
        <v>293.33333333333962</v>
      </c>
      <c r="CY172" s="62">
        <f ca="1">AVERAGE(OFFSET($CX$3,0,0,'Données projet'!$E$13+1,1))-AVERAGE(OFFSET($H$3,0,0,'Données projet'!$E$13+1,1))</f>
        <v>290.68086183422963</v>
      </c>
      <c r="CZ172" s="62">
        <f t="shared" si="150"/>
        <v>317.88330630101785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-9.2222762759774924E-13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476.8965664931755</v>
      </c>
      <c r="T173" s="62">
        <f t="shared" si="142"/>
        <v>254.25036207346591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-9.0949470177292824E-13</v>
      </c>
      <c r="AJ173" s="14">
        <f>AI173*VLOOKUP('Données projet'!$B$10,Paramètres!$A$1:$I$89,3,0)*VLOOKUP('Données projet'!$B$10,Paramètres!$A$1:$I$89,5,0)</f>
        <v>-8.2291080616414541E-13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430.11660085503223</v>
      </c>
      <c r="AO173" s="62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projet'!$B$11,Paramètres!$A$1:$I$89,3,0)*VLOOKUP('Données projet'!$B$11,Paramètres!$A$1:$I$89,5,0)</f>
        <v>1.4897523215040567E-13</v>
      </c>
      <c r="BF173" s="14">
        <f t="shared" si="167"/>
        <v>2.136562777003313E-12</v>
      </c>
      <c r="BG173" s="22">
        <f t="shared" si="168"/>
        <v>3.9806453659427267E-12</v>
      </c>
      <c r="BH173" s="62">
        <f t="shared" si="116"/>
        <v>293.33333333333729</v>
      </c>
      <c r="BI173" s="62">
        <f ca="1">AVERAGE(OFFSET($BH$3,0,0,'Données projet'!$E$11+1,1))-AVERAGE(OFFSET($H$3,0,0,'Données projet'!$E$11+1,1))</f>
        <v>346.7910845218741</v>
      </c>
      <c r="BJ173" s="62">
        <f t="shared" si="146"/>
        <v>469.89734899725369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-6.7984728957526396E-14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207.59954777160192</v>
      </c>
      <c r="CE173" s="62">
        <f t="shared" si="148"/>
        <v>314.81017053732063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0.22924368315709651</v>
      </c>
      <c r="CL173" s="23">
        <f>EXP(-LN(2)/25)*CL172+(1-EXP(-LN(2)/25))/(LN(2)/25)*Calculateur!CG173*Calculateur!CI173*VLOOKUP('Données projet'!$B$12,Paramètres!$A$1:$I$89,3,0)*0.475*44/12</f>
        <v>0.11033321083715729</v>
      </c>
      <c r="CM173" s="23">
        <f>EXP(-LN(2)/2)*CM172+(1-EXP(-LN(2)/2))/(LN(2)/2)*CG173*CJ173*VLOOKUP('Données projet'!$B$12,Paramètres!$A$1:$I$89,3,0)*0.475*44/12</f>
        <v>5.8329249107158743E-21</v>
      </c>
      <c r="CN173" s="24">
        <f t="shared" si="172"/>
        <v>0.33957689399425378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3.4106051316484809E-13</v>
      </c>
      <c r="CU173" s="18">
        <f>CT173*VLOOKUP('Données projet'!$B$13,Paramètres!$A$1:$I$89,3,0)*VLOOKUP('Données projet'!$B$13,Paramètres!$A$1:$I$89,5,0)</f>
        <v>2.5006556825246659E-13</v>
      </c>
      <c r="CV173" s="14">
        <f t="shared" si="173"/>
        <v>3.3765445850268018E-12</v>
      </c>
      <c r="CW173" s="22">
        <f t="shared" si="174"/>
        <v>6.3163460169613921E-12</v>
      </c>
      <c r="CX173" s="62">
        <f t="shared" si="122"/>
        <v>293.33333333333962</v>
      </c>
      <c r="CY173" s="62">
        <f ca="1">AVERAGE(OFFSET($CX$3,0,0,'Données projet'!$E$13+1,1))-AVERAGE(OFFSET($H$3,0,0,'Données projet'!$E$13+1,1))</f>
        <v>290.68086183422963</v>
      </c>
      <c r="CZ173" s="62">
        <f t="shared" si="150"/>
        <v>317.88330630101785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-9.2222762759774924E-13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476.8965664931755</v>
      </c>
      <c r="T174" s="62">
        <f t="shared" si="142"/>
        <v>254.25036207346591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-9.0949470177292824E-13</v>
      </c>
      <c r="AJ174" s="14">
        <f>AI174*VLOOKUP('Données projet'!$B$10,Paramètres!$A$1:$I$89,3,0)*VLOOKUP('Données projet'!$B$10,Paramètres!$A$1:$I$89,5,0)</f>
        <v>-8.2291080616414541E-13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430.11660085503223</v>
      </c>
      <c r="AO174" s="62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projet'!$B$11,Paramètres!$A$1:$I$89,3,0)*VLOOKUP('Données projet'!$B$11,Paramètres!$A$1:$I$89,5,0)</f>
        <v>1.4897523215040567E-13</v>
      </c>
      <c r="BF174" s="14">
        <f t="shared" si="167"/>
        <v>2.136562777003313E-12</v>
      </c>
      <c r="BG174" s="22">
        <f t="shared" si="168"/>
        <v>3.9806453659427267E-12</v>
      </c>
      <c r="BH174" s="62">
        <f t="shared" si="116"/>
        <v>293.33333333333729</v>
      </c>
      <c r="BI174" s="62">
        <f ca="1">AVERAGE(OFFSET($BH$3,0,0,'Données projet'!$E$11+1,1))-AVERAGE(OFFSET($H$3,0,0,'Données projet'!$E$11+1,1))</f>
        <v>346.7910845218741</v>
      </c>
      <c r="BJ174" s="62">
        <f t="shared" si="146"/>
        <v>469.89734899725369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-6.7984728957526396E-14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207.59954777160192</v>
      </c>
      <c r="CE174" s="62">
        <f t="shared" si="148"/>
        <v>314.81017053732063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0.22474835435522603</v>
      </c>
      <c r="CL174" s="23">
        <f>EXP(-LN(2)/25)*CL173+(1-EXP(-LN(2)/25))/(LN(2)/25)*Calculateur!CG174*Calculateur!CI174*VLOOKUP('Données projet'!$B$12,Paramètres!$A$1:$I$89,3,0)*0.475*44/12</f>
        <v>0.10731614338464383</v>
      </c>
      <c r="CM174" s="23">
        <f>EXP(-LN(2)/2)*CM173+(1-EXP(-LN(2)/2))/(LN(2)/2)*CG174*CJ174*VLOOKUP('Données projet'!$B$12,Paramètres!$A$1:$I$89,3,0)*0.475*44/12</f>
        <v>4.1245007585191319E-21</v>
      </c>
      <c r="CN174" s="24">
        <f t="shared" si="172"/>
        <v>0.33206449773986985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3.4106051316484809E-13</v>
      </c>
      <c r="CU174" s="18">
        <f>CT174*VLOOKUP('Données projet'!$B$13,Paramètres!$A$1:$I$89,3,0)*VLOOKUP('Données projet'!$B$13,Paramètres!$A$1:$I$89,5,0)</f>
        <v>2.5006556825246659E-13</v>
      </c>
      <c r="CV174" s="14">
        <f t="shared" si="173"/>
        <v>3.3765445850268018E-12</v>
      </c>
      <c r="CW174" s="22">
        <f t="shared" si="174"/>
        <v>6.3163460169613921E-12</v>
      </c>
      <c r="CX174" s="62">
        <f t="shared" si="122"/>
        <v>293.33333333333962</v>
      </c>
      <c r="CY174" s="62">
        <f ca="1">AVERAGE(OFFSET($CX$3,0,0,'Données projet'!$E$13+1,1))-AVERAGE(OFFSET($H$3,0,0,'Données projet'!$E$13+1,1))</f>
        <v>290.68086183422963</v>
      </c>
      <c r="CZ174" s="62">
        <f t="shared" si="150"/>
        <v>317.88330630101785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-9.2222762759774924E-13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476.8965664931755</v>
      </c>
      <c r="T175" s="62">
        <f t="shared" si="142"/>
        <v>254.25036207346591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-9.0949470177292824E-13</v>
      </c>
      <c r="AJ175" s="14">
        <f>AI175*VLOOKUP('Données projet'!$B$10,Paramètres!$A$1:$I$89,3,0)*VLOOKUP('Données projet'!$B$10,Paramètres!$A$1:$I$89,5,0)</f>
        <v>-8.2291080616414541E-13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430.11660085503223</v>
      </c>
      <c r="AO175" s="62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projet'!$B$11,Paramètres!$A$1:$I$89,3,0)*VLOOKUP('Données projet'!$B$11,Paramètres!$A$1:$I$89,5,0)</f>
        <v>1.4897523215040567E-13</v>
      </c>
      <c r="BF175" s="14">
        <f t="shared" si="167"/>
        <v>2.136562777003313E-12</v>
      </c>
      <c r="BG175" s="22">
        <f t="shared" si="168"/>
        <v>3.9806453659427267E-12</v>
      </c>
      <c r="BH175" s="62">
        <f t="shared" si="116"/>
        <v>293.33333333333729</v>
      </c>
      <c r="BI175" s="62">
        <f ca="1">AVERAGE(OFFSET($BH$3,0,0,'Données projet'!$E$11+1,1))-AVERAGE(OFFSET($H$3,0,0,'Données projet'!$E$11+1,1))</f>
        <v>346.7910845218741</v>
      </c>
      <c r="BJ175" s="62">
        <f t="shared" si="146"/>
        <v>469.89734899725369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-6.7984728957526396E-14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207.59954777160192</v>
      </c>
      <c r="CE175" s="62">
        <f t="shared" si="148"/>
        <v>314.81017053732063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0.22034117620928037</v>
      </c>
      <c r="CL175" s="23">
        <f>EXP(-LN(2)/25)*CL174+(1-EXP(-LN(2)/25))/(LN(2)/25)*Calculateur!CG175*Calculateur!CI175*VLOOKUP('Données projet'!$B$12,Paramètres!$A$1:$I$89,3,0)*0.475*44/12</f>
        <v>0.10438157780028004</v>
      </c>
      <c r="CM175" s="23">
        <f>EXP(-LN(2)/2)*CM174+(1-EXP(-LN(2)/2))/(LN(2)/2)*CG175*CJ175*VLOOKUP('Données projet'!$B$12,Paramètres!$A$1:$I$89,3,0)*0.475*44/12</f>
        <v>2.9164624553579372E-21</v>
      </c>
      <c r="CN175" s="24">
        <f t="shared" si="172"/>
        <v>0.32472275400956041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3.4106051316484809E-13</v>
      </c>
      <c r="CU175" s="18">
        <f>CT175*VLOOKUP('Données projet'!$B$13,Paramètres!$A$1:$I$89,3,0)*VLOOKUP('Données projet'!$B$13,Paramètres!$A$1:$I$89,5,0)</f>
        <v>2.5006556825246659E-13</v>
      </c>
      <c r="CV175" s="14">
        <f t="shared" si="173"/>
        <v>3.3765445850268018E-12</v>
      </c>
      <c r="CW175" s="22">
        <f t="shared" si="174"/>
        <v>6.3163460169613921E-12</v>
      </c>
      <c r="CX175" s="62">
        <f t="shared" si="122"/>
        <v>293.33333333333962</v>
      </c>
      <c r="CY175" s="62">
        <f ca="1">AVERAGE(OFFSET($CX$3,0,0,'Données projet'!$E$13+1,1))-AVERAGE(OFFSET($H$3,0,0,'Données projet'!$E$13+1,1))</f>
        <v>290.68086183422963</v>
      </c>
      <c r="CZ175" s="62">
        <f t="shared" si="150"/>
        <v>317.88330630101785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-9.2222762759774924E-13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476.8965664931755</v>
      </c>
      <c r="T176" s="62">
        <f t="shared" si="142"/>
        <v>254.25036207346591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-9.0949470177292824E-13</v>
      </c>
      <c r="AJ176" s="14">
        <f>AI176*VLOOKUP('Données projet'!$B$10,Paramètres!$A$1:$I$89,3,0)*VLOOKUP('Données projet'!$B$10,Paramètres!$A$1:$I$89,5,0)</f>
        <v>-8.2291080616414541E-13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430.11660085503223</v>
      </c>
      <c r="AO176" s="62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projet'!$B$11,Paramètres!$A$1:$I$89,3,0)*VLOOKUP('Données projet'!$B$11,Paramètres!$A$1:$I$89,5,0)</f>
        <v>1.4897523215040567E-13</v>
      </c>
      <c r="BF176" s="14">
        <f t="shared" si="167"/>
        <v>2.136562777003313E-12</v>
      </c>
      <c r="BG176" s="22">
        <f t="shared" si="168"/>
        <v>3.9806453659427267E-12</v>
      </c>
      <c r="BH176" s="62">
        <f t="shared" si="116"/>
        <v>293.33333333333729</v>
      </c>
      <c r="BI176" s="62">
        <f ca="1">AVERAGE(OFFSET($BH$3,0,0,'Données projet'!$E$11+1,1))-AVERAGE(OFFSET($H$3,0,0,'Données projet'!$E$11+1,1))</f>
        <v>346.7910845218741</v>
      </c>
      <c r="BJ176" s="62">
        <f t="shared" si="146"/>
        <v>469.89734899725369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-6.7984728957526396E-14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207.59954777160192</v>
      </c>
      <c r="CE176" s="62">
        <f t="shared" si="148"/>
        <v>314.81017053732063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0.21602042013866349</v>
      </c>
      <c r="CL176" s="23">
        <f>EXP(-LN(2)/25)*CL175+(1-EXP(-LN(2)/25))/(LN(2)/25)*Calculateur!CG176*Calculateur!CI176*VLOOKUP('Données projet'!$B$12,Paramètres!$A$1:$I$89,3,0)*0.475*44/12</f>
        <v>0.10152725806614277</v>
      </c>
      <c r="CM176" s="23">
        <f>EXP(-LN(2)/2)*CM175+(1-EXP(-LN(2)/2))/(LN(2)/2)*CG176*CJ176*VLOOKUP('Données projet'!$B$12,Paramètres!$A$1:$I$89,3,0)*0.475*44/12</f>
        <v>2.062250379259566E-21</v>
      </c>
      <c r="CN176" s="24">
        <f t="shared" si="172"/>
        <v>0.31754767820480623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3.4106051316484809E-13</v>
      </c>
      <c r="CU176" s="18">
        <f>CT176*VLOOKUP('Données projet'!$B$13,Paramètres!$A$1:$I$89,3,0)*VLOOKUP('Données projet'!$B$13,Paramètres!$A$1:$I$89,5,0)</f>
        <v>2.5006556825246659E-13</v>
      </c>
      <c r="CV176" s="14">
        <f t="shared" si="173"/>
        <v>3.3765445850268018E-12</v>
      </c>
      <c r="CW176" s="22">
        <f t="shared" si="174"/>
        <v>6.3163460169613921E-12</v>
      </c>
      <c r="CX176" s="62">
        <f t="shared" si="122"/>
        <v>293.33333333333962</v>
      </c>
      <c r="CY176" s="62">
        <f ca="1">AVERAGE(OFFSET($CX$3,0,0,'Données projet'!$E$13+1,1))-AVERAGE(OFFSET($H$3,0,0,'Données projet'!$E$13+1,1))</f>
        <v>290.68086183422963</v>
      </c>
      <c r="CZ176" s="62">
        <f t="shared" si="150"/>
        <v>317.88330630101785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-9.2222762759774924E-13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476.8965664931755</v>
      </c>
      <c r="T177" s="62">
        <f t="shared" si="142"/>
        <v>254.25036207346591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-9.0949470177292824E-13</v>
      </c>
      <c r="AJ177" s="14">
        <f>AI177*VLOOKUP('Données projet'!$B$10,Paramètres!$A$1:$I$89,3,0)*VLOOKUP('Données projet'!$B$10,Paramètres!$A$1:$I$89,5,0)</f>
        <v>-8.2291080616414541E-13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430.11660085503223</v>
      </c>
      <c r="AO177" s="62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projet'!$B$11,Paramètres!$A$1:$I$89,3,0)*VLOOKUP('Données projet'!$B$11,Paramètres!$A$1:$I$89,5,0)</f>
        <v>1.4897523215040567E-13</v>
      </c>
      <c r="BF177" s="14">
        <f t="shared" si="167"/>
        <v>2.136562777003313E-12</v>
      </c>
      <c r="BG177" s="22">
        <f t="shared" si="168"/>
        <v>3.9806453659427267E-12</v>
      </c>
      <c r="BH177" s="62">
        <f t="shared" si="116"/>
        <v>293.33333333333729</v>
      </c>
      <c r="BI177" s="62">
        <f ca="1">AVERAGE(OFFSET($BH$3,0,0,'Données projet'!$E$11+1,1))-AVERAGE(OFFSET($H$3,0,0,'Données projet'!$E$11+1,1))</f>
        <v>346.7910845218741</v>
      </c>
      <c r="BJ177" s="62">
        <f t="shared" si="146"/>
        <v>469.89734899725369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-6.7984728957526396E-14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207.59954777160192</v>
      </c>
      <c r="CE177" s="62">
        <f t="shared" si="148"/>
        <v>314.81017053732063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0.21178439145919042</v>
      </c>
      <c r="CL177" s="23">
        <f>EXP(-LN(2)/25)*CL176+(1-EXP(-LN(2)/25))/(LN(2)/25)*Calculateur!CG177*Calculateur!CI177*VLOOKUP('Données projet'!$B$12,Paramètres!$A$1:$I$89,3,0)*0.475*44/12</f>
        <v>9.8750989855237642E-2</v>
      </c>
      <c r="CM177" s="23">
        <f>EXP(-LN(2)/2)*CM176+(1-EXP(-LN(2)/2))/(LN(2)/2)*CG177*CJ177*VLOOKUP('Données projet'!$B$12,Paramètres!$A$1:$I$89,3,0)*0.475*44/12</f>
        <v>1.4582312276789686E-21</v>
      </c>
      <c r="CN177" s="24">
        <f t="shared" si="172"/>
        <v>0.31053538131442804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3.4106051316484809E-13</v>
      </c>
      <c r="CU177" s="18">
        <f>CT177*VLOOKUP('Données projet'!$B$13,Paramètres!$A$1:$I$89,3,0)*VLOOKUP('Données projet'!$B$13,Paramètres!$A$1:$I$89,5,0)</f>
        <v>2.5006556825246659E-13</v>
      </c>
      <c r="CV177" s="14">
        <f t="shared" si="173"/>
        <v>3.3765445850268018E-12</v>
      </c>
      <c r="CW177" s="22">
        <f t="shared" si="174"/>
        <v>6.3163460169613921E-12</v>
      </c>
      <c r="CX177" s="62">
        <f t="shared" si="122"/>
        <v>293.33333333333962</v>
      </c>
      <c r="CY177" s="62">
        <f ca="1">AVERAGE(OFFSET($CX$3,0,0,'Données projet'!$E$13+1,1))-AVERAGE(OFFSET($H$3,0,0,'Données projet'!$E$13+1,1))</f>
        <v>290.68086183422963</v>
      </c>
      <c r="CZ177" s="62">
        <f t="shared" si="150"/>
        <v>317.88330630101785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-9.2222762759774924E-13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476.8965664931755</v>
      </c>
      <c r="T178" s="62">
        <f t="shared" si="142"/>
        <v>254.25036207346591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-9.0949470177292824E-13</v>
      </c>
      <c r="AJ178" s="14">
        <f>AI178*VLOOKUP('Données projet'!$B$10,Paramètres!$A$1:$I$89,3,0)*VLOOKUP('Données projet'!$B$10,Paramètres!$A$1:$I$89,5,0)</f>
        <v>-8.2291080616414541E-13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430.11660085503223</v>
      </c>
      <c r="AO178" s="62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projet'!$B$11,Paramètres!$A$1:$I$89,3,0)*VLOOKUP('Données projet'!$B$11,Paramètres!$A$1:$I$89,5,0)</f>
        <v>1.4897523215040567E-13</v>
      </c>
      <c r="BF178" s="14">
        <f t="shared" si="167"/>
        <v>2.136562777003313E-12</v>
      </c>
      <c r="BG178" s="22">
        <f t="shared" si="168"/>
        <v>3.9806453659427267E-12</v>
      </c>
      <c r="BH178" s="62">
        <f t="shared" si="116"/>
        <v>293.33333333333729</v>
      </c>
      <c r="BI178" s="62">
        <f ca="1">AVERAGE(OFFSET($BH$3,0,0,'Données projet'!$E$11+1,1))-AVERAGE(OFFSET($H$3,0,0,'Données projet'!$E$11+1,1))</f>
        <v>346.7910845218741</v>
      </c>
      <c r="BJ178" s="62">
        <f t="shared" si="146"/>
        <v>469.89734899725369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-6.7984728957526396E-14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207.59954777160192</v>
      </c>
      <c r="CE178" s="62">
        <f t="shared" si="148"/>
        <v>314.81017053732063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0.20763142871839946</v>
      </c>
      <c r="CL178" s="23">
        <f>EXP(-LN(2)/25)*CL177+(1-EXP(-LN(2)/25))/(LN(2)/25)*Calculateur!CG178*Calculateur!CI178*VLOOKUP('Données projet'!$B$12,Paramètres!$A$1:$I$89,3,0)*0.475*44/12</f>
        <v>9.6050638844557307E-2</v>
      </c>
      <c r="CM178" s="23">
        <f>EXP(-LN(2)/2)*CM177+(1-EXP(-LN(2)/2))/(LN(2)/2)*CG178*CJ178*VLOOKUP('Données projet'!$B$12,Paramètres!$A$1:$I$89,3,0)*0.475*44/12</f>
        <v>1.031125189629783E-21</v>
      </c>
      <c r="CN178" s="24">
        <f t="shared" si="172"/>
        <v>0.30368206756295679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3.4106051316484809E-13</v>
      </c>
      <c r="CU178" s="18">
        <f>CT178*VLOOKUP('Données projet'!$B$13,Paramètres!$A$1:$I$89,3,0)*VLOOKUP('Données projet'!$B$13,Paramètres!$A$1:$I$89,5,0)</f>
        <v>2.5006556825246659E-13</v>
      </c>
      <c r="CV178" s="14">
        <f t="shared" si="173"/>
        <v>3.3765445850268018E-12</v>
      </c>
      <c r="CW178" s="22">
        <f t="shared" si="174"/>
        <v>6.3163460169613921E-12</v>
      </c>
      <c r="CX178" s="62">
        <f t="shared" si="122"/>
        <v>293.33333333333962</v>
      </c>
      <c r="CY178" s="62">
        <f ca="1">AVERAGE(OFFSET($CX$3,0,0,'Données projet'!$E$13+1,1))-AVERAGE(OFFSET($H$3,0,0,'Données projet'!$E$13+1,1))</f>
        <v>290.68086183422963</v>
      </c>
      <c r="CZ178" s="62">
        <f t="shared" si="150"/>
        <v>317.88330630101785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-9.2222762759774924E-13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476.8965664931755</v>
      </c>
      <c r="T179" s="62">
        <f t="shared" si="142"/>
        <v>254.25036207346591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-9.0949470177292824E-13</v>
      </c>
      <c r="AJ179" s="14">
        <f>AI179*VLOOKUP('Données projet'!$B$10,Paramètres!$A$1:$I$89,3,0)*VLOOKUP('Données projet'!$B$10,Paramètres!$A$1:$I$89,5,0)</f>
        <v>-8.2291080616414541E-13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430.11660085503223</v>
      </c>
      <c r="AO179" s="62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projet'!$B$11,Paramètres!$A$1:$I$89,3,0)*VLOOKUP('Données projet'!$B$11,Paramètres!$A$1:$I$89,5,0)</f>
        <v>1.4897523215040567E-13</v>
      </c>
      <c r="BF179" s="14">
        <f t="shared" si="167"/>
        <v>2.136562777003313E-12</v>
      </c>
      <c r="BG179" s="22">
        <f t="shared" si="168"/>
        <v>3.9806453659427267E-12</v>
      </c>
      <c r="BH179" s="62">
        <f t="shared" si="116"/>
        <v>293.33333333333729</v>
      </c>
      <c r="BI179" s="62">
        <f ca="1">AVERAGE(OFFSET($BH$3,0,0,'Données projet'!$E$11+1,1))-AVERAGE(OFFSET($H$3,0,0,'Données projet'!$E$11+1,1))</f>
        <v>346.7910845218741</v>
      </c>
      <c r="BJ179" s="62">
        <f t="shared" si="146"/>
        <v>469.89734899725369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-6.7984728957526396E-14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207.59954777160192</v>
      </c>
      <c r="CE179" s="62">
        <f t="shared" si="148"/>
        <v>314.81017053732063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0.20355990304389823</v>
      </c>
      <c r="CL179" s="23">
        <f>EXP(-LN(2)/25)*CL178+(1-EXP(-LN(2)/25))/(LN(2)/25)*Calculateur!CG179*Calculateur!CI179*VLOOKUP('Données projet'!$B$12,Paramètres!$A$1:$I$89,3,0)*0.475*44/12</f>
        <v>9.3424129074269321E-2</v>
      </c>
      <c r="CM179" s="23">
        <f>EXP(-LN(2)/2)*CM178+(1-EXP(-LN(2)/2))/(LN(2)/2)*CG179*CJ179*VLOOKUP('Données projet'!$B$12,Paramètres!$A$1:$I$89,3,0)*0.475*44/12</f>
        <v>7.2911561383948429E-22</v>
      </c>
      <c r="CN179" s="24">
        <f t="shared" si="172"/>
        <v>0.29698403211816754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3.4106051316484809E-13</v>
      </c>
      <c r="CU179" s="18">
        <f>CT179*VLOOKUP('Données projet'!$B$13,Paramètres!$A$1:$I$89,3,0)*VLOOKUP('Données projet'!$B$13,Paramètres!$A$1:$I$89,5,0)</f>
        <v>2.5006556825246659E-13</v>
      </c>
      <c r="CV179" s="14">
        <f t="shared" si="173"/>
        <v>3.3765445850268018E-12</v>
      </c>
      <c r="CW179" s="22">
        <f t="shared" si="174"/>
        <v>6.3163460169613921E-12</v>
      </c>
      <c r="CX179" s="62">
        <f t="shared" si="122"/>
        <v>293.33333333333962</v>
      </c>
      <c r="CY179" s="62">
        <f ca="1">AVERAGE(OFFSET($CX$3,0,0,'Données projet'!$E$13+1,1))-AVERAGE(OFFSET($H$3,0,0,'Données projet'!$E$13+1,1))</f>
        <v>290.68086183422963</v>
      </c>
      <c r="CZ179" s="62">
        <f t="shared" si="150"/>
        <v>317.88330630101785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-9.2222762759774924E-13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476.8965664931755</v>
      </c>
      <c r="T180" s="62">
        <f t="shared" si="142"/>
        <v>254.25036207346591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-9.0949470177292824E-13</v>
      </c>
      <c r="AJ180" s="14">
        <f>AI180*VLOOKUP('Données projet'!$B$10,Paramètres!$A$1:$I$89,3,0)*VLOOKUP('Données projet'!$B$10,Paramètres!$A$1:$I$89,5,0)</f>
        <v>-8.2291080616414541E-13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430.11660085503223</v>
      </c>
      <c r="AO180" s="62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projet'!$B$11,Paramètres!$A$1:$I$89,3,0)*VLOOKUP('Données projet'!$B$11,Paramètres!$A$1:$I$89,5,0)</f>
        <v>1.4897523215040567E-13</v>
      </c>
      <c r="BF180" s="14">
        <f t="shared" si="167"/>
        <v>2.136562777003313E-12</v>
      </c>
      <c r="BG180" s="22">
        <f t="shared" si="168"/>
        <v>3.9806453659427267E-12</v>
      </c>
      <c r="BH180" s="62">
        <f t="shared" si="116"/>
        <v>293.33333333333729</v>
      </c>
      <c r="BI180" s="62">
        <f ca="1">AVERAGE(OFFSET($BH$3,0,0,'Données projet'!$E$11+1,1))-AVERAGE(OFFSET($H$3,0,0,'Données projet'!$E$11+1,1))</f>
        <v>346.7910845218741</v>
      </c>
      <c r="BJ180" s="62">
        <f t="shared" si="146"/>
        <v>469.89734899725369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-6.7984728957526396E-14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207.59954777160192</v>
      </c>
      <c r="CE180" s="62">
        <f t="shared" si="148"/>
        <v>314.81017053732063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0.19956821750448853</v>
      </c>
      <c r="CL180" s="23">
        <f>EXP(-LN(2)/25)*CL179+(1-EXP(-LN(2)/25))/(LN(2)/25)*Calculateur!CG180*Calculateur!CI180*VLOOKUP('Données projet'!$B$12,Paramètres!$A$1:$I$89,3,0)*0.475*44/12</f>
        <v>9.0869441351771996E-2</v>
      </c>
      <c r="CM180" s="23">
        <f>EXP(-LN(2)/2)*CM179+(1-EXP(-LN(2)/2))/(LN(2)/2)*CG180*CJ180*VLOOKUP('Données projet'!$B$12,Paramètres!$A$1:$I$89,3,0)*0.475*44/12</f>
        <v>5.1556259481489149E-22</v>
      </c>
      <c r="CN180" s="24">
        <f t="shared" si="172"/>
        <v>0.29043765885626049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3.4106051316484809E-13</v>
      </c>
      <c r="CU180" s="18">
        <f>CT180*VLOOKUP('Données projet'!$B$13,Paramètres!$A$1:$I$89,3,0)*VLOOKUP('Données projet'!$B$13,Paramètres!$A$1:$I$89,5,0)</f>
        <v>2.5006556825246659E-13</v>
      </c>
      <c r="CV180" s="14">
        <f t="shared" si="173"/>
        <v>3.3765445850268018E-12</v>
      </c>
      <c r="CW180" s="22">
        <f t="shared" si="174"/>
        <v>6.3163460169613921E-12</v>
      </c>
      <c r="CX180" s="62">
        <f t="shared" si="122"/>
        <v>293.33333333333962</v>
      </c>
      <c r="CY180" s="62">
        <f ca="1">AVERAGE(OFFSET($CX$3,0,0,'Données projet'!$E$13+1,1))-AVERAGE(OFFSET($H$3,0,0,'Données projet'!$E$13+1,1))</f>
        <v>290.68086183422963</v>
      </c>
      <c r="CZ180" s="62">
        <f t="shared" si="150"/>
        <v>317.88330630101785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-9.2222762759774924E-13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476.8965664931755</v>
      </c>
      <c r="T181" s="62">
        <f t="shared" si="142"/>
        <v>254.25036207346591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-9.0949470177292824E-13</v>
      </c>
      <c r="AJ181" s="14">
        <f>AI181*VLOOKUP('Données projet'!$B$10,Paramètres!$A$1:$I$89,3,0)*VLOOKUP('Données projet'!$B$10,Paramètres!$A$1:$I$89,5,0)</f>
        <v>-8.2291080616414541E-13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430.11660085503223</v>
      </c>
      <c r="AO181" s="62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projet'!$B$11,Paramètres!$A$1:$I$89,3,0)*VLOOKUP('Données projet'!$B$11,Paramètres!$A$1:$I$89,5,0)</f>
        <v>1.4897523215040567E-13</v>
      </c>
      <c r="BF181" s="14">
        <f t="shared" si="167"/>
        <v>2.136562777003313E-12</v>
      </c>
      <c r="BG181" s="22">
        <f t="shared" si="168"/>
        <v>3.9806453659427267E-12</v>
      </c>
      <c r="BH181" s="62">
        <f t="shared" si="116"/>
        <v>293.33333333333729</v>
      </c>
      <c r="BI181" s="62">
        <f ca="1">AVERAGE(OFFSET($BH$3,0,0,'Données projet'!$E$11+1,1))-AVERAGE(OFFSET($H$3,0,0,'Données projet'!$E$11+1,1))</f>
        <v>346.7910845218741</v>
      </c>
      <c r="BJ181" s="62">
        <f t="shared" si="146"/>
        <v>469.89734899725369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-6.7984728957526396E-14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207.59954777160192</v>
      </c>
      <c r="CE181" s="62">
        <f t="shared" si="148"/>
        <v>314.81017053732063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0.19565480648381889</v>
      </c>
      <c r="CL181" s="23">
        <f>EXP(-LN(2)/25)*CL180+(1-EXP(-LN(2)/25))/(LN(2)/25)*Calculateur!CG181*Calculateur!CI181*VLOOKUP('Données projet'!$B$12,Paramètres!$A$1:$I$89,3,0)*0.475*44/12</f>
        <v>8.838461169939156E-2</v>
      </c>
      <c r="CM181" s="23">
        <f>EXP(-LN(2)/2)*CM180+(1-EXP(-LN(2)/2))/(LN(2)/2)*CG181*CJ181*VLOOKUP('Données projet'!$B$12,Paramètres!$A$1:$I$89,3,0)*0.475*44/12</f>
        <v>3.6455780691974215E-22</v>
      </c>
      <c r="CN181" s="24">
        <f t="shared" si="172"/>
        <v>0.28403941818321043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3.4106051316484809E-13</v>
      </c>
      <c r="CU181" s="18">
        <f>CT181*VLOOKUP('Données projet'!$B$13,Paramètres!$A$1:$I$89,3,0)*VLOOKUP('Données projet'!$B$13,Paramètres!$A$1:$I$89,5,0)</f>
        <v>2.5006556825246659E-13</v>
      </c>
      <c r="CV181" s="14">
        <f t="shared" si="173"/>
        <v>3.3765445850268018E-12</v>
      </c>
      <c r="CW181" s="22">
        <f t="shared" si="174"/>
        <v>6.3163460169613921E-12</v>
      </c>
      <c r="CX181" s="62">
        <f t="shared" si="122"/>
        <v>293.33333333333962</v>
      </c>
      <c r="CY181" s="62">
        <f ca="1">AVERAGE(OFFSET($CX$3,0,0,'Données projet'!$E$13+1,1))-AVERAGE(OFFSET($H$3,0,0,'Données projet'!$E$13+1,1))</f>
        <v>290.68086183422963</v>
      </c>
      <c r="CZ181" s="62">
        <f t="shared" si="150"/>
        <v>317.88330630101785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-9.2222762759774924E-13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476.8965664931755</v>
      </c>
      <c r="T182" s="62">
        <f t="shared" si="142"/>
        <v>254.25036207346591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-9.0949470177292824E-13</v>
      </c>
      <c r="AJ182" s="14">
        <f>AI182*VLOOKUP('Données projet'!$B$10,Paramètres!$A$1:$I$89,3,0)*VLOOKUP('Données projet'!$B$10,Paramètres!$A$1:$I$89,5,0)</f>
        <v>-8.2291080616414541E-13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430.11660085503223</v>
      </c>
      <c r="AO182" s="62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projet'!$B$11,Paramètres!$A$1:$I$89,3,0)*VLOOKUP('Données projet'!$B$11,Paramètres!$A$1:$I$89,5,0)</f>
        <v>1.4897523215040567E-13</v>
      </c>
      <c r="BF182" s="14">
        <f t="shared" si="167"/>
        <v>2.136562777003313E-12</v>
      </c>
      <c r="BG182" s="22">
        <f t="shared" si="168"/>
        <v>3.9806453659427267E-12</v>
      </c>
      <c r="BH182" s="62">
        <f t="shared" si="116"/>
        <v>293.33333333333729</v>
      </c>
      <c r="BI182" s="62">
        <f ca="1">AVERAGE(OFFSET($BH$3,0,0,'Données projet'!$E$11+1,1))-AVERAGE(OFFSET($H$3,0,0,'Données projet'!$E$11+1,1))</f>
        <v>346.7910845218741</v>
      </c>
      <c r="BJ182" s="62">
        <f t="shared" si="146"/>
        <v>469.89734899725369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-6.7984728957526396E-14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207.59954777160192</v>
      </c>
      <c r="CE182" s="62">
        <f t="shared" si="148"/>
        <v>314.81017053732063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0.19181813506631953</v>
      </c>
      <c r="CL182" s="23">
        <f>EXP(-LN(2)/25)*CL181+(1-EXP(-LN(2)/25))/(LN(2)/25)*Calculateur!CG182*Calculateur!CI182*VLOOKUP('Données projet'!$B$12,Paramètres!$A$1:$I$89,3,0)*0.475*44/12</f>
        <v>8.5967729844526969E-2</v>
      </c>
      <c r="CM182" s="23">
        <f>EXP(-LN(2)/2)*CM181+(1-EXP(-LN(2)/2))/(LN(2)/2)*CG182*CJ182*VLOOKUP('Données projet'!$B$12,Paramètres!$A$1:$I$89,3,0)*0.475*44/12</f>
        <v>2.5778129740744574E-22</v>
      </c>
      <c r="CN182" s="24">
        <f t="shared" si="172"/>
        <v>0.2777858649108465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3.4106051316484809E-13</v>
      </c>
      <c r="CU182" s="18">
        <f>CT182*VLOOKUP('Données projet'!$B$13,Paramètres!$A$1:$I$89,3,0)*VLOOKUP('Données projet'!$B$13,Paramètres!$A$1:$I$89,5,0)</f>
        <v>2.5006556825246659E-13</v>
      </c>
      <c r="CV182" s="14">
        <f t="shared" si="173"/>
        <v>3.3765445850268018E-12</v>
      </c>
      <c r="CW182" s="22">
        <f t="shared" si="174"/>
        <v>6.3163460169613921E-12</v>
      </c>
      <c r="CX182" s="62">
        <f t="shared" si="122"/>
        <v>293.33333333333962</v>
      </c>
      <c r="CY182" s="62">
        <f ca="1">AVERAGE(OFFSET($CX$3,0,0,'Données projet'!$E$13+1,1))-AVERAGE(OFFSET($H$3,0,0,'Données projet'!$E$13+1,1))</f>
        <v>290.68086183422963</v>
      </c>
      <c r="CZ182" s="62">
        <f t="shared" si="150"/>
        <v>317.88330630101785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-9.2222762759774924E-13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476.8965664931755</v>
      </c>
      <c r="T183" s="62">
        <f t="shared" si="142"/>
        <v>254.25036207346591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-9.0949470177292824E-13</v>
      </c>
      <c r="AJ183" s="14">
        <f>AI183*VLOOKUP('Données projet'!$B$10,Paramètres!$A$1:$I$89,3,0)*VLOOKUP('Données projet'!$B$10,Paramètres!$A$1:$I$89,5,0)</f>
        <v>-8.2291080616414541E-13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430.11660085503223</v>
      </c>
      <c r="AO183" s="62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projet'!$B$11,Paramètres!$A$1:$I$89,3,0)*VLOOKUP('Données projet'!$B$11,Paramètres!$A$1:$I$89,5,0)</f>
        <v>1.4897523215040567E-13</v>
      </c>
      <c r="BF183" s="14">
        <f t="shared" si="167"/>
        <v>2.136562777003313E-12</v>
      </c>
      <c r="BG183" s="22">
        <f t="shared" si="168"/>
        <v>3.9806453659427267E-12</v>
      </c>
      <c r="BH183" s="62">
        <f t="shared" si="116"/>
        <v>293.33333333333729</v>
      </c>
      <c r="BI183" s="62">
        <f ca="1">AVERAGE(OFFSET($BH$3,0,0,'Données projet'!$E$11+1,1))-AVERAGE(OFFSET($H$3,0,0,'Données projet'!$E$11+1,1))</f>
        <v>346.7910845218741</v>
      </c>
      <c r="BJ183" s="62">
        <f t="shared" si="146"/>
        <v>469.89734899725369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-6.7984728957526396E-14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207.59954777160192</v>
      </c>
      <c r="CE183" s="62">
        <f t="shared" si="148"/>
        <v>314.81017053732063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0.18805669843517886</v>
      </c>
      <c r="CL183" s="23">
        <f>EXP(-LN(2)/25)*CL182+(1-EXP(-LN(2)/25))/(LN(2)/25)*Calculateur!CG183*Calculateur!CI183*VLOOKUP('Données projet'!$B$12,Paramètres!$A$1:$I$89,3,0)*0.475*44/12</f>
        <v>8.3616937751081949E-2</v>
      </c>
      <c r="CM183" s="23">
        <f>EXP(-LN(2)/2)*CM182+(1-EXP(-LN(2)/2))/(LN(2)/2)*CG183*CJ183*VLOOKUP('Données projet'!$B$12,Paramètres!$A$1:$I$89,3,0)*0.475*44/12</f>
        <v>1.8227890345987107E-22</v>
      </c>
      <c r="CN183" s="24">
        <f t="shared" si="172"/>
        <v>0.27167363618626084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3.4106051316484809E-13</v>
      </c>
      <c r="CU183" s="18">
        <f>CT183*VLOOKUP('Données projet'!$B$13,Paramètres!$A$1:$I$89,3,0)*VLOOKUP('Données projet'!$B$13,Paramètres!$A$1:$I$89,5,0)</f>
        <v>2.5006556825246659E-13</v>
      </c>
      <c r="CV183" s="14">
        <f t="shared" si="173"/>
        <v>3.3765445850268018E-12</v>
      </c>
      <c r="CW183" s="22">
        <f t="shared" si="174"/>
        <v>6.3163460169613921E-12</v>
      </c>
      <c r="CX183" s="62">
        <f t="shared" si="122"/>
        <v>293.33333333333962</v>
      </c>
      <c r="CY183" s="62">
        <f ca="1">AVERAGE(OFFSET($CX$3,0,0,'Données projet'!$E$13+1,1))-AVERAGE(OFFSET($H$3,0,0,'Données projet'!$E$13+1,1))</f>
        <v>290.68086183422963</v>
      </c>
      <c r="CZ183" s="62">
        <f t="shared" si="150"/>
        <v>317.88330630101785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-9.2222762759774924E-13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476.8965664931755</v>
      </c>
      <c r="T184" s="62">
        <f t="shared" si="142"/>
        <v>254.25036207346591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-9.0949470177292824E-13</v>
      </c>
      <c r="AJ184" s="14">
        <f>AI184*VLOOKUP('Données projet'!$B$10,Paramètres!$A$1:$I$89,3,0)*VLOOKUP('Données projet'!$B$10,Paramètres!$A$1:$I$89,5,0)</f>
        <v>-8.2291080616414541E-13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430.11660085503223</v>
      </c>
      <c r="AO184" s="62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projet'!$B$11,Paramètres!$A$1:$I$89,3,0)*VLOOKUP('Données projet'!$B$11,Paramètres!$A$1:$I$89,5,0)</f>
        <v>1.4897523215040567E-13</v>
      </c>
      <c r="BF184" s="14">
        <f t="shared" si="167"/>
        <v>2.136562777003313E-12</v>
      </c>
      <c r="BG184" s="22">
        <f t="shared" si="168"/>
        <v>3.9806453659427267E-12</v>
      </c>
      <c r="BH184" s="62">
        <f t="shared" si="116"/>
        <v>293.33333333333729</v>
      </c>
      <c r="BI184" s="62">
        <f ca="1">AVERAGE(OFFSET($BH$3,0,0,'Données projet'!$E$11+1,1))-AVERAGE(OFFSET($H$3,0,0,'Données projet'!$E$11+1,1))</f>
        <v>346.7910845218741</v>
      </c>
      <c r="BJ184" s="62">
        <f t="shared" si="146"/>
        <v>469.89734899725369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-6.7984728957526396E-14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207.59954777160192</v>
      </c>
      <c r="CE184" s="62">
        <f t="shared" si="148"/>
        <v>314.81017053732063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0.18436902128212504</v>
      </c>
      <c r="CL184" s="23">
        <f>EXP(-LN(2)/25)*CL183+(1-EXP(-LN(2)/25))/(LN(2)/25)*Calculateur!CG184*Calculateur!CI184*VLOOKUP('Données projet'!$B$12,Paramètres!$A$1:$I$89,3,0)*0.475*44/12</f>
        <v>8.133042819105496E-2</v>
      </c>
      <c r="CM184" s="23">
        <f>EXP(-LN(2)/2)*CM183+(1-EXP(-LN(2)/2))/(LN(2)/2)*CG184*CJ184*VLOOKUP('Données projet'!$B$12,Paramètres!$A$1:$I$89,3,0)*0.475*44/12</f>
        <v>1.2889064870372287E-22</v>
      </c>
      <c r="CN184" s="24">
        <f t="shared" si="172"/>
        <v>0.26569944947318003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3.4106051316484809E-13</v>
      </c>
      <c r="CU184" s="18">
        <f>CT184*VLOOKUP('Données projet'!$B$13,Paramètres!$A$1:$I$89,3,0)*VLOOKUP('Données projet'!$B$13,Paramètres!$A$1:$I$89,5,0)</f>
        <v>2.5006556825246659E-13</v>
      </c>
      <c r="CV184" s="14">
        <f t="shared" si="173"/>
        <v>3.3765445850268018E-12</v>
      </c>
      <c r="CW184" s="22">
        <f t="shared" si="174"/>
        <v>6.3163460169613921E-12</v>
      </c>
      <c r="CX184" s="62">
        <f t="shared" si="122"/>
        <v>293.33333333333962</v>
      </c>
      <c r="CY184" s="62">
        <f ca="1">AVERAGE(OFFSET($CX$3,0,0,'Données projet'!$E$13+1,1))-AVERAGE(OFFSET($H$3,0,0,'Données projet'!$E$13+1,1))</f>
        <v>290.68086183422963</v>
      </c>
      <c r="CZ184" s="62">
        <f t="shared" si="150"/>
        <v>317.88330630101785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-9.2222762759774924E-13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476.8965664931755</v>
      </c>
      <c r="T185" s="62">
        <f t="shared" si="142"/>
        <v>254.25036207346591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-9.0949470177292824E-13</v>
      </c>
      <c r="AJ185" s="14">
        <f>AI185*VLOOKUP('Données projet'!$B$10,Paramètres!$A$1:$I$89,3,0)*VLOOKUP('Données projet'!$B$10,Paramètres!$A$1:$I$89,5,0)</f>
        <v>-8.2291080616414541E-13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430.11660085503223</v>
      </c>
      <c r="AO185" s="62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projet'!$B$11,Paramètres!$A$1:$I$89,3,0)*VLOOKUP('Données projet'!$B$11,Paramètres!$A$1:$I$89,5,0)</f>
        <v>1.4897523215040567E-13</v>
      </c>
      <c r="BF185" s="14">
        <f t="shared" si="167"/>
        <v>2.136562777003313E-12</v>
      </c>
      <c r="BG185" s="22">
        <f t="shared" si="168"/>
        <v>3.9806453659427267E-12</v>
      </c>
      <c r="BH185" s="62">
        <f t="shared" si="116"/>
        <v>293.33333333333729</v>
      </c>
      <c r="BI185" s="62">
        <f ca="1">AVERAGE(OFFSET($BH$3,0,0,'Données projet'!$E$11+1,1))-AVERAGE(OFFSET($H$3,0,0,'Données projet'!$E$11+1,1))</f>
        <v>346.7910845218741</v>
      </c>
      <c r="BJ185" s="62">
        <f t="shared" si="146"/>
        <v>469.89734899725369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-6.7984728957526396E-14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207.59954777160192</v>
      </c>
      <c r="CE185" s="62">
        <f t="shared" si="148"/>
        <v>314.81017053732063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0.18075365722878164</v>
      </c>
      <c r="CL185" s="23">
        <f>EXP(-LN(2)/25)*CL184+(1-EXP(-LN(2)/25))/(LN(2)/25)*Calculateur!CG185*Calculateur!CI185*VLOOKUP('Données projet'!$B$12,Paramètres!$A$1:$I$89,3,0)*0.475*44/12</f>
        <v>7.9106443355189224E-2</v>
      </c>
      <c r="CM185" s="23">
        <f>EXP(-LN(2)/2)*CM184+(1-EXP(-LN(2)/2))/(LN(2)/2)*CG185*CJ185*VLOOKUP('Données projet'!$B$12,Paramètres!$A$1:$I$89,3,0)*0.475*44/12</f>
        <v>9.1139451729935536E-23</v>
      </c>
      <c r="CN185" s="24">
        <f t="shared" si="172"/>
        <v>0.25986010058397085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3.4106051316484809E-13</v>
      </c>
      <c r="CU185" s="18">
        <f>CT185*VLOOKUP('Données projet'!$B$13,Paramètres!$A$1:$I$89,3,0)*VLOOKUP('Données projet'!$B$13,Paramètres!$A$1:$I$89,5,0)</f>
        <v>2.5006556825246659E-13</v>
      </c>
      <c r="CV185" s="14">
        <f t="shared" si="173"/>
        <v>3.3765445850268018E-12</v>
      </c>
      <c r="CW185" s="22">
        <f t="shared" si="174"/>
        <v>6.3163460169613921E-12</v>
      </c>
      <c r="CX185" s="62">
        <f t="shared" si="122"/>
        <v>293.33333333333962</v>
      </c>
      <c r="CY185" s="62">
        <f ca="1">AVERAGE(OFFSET($CX$3,0,0,'Données projet'!$E$13+1,1))-AVERAGE(OFFSET($H$3,0,0,'Données projet'!$E$13+1,1))</f>
        <v>290.68086183422963</v>
      </c>
      <c r="CZ185" s="62">
        <f t="shared" si="150"/>
        <v>317.88330630101785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-9.2222762759774924E-13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476.8965664931755</v>
      </c>
      <c r="T186" s="62">
        <f t="shared" si="142"/>
        <v>254.25036207346591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-9.0949470177292824E-13</v>
      </c>
      <c r="AJ186" s="14">
        <f>AI186*VLOOKUP('Données projet'!$B$10,Paramètres!$A$1:$I$89,3,0)*VLOOKUP('Données projet'!$B$10,Paramètres!$A$1:$I$89,5,0)</f>
        <v>-8.2291080616414541E-13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430.11660085503223</v>
      </c>
      <c r="AO186" s="62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projet'!$B$11,Paramètres!$A$1:$I$89,3,0)*VLOOKUP('Données projet'!$B$11,Paramètres!$A$1:$I$89,5,0)</f>
        <v>1.4897523215040567E-13</v>
      </c>
      <c r="BF186" s="14">
        <f t="shared" si="167"/>
        <v>2.136562777003313E-12</v>
      </c>
      <c r="BG186" s="22">
        <f t="shared" si="168"/>
        <v>3.9806453659427267E-12</v>
      </c>
      <c r="BH186" s="62">
        <f t="shared" si="116"/>
        <v>293.33333333333729</v>
      </c>
      <c r="BI186" s="62">
        <f ca="1">AVERAGE(OFFSET($BH$3,0,0,'Données projet'!$E$11+1,1))-AVERAGE(OFFSET($H$3,0,0,'Données projet'!$E$11+1,1))</f>
        <v>346.7910845218741</v>
      </c>
      <c r="BJ186" s="62">
        <f t="shared" si="146"/>
        <v>469.89734899725369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-6.7984728957526396E-14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207.59954777160192</v>
      </c>
      <c r="CE186" s="62">
        <f t="shared" si="148"/>
        <v>314.81017053732063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0.17720918825936999</v>
      </c>
      <c r="CL186" s="23">
        <f>EXP(-LN(2)/25)*CL185+(1-EXP(-LN(2)/25))/(LN(2)/25)*Calculateur!CG186*Calculateur!CI186*VLOOKUP('Données projet'!$B$12,Paramètres!$A$1:$I$89,3,0)*0.475*44/12</f>
        <v>7.694327350161452E-2</v>
      </c>
      <c r="CM186" s="23">
        <f>EXP(-LN(2)/2)*CM185+(1-EXP(-LN(2)/2))/(LN(2)/2)*CG186*CJ186*VLOOKUP('Données projet'!$B$12,Paramètres!$A$1:$I$89,3,0)*0.475*44/12</f>
        <v>6.4445324351861436E-23</v>
      </c>
      <c r="CN186" s="24">
        <f t="shared" si="172"/>
        <v>0.25415246176098449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3.4106051316484809E-13</v>
      </c>
      <c r="CU186" s="18">
        <f>CT186*VLOOKUP('Données projet'!$B$13,Paramètres!$A$1:$I$89,3,0)*VLOOKUP('Données projet'!$B$13,Paramètres!$A$1:$I$89,5,0)</f>
        <v>2.5006556825246659E-13</v>
      </c>
      <c r="CV186" s="14">
        <f t="shared" si="173"/>
        <v>3.3765445850268018E-12</v>
      </c>
      <c r="CW186" s="22">
        <f t="shared" si="174"/>
        <v>6.3163460169613921E-12</v>
      </c>
      <c r="CX186" s="62">
        <f t="shared" si="122"/>
        <v>293.33333333333962</v>
      </c>
      <c r="CY186" s="62">
        <f ca="1">AVERAGE(OFFSET($CX$3,0,0,'Données projet'!$E$13+1,1))-AVERAGE(OFFSET($H$3,0,0,'Données projet'!$E$13+1,1))</f>
        <v>290.68086183422963</v>
      </c>
      <c r="CZ186" s="62">
        <f t="shared" si="150"/>
        <v>317.88330630101785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-9.2222762759774924E-13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476.8965664931755</v>
      </c>
      <c r="T187" s="62">
        <f t="shared" si="142"/>
        <v>254.25036207346591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-9.0949470177292824E-13</v>
      </c>
      <c r="AJ187" s="14">
        <f>AI187*VLOOKUP('Données projet'!$B$10,Paramètres!$A$1:$I$89,3,0)*VLOOKUP('Données projet'!$B$10,Paramètres!$A$1:$I$89,5,0)</f>
        <v>-8.2291080616414541E-13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430.11660085503223</v>
      </c>
      <c r="AO187" s="62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projet'!$B$11,Paramètres!$A$1:$I$89,3,0)*VLOOKUP('Données projet'!$B$11,Paramètres!$A$1:$I$89,5,0)</f>
        <v>1.4897523215040567E-13</v>
      </c>
      <c r="BF187" s="14">
        <f t="shared" si="167"/>
        <v>2.136562777003313E-12</v>
      </c>
      <c r="BG187" s="22">
        <f t="shared" si="168"/>
        <v>3.9806453659427267E-12</v>
      </c>
      <c r="BH187" s="62">
        <f t="shared" si="116"/>
        <v>293.33333333333729</v>
      </c>
      <c r="BI187" s="62">
        <f ca="1">AVERAGE(OFFSET($BH$3,0,0,'Données projet'!$E$11+1,1))-AVERAGE(OFFSET($H$3,0,0,'Données projet'!$E$11+1,1))</f>
        <v>346.7910845218741</v>
      </c>
      <c r="BJ187" s="62">
        <f t="shared" si="146"/>
        <v>469.89734899725369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-6.7984728957526396E-14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207.59954777160192</v>
      </c>
      <c r="CE187" s="62">
        <f t="shared" si="148"/>
        <v>314.81017053732063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0.17373422416453588</v>
      </c>
      <c r="CL187" s="23">
        <f>EXP(-LN(2)/25)*CL186+(1-EXP(-LN(2)/25))/(LN(2)/25)*Calculateur!CG187*Calculateur!CI187*VLOOKUP('Données projet'!$B$12,Paramètres!$A$1:$I$89,3,0)*0.475*44/12</f>
        <v>7.4839255641441976E-2</v>
      </c>
      <c r="CM187" s="23">
        <f>EXP(-LN(2)/2)*CM186+(1-EXP(-LN(2)/2))/(LN(2)/2)*CG187*CJ187*VLOOKUP('Données projet'!$B$12,Paramètres!$A$1:$I$89,3,0)*0.475*44/12</f>
        <v>4.5569725864967768E-23</v>
      </c>
      <c r="CN187" s="24">
        <f t="shared" si="172"/>
        <v>0.24857347980597785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3.4106051316484809E-13</v>
      </c>
      <c r="CU187" s="18">
        <f>CT187*VLOOKUP('Données projet'!$B$13,Paramètres!$A$1:$I$89,3,0)*VLOOKUP('Données projet'!$B$13,Paramètres!$A$1:$I$89,5,0)</f>
        <v>2.5006556825246659E-13</v>
      </c>
      <c r="CV187" s="14">
        <f t="shared" si="173"/>
        <v>3.3765445850268018E-12</v>
      </c>
      <c r="CW187" s="22">
        <f t="shared" si="174"/>
        <v>6.3163460169613921E-12</v>
      </c>
      <c r="CX187" s="62">
        <f t="shared" si="122"/>
        <v>293.33333333333962</v>
      </c>
      <c r="CY187" s="62">
        <f ca="1">AVERAGE(OFFSET($CX$3,0,0,'Données projet'!$E$13+1,1))-AVERAGE(OFFSET($H$3,0,0,'Données projet'!$E$13+1,1))</f>
        <v>290.68086183422963</v>
      </c>
      <c r="CZ187" s="62">
        <f t="shared" si="150"/>
        <v>317.88330630101785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-9.2222762759774924E-13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476.8965664931755</v>
      </c>
      <c r="T188" s="62">
        <f t="shared" si="142"/>
        <v>254.25036207346591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-9.0949470177292824E-13</v>
      </c>
      <c r="AJ188" s="14">
        <f>AI188*VLOOKUP('Données projet'!$B$10,Paramètres!$A$1:$I$89,3,0)*VLOOKUP('Données projet'!$B$10,Paramètres!$A$1:$I$89,5,0)</f>
        <v>-8.2291080616414541E-13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430.11660085503223</v>
      </c>
      <c r="AO188" s="62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projet'!$B$11,Paramètres!$A$1:$I$89,3,0)*VLOOKUP('Données projet'!$B$11,Paramètres!$A$1:$I$89,5,0)</f>
        <v>1.4897523215040567E-13</v>
      </c>
      <c r="BF188" s="14">
        <f t="shared" si="167"/>
        <v>2.136562777003313E-12</v>
      </c>
      <c r="BG188" s="22">
        <f t="shared" si="168"/>
        <v>3.9806453659427267E-12</v>
      </c>
      <c r="BH188" s="62">
        <f t="shared" si="116"/>
        <v>293.33333333333729</v>
      </c>
      <c r="BI188" s="62">
        <f ca="1">AVERAGE(OFFSET($BH$3,0,0,'Données projet'!$E$11+1,1))-AVERAGE(OFFSET($H$3,0,0,'Données projet'!$E$11+1,1))</f>
        <v>346.7910845218741</v>
      </c>
      <c r="BJ188" s="62">
        <f t="shared" si="146"/>
        <v>469.89734899725369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-6.7984728957526396E-14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207.59954777160192</v>
      </c>
      <c r="CE188" s="62">
        <f t="shared" si="148"/>
        <v>314.81017053732063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0.17032740199608265</v>
      </c>
      <c r="CL188" s="23">
        <f>EXP(-LN(2)/25)*CL187+(1-EXP(-LN(2)/25))/(LN(2)/25)*Calculateur!CG188*Calculateur!CI188*VLOOKUP('Données projet'!$B$12,Paramètres!$A$1:$I$89,3,0)*0.475*44/12</f>
        <v>7.2792772260301342E-2</v>
      </c>
      <c r="CM188" s="23">
        <f>EXP(-LN(2)/2)*CM187+(1-EXP(-LN(2)/2))/(LN(2)/2)*CG188*CJ188*VLOOKUP('Données projet'!$B$12,Paramètres!$A$1:$I$89,3,0)*0.475*44/12</f>
        <v>3.2222662175930718E-23</v>
      </c>
      <c r="CN188" s="24">
        <f t="shared" si="172"/>
        <v>0.24312017425638399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3.4106051316484809E-13</v>
      </c>
      <c r="CU188" s="18">
        <f>CT188*VLOOKUP('Données projet'!$B$13,Paramètres!$A$1:$I$89,3,0)*VLOOKUP('Données projet'!$B$13,Paramètres!$A$1:$I$89,5,0)</f>
        <v>2.5006556825246659E-13</v>
      </c>
      <c r="CV188" s="14">
        <f t="shared" si="173"/>
        <v>3.3765445850268018E-12</v>
      </c>
      <c r="CW188" s="22">
        <f t="shared" si="174"/>
        <v>6.3163460169613921E-12</v>
      </c>
      <c r="CX188" s="62">
        <f t="shared" si="122"/>
        <v>293.33333333333962</v>
      </c>
      <c r="CY188" s="62">
        <f ca="1">AVERAGE(OFFSET($CX$3,0,0,'Données projet'!$E$13+1,1))-AVERAGE(OFFSET($H$3,0,0,'Données projet'!$E$13+1,1))</f>
        <v>290.68086183422963</v>
      </c>
      <c r="CZ188" s="62">
        <f t="shared" si="150"/>
        <v>317.88330630101785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-9.2222762759774924E-13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476.8965664931755</v>
      </c>
      <c r="T189" s="62">
        <f t="shared" si="142"/>
        <v>254.25036207346591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-9.0949470177292824E-13</v>
      </c>
      <c r="AJ189" s="14">
        <f>AI189*VLOOKUP('Données projet'!$B$10,Paramètres!$A$1:$I$89,3,0)*VLOOKUP('Données projet'!$B$10,Paramètres!$A$1:$I$89,5,0)</f>
        <v>-8.2291080616414541E-13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430.11660085503223</v>
      </c>
      <c r="AO189" s="62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projet'!$B$11,Paramètres!$A$1:$I$89,3,0)*VLOOKUP('Données projet'!$B$11,Paramètres!$A$1:$I$89,5,0)</f>
        <v>1.4897523215040567E-13</v>
      </c>
      <c r="BF189" s="14">
        <f t="shared" si="167"/>
        <v>2.136562777003313E-12</v>
      </c>
      <c r="BG189" s="22">
        <f t="shared" si="168"/>
        <v>3.9806453659427267E-12</v>
      </c>
      <c r="BH189" s="62">
        <f t="shared" si="116"/>
        <v>293.33333333333729</v>
      </c>
      <c r="BI189" s="62">
        <f ca="1">AVERAGE(OFFSET($BH$3,0,0,'Données projet'!$E$11+1,1))-AVERAGE(OFFSET($H$3,0,0,'Données projet'!$E$11+1,1))</f>
        <v>346.7910845218741</v>
      </c>
      <c r="BJ189" s="62">
        <f t="shared" si="146"/>
        <v>469.89734899725369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-6.7984728957526396E-14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207.59954777160192</v>
      </c>
      <c r="CE189" s="62">
        <f t="shared" si="148"/>
        <v>314.81017053732063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0.16698738553239645</v>
      </c>
      <c r="CL189" s="23">
        <f>EXP(-LN(2)/25)*CL188+(1-EXP(-LN(2)/25))/(LN(2)/25)*Calculateur!CG189*Calculateur!CI189*VLOOKUP('Données projet'!$B$12,Paramètres!$A$1:$I$89,3,0)*0.475*44/12</f>
        <v>7.0802250074837883E-2</v>
      </c>
      <c r="CM189" s="23">
        <f>EXP(-LN(2)/2)*CM188+(1-EXP(-LN(2)/2))/(LN(2)/2)*CG189*CJ189*VLOOKUP('Données projet'!$B$12,Paramètres!$A$1:$I$89,3,0)*0.475*44/12</f>
        <v>2.2784862932483884E-23</v>
      </c>
      <c r="CN189" s="24">
        <f t="shared" si="172"/>
        <v>0.23778963560723432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3.4106051316484809E-13</v>
      </c>
      <c r="CU189" s="18">
        <f>CT189*VLOOKUP('Données projet'!$B$13,Paramètres!$A$1:$I$89,3,0)*VLOOKUP('Données projet'!$B$13,Paramètres!$A$1:$I$89,5,0)</f>
        <v>2.5006556825246659E-13</v>
      </c>
      <c r="CV189" s="14">
        <f t="shared" si="173"/>
        <v>3.3765445850268018E-12</v>
      </c>
      <c r="CW189" s="22">
        <f t="shared" si="174"/>
        <v>6.3163460169613921E-12</v>
      </c>
      <c r="CX189" s="62">
        <f t="shared" si="122"/>
        <v>293.33333333333962</v>
      </c>
      <c r="CY189" s="62">
        <f ca="1">AVERAGE(OFFSET($CX$3,0,0,'Données projet'!$E$13+1,1))-AVERAGE(OFFSET($H$3,0,0,'Données projet'!$E$13+1,1))</f>
        <v>290.68086183422963</v>
      </c>
      <c r="CZ189" s="62">
        <f t="shared" si="150"/>
        <v>317.88330630101785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-9.2222762759774924E-13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476.8965664931755</v>
      </c>
      <c r="T190" s="62">
        <f t="shared" si="142"/>
        <v>254.25036207346591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-9.0949470177292824E-13</v>
      </c>
      <c r="AJ190" s="14">
        <f>AI190*VLOOKUP('Données projet'!$B$10,Paramètres!$A$1:$I$89,3,0)*VLOOKUP('Données projet'!$B$10,Paramètres!$A$1:$I$89,5,0)</f>
        <v>-8.2291080616414541E-13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430.11660085503223</v>
      </c>
      <c r="AO190" s="62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projet'!$B$11,Paramètres!$A$1:$I$89,3,0)*VLOOKUP('Données projet'!$B$11,Paramètres!$A$1:$I$89,5,0)</f>
        <v>1.4897523215040567E-13</v>
      </c>
      <c r="BF190" s="14">
        <f t="shared" si="167"/>
        <v>2.136562777003313E-12</v>
      </c>
      <c r="BG190" s="22">
        <f t="shared" si="168"/>
        <v>3.9806453659427267E-12</v>
      </c>
      <c r="BH190" s="62">
        <f t="shared" si="116"/>
        <v>293.33333333333729</v>
      </c>
      <c r="BI190" s="62">
        <f ca="1">AVERAGE(OFFSET($BH$3,0,0,'Données projet'!$E$11+1,1))-AVERAGE(OFFSET($H$3,0,0,'Données projet'!$E$11+1,1))</f>
        <v>346.7910845218741</v>
      </c>
      <c r="BJ190" s="62">
        <f t="shared" si="146"/>
        <v>469.89734899725369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-6.7984728957526396E-14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207.59954777160192</v>
      </c>
      <c r="CE190" s="62">
        <f t="shared" si="148"/>
        <v>314.81017053732063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0.16371286475435426</v>
      </c>
      <c r="CL190" s="23">
        <f>EXP(-LN(2)/25)*CL189+(1-EXP(-LN(2)/25))/(LN(2)/25)*Calculateur!CG190*Calculateur!CI190*VLOOKUP('Données projet'!$B$12,Paramètres!$A$1:$I$89,3,0)*0.475*44/12</f>
        <v>6.8866158823212925E-2</v>
      </c>
      <c r="CM190" s="23">
        <f>EXP(-LN(2)/2)*CM189+(1-EXP(-LN(2)/2))/(LN(2)/2)*CG190*CJ190*VLOOKUP('Données projet'!$B$12,Paramètres!$A$1:$I$89,3,0)*0.475*44/12</f>
        <v>1.6111331087965359E-23</v>
      </c>
      <c r="CN190" s="24">
        <f t="shared" si="172"/>
        <v>0.23257902357756718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3.4106051316484809E-13</v>
      </c>
      <c r="CU190" s="18">
        <f>CT190*VLOOKUP('Données projet'!$B$13,Paramètres!$A$1:$I$89,3,0)*VLOOKUP('Données projet'!$B$13,Paramètres!$A$1:$I$89,5,0)</f>
        <v>2.5006556825246659E-13</v>
      </c>
      <c r="CV190" s="14">
        <f t="shared" si="173"/>
        <v>3.3765445850268018E-12</v>
      </c>
      <c r="CW190" s="22">
        <f t="shared" si="174"/>
        <v>6.3163460169613921E-12</v>
      </c>
      <c r="CX190" s="62">
        <f t="shared" si="122"/>
        <v>293.33333333333962</v>
      </c>
      <c r="CY190" s="62">
        <f ca="1">AVERAGE(OFFSET($CX$3,0,0,'Données projet'!$E$13+1,1))-AVERAGE(OFFSET($H$3,0,0,'Données projet'!$E$13+1,1))</f>
        <v>290.68086183422963</v>
      </c>
      <c r="CZ190" s="62">
        <f t="shared" si="150"/>
        <v>317.88330630101785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-9.2222762759774924E-13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476.8965664931755</v>
      </c>
      <c r="T191" s="62">
        <f t="shared" si="142"/>
        <v>254.25036207346591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-9.0949470177292824E-13</v>
      </c>
      <c r="AJ191" s="14">
        <f>AI191*VLOOKUP('Données projet'!$B$10,Paramètres!$A$1:$I$89,3,0)*VLOOKUP('Données projet'!$B$10,Paramètres!$A$1:$I$89,5,0)</f>
        <v>-8.2291080616414541E-13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430.11660085503223</v>
      </c>
      <c r="AO191" s="62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projet'!$B$11,Paramètres!$A$1:$I$89,3,0)*VLOOKUP('Données projet'!$B$11,Paramètres!$A$1:$I$89,5,0)</f>
        <v>1.4897523215040567E-13</v>
      </c>
      <c r="BF191" s="14">
        <f t="shared" si="167"/>
        <v>2.136562777003313E-12</v>
      </c>
      <c r="BG191" s="22">
        <f t="shared" si="168"/>
        <v>3.9806453659427267E-12</v>
      </c>
      <c r="BH191" s="62">
        <f t="shared" si="116"/>
        <v>293.33333333333729</v>
      </c>
      <c r="BI191" s="62">
        <f ca="1">AVERAGE(OFFSET($BH$3,0,0,'Données projet'!$E$11+1,1))-AVERAGE(OFFSET($H$3,0,0,'Données projet'!$E$11+1,1))</f>
        <v>346.7910845218741</v>
      </c>
      <c r="BJ191" s="62">
        <f t="shared" si="146"/>
        <v>469.89734899725369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-6.7984728957526396E-14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207.59954777160192</v>
      </c>
      <c r="CE191" s="62">
        <f t="shared" si="148"/>
        <v>314.81017053732063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0.16050255533150901</v>
      </c>
      <c r="CL191" s="23">
        <f>EXP(-LN(2)/25)*CL190+(1-EXP(-LN(2)/25))/(LN(2)/25)*Calculateur!CG191*Calculateur!CI191*VLOOKUP('Données projet'!$B$12,Paramètres!$A$1:$I$89,3,0)*0.475*44/12</f>
        <v>6.6983010088678269E-2</v>
      </c>
      <c r="CM191" s="23">
        <f>EXP(-LN(2)/2)*CM190+(1-EXP(-LN(2)/2))/(LN(2)/2)*CG191*CJ191*VLOOKUP('Données projet'!$B$12,Paramètres!$A$1:$I$89,3,0)*0.475*44/12</f>
        <v>1.1392431466241942E-23</v>
      </c>
      <c r="CN191" s="24">
        <f t="shared" si="172"/>
        <v>0.22748556542018727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3.4106051316484809E-13</v>
      </c>
      <c r="CU191" s="18">
        <f>CT191*VLOOKUP('Données projet'!$B$13,Paramètres!$A$1:$I$89,3,0)*VLOOKUP('Données projet'!$B$13,Paramètres!$A$1:$I$89,5,0)</f>
        <v>2.5006556825246659E-13</v>
      </c>
      <c r="CV191" s="14">
        <f t="shared" si="173"/>
        <v>3.3765445850268018E-12</v>
      </c>
      <c r="CW191" s="22">
        <f t="shared" si="174"/>
        <v>6.3163460169613921E-12</v>
      </c>
      <c r="CX191" s="62">
        <f t="shared" si="122"/>
        <v>293.33333333333962</v>
      </c>
      <c r="CY191" s="62">
        <f ca="1">AVERAGE(OFFSET($CX$3,0,0,'Données projet'!$E$13+1,1))-AVERAGE(OFFSET($H$3,0,0,'Données projet'!$E$13+1,1))</f>
        <v>290.68086183422963</v>
      </c>
      <c r="CZ191" s="62">
        <f t="shared" si="150"/>
        <v>317.88330630101785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-9.2222762759774924E-13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476.8965664931755</v>
      </c>
      <c r="T192" s="62">
        <f t="shared" si="142"/>
        <v>254.25036207346591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-9.0949470177292824E-13</v>
      </c>
      <c r="AJ192" s="14">
        <f>AI192*VLOOKUP('Données projet'!$B$10,Paramètres!$A$1:$I$89,3,0)*VLOOKUP('Données projet'!$B$10,Paramètres!$A$1:$I$89,5,0)</f>
        <v>-8.2291080616414541E-13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430.11660085503223</v>
      </c>
      <c r="AO192" s="62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projet'!$B$11,Paramètres!$A$1:$I$89,3,0)*VLOOKUP('Données projet'!$B$11,Paramètres!$A$1:$I$89,5,0)</f>
        <v>1.4897523215040567E-13</v>
      </c>
      <c r="BF192" s="14">
        <f t="shared" si="167"/>
        <v>2.136562777003313E-12</v>
      </c>
      <c r="BG192" s="22">
        <f t="shared" si="168"/>
        <v>3.9806453659427267E-12</v>
      </c>
      <c r="BH192" s="62">
        <f t="shared" si="116"/>
        <v>293.33333333333729</v>
      </c>
      <c r="BI192" s="62">
        <f ca="1">AVERAGE(OFFSET($BH$3,0,0,'Données projet'!$E$11+1,1))-AVERAGE(OFFSET($H$3,0,0,'Données projet'!$E$11+1,1))</f>
        <v>346.7910845218741</v>
      </c>
      <c r="BJ192" s="62">
        <f t="shared" si="146"/>
        <v>469.89734899725369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-6.7984728957526396E-14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207.59954777160192</v>
      </c>
      <c r="CE192" s="62">
        <f t="shared" si="148"/>
        <v>314.81017053732063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0.15735519811835036</v>
      </c>
      <c r="CL192" s="23">
        <f>EXP(-LN(2)/25)*CL191+(1-EXP(-LN(2)/25))/(LN(2)/25)*Calculateur!CG192*Calculateur!CI192*VLOOKUP('Données projet'!$B$12,Paramètres!$A$1:$I$89,3,0)*0.475*44/12</f>
        <v>6.5151356155319959E-2</v>
      </c>
      <c r="CM192" s="23">
        <f>EXP(-LN(2)/2)*CM191+(1-EXP(-LN(2)/2))/(LN(2)/2)*CG192*CJ192*VLOOKUP('Données projet'!$B$12,Paramètres!$A$1:$I$89,3,0)*0.475*44/12</f>
        <v>8.0556655439826795E-24</v>
      </c>
      <c r="CN192" s="24">
        <f t="shared" si="172"/>
        <v>0.22250655427367033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3.4106051316484809E-13</v>
      </c>
      <c r="CU192" s="18">
        <f>CT192*VLOOKUP('Données projet'!$B$13,Paramètres!$A$1:$I$89,3,0)*VLOOKUP('Données projet'!$B$13,Paramètres!$A$1:$I$89,5,0)</f>
        <v>2.5006556825246659E-13</v>
      </c>
      <c r="CV192" s="14">
        <f t="shared" si="173"/>
        <v>3.3765445850268018E-12</v>
      </c>
      <c r="CW192" s="22">
        <f t="shared" si="174"/>
        <v>6.3163460169613921E-12</v>
      </c>
      <c r="CX192" s="62">
        <f t="shared" si="122"/>
        <v>293.33333333333962</v>
      </c>
      <c r="CY192" s="62">
        <f ca="1">AVERAGE(OFFSET($CX$3,0,0,'Données projet'!$E$13+1,1))-AVERAGE(OFFSET($H$3,0,0,'Données projet'!$E$13+1,1))</f>
        <v>290.68086183422963</v>
      </c>
      <c r="CZ192" s="62">
        <f t="shared" si="150"/>
        <v>317.88330630101785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-9.2222762759774924E-13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476.8965664931755</v>
      </c>
      <c r="T193" s="62">
        <f t="shared" si="142"/>
        <v>254.25036207346591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-9.0949470177292824E-13</v>
      </c>
      <c r="AJ193" s="14">
        <f>AI193*VLOOKUP('Données projet'!$B$10,Paramètres!$A$1:$I$89,3,0)*VLOOKUP('Données projet'!$B$10,Paramètres!$A$1:$I$89,5,0)</f>
        <v>-8.2291080616414541E-13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430.11660085503223</v>
      </c>
      <c r="AO193" s="62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projet'!$B$11,Paramètres!$A$1:$I$89,3,0)*VLOOKUP('Données projet'!$B$11,Paramètres!$A$1:$I$89,5,0)</f>
        <v>1.4897523215040567E-13</v>
      </c>
      <c r="BF193" s="14">
        <f t="shared" si="167"/>
        <v>2.136562777003313E-12</v>
      </c>
      <c r="BG193" s="22">
        <f t="shared" si="168"/>
        <v>3.9806453659427267E-12</v>
      </c>
      <c r="BH193" s="62">
        <f t="shared" si="116"/>
        <v>293.33333333333729</v>
      </c>
      <c r="BI193" s="62">
        <f ca="1">AVERAGE(OFFSET($BH$3,0,0,'Données projet'!$E$11+1,1))-AVERAGE(OFFSET($H$3,0,0,'Données projet'!$E$11+1,1))</f>
        <v>346.7910845218741</v>
      </c>
      <c r="BJ193" s="62">
        <f t="shared" si="146"/>
        <v>469.89734899725369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-6.7984728957526396E-14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207.59954777160192</v>
      </c>
      <c r="CE193" s="62">
        <f t="shared" si="148"/>
        <v>314.81017053732063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0.1542695586604434</v>
      </c>
      <c r="CL193" s="23">
        <f>EXP(-LN(2)/25)*CL192+(1-EXP(-LN(2)/25))/(LN(2)/25)*Calculateur!CG193*Calculateur!CI193*VLOOKUP('Données projet'!$B$12,Paramètres!$A$1:$I$89,3,0)*0.475*44/12</f>
        <v>6.3369788895091816E-2</v>
      </c>
      <c r="CM193" s="23">
        <f>EXP(-LN(2)/2)*CM192+(1-EXP(-LN(2)/2))/(LN(2)/2)*CG193*CJ193*VLOOKUP('Données projet'!$B$12,Paramètres!$A$1:$I$89,3,0)*0.475*44/12</f>
        <v>5.696215733120971E-24</v>
      </c>
      <c r="CN193" s="24">
        <f t="shared" si="172"/>
        <v>0.21763934755553521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3.4106051316484809E-13</v>
      </c>
      <c r="CU193" s="18">
        <f>CT193*VLOOKUP('Données projet'!$B$13,Paramètres!$A$1:$I$89,3,0)*VLOOKUP('Données projet'!$B$13,Paramètres!$A$1:$I$89,5,0)</f>
        <v>2.5006556825246659E-13</v>
      </c>
      <c r="CV193" s="14">
        <f t="shared" si="173"/>
        <v>3.3765445850268018E-12</v>
      </c>
      <c r="CW193" s="22">
        <f t="shared" si="174"/>
        <v>6.3163460169613921E-12</v>
      </c>
      <c r="CX193" s="62">
        <f t="shared" si="122"/>
        <v>293.33333333333962</v>
      </c>
      <c r="CY193" s="62">
        <f ca="1">AVERAGE(OFFSET($CX$3,0,0,'Données projet'!$E$13+1,1))-AVERAGE(OFFSET($H$3,0,0,'Données projet'!$E$13+1,1))</f>
        <v>290.68086183422963</v>
      </c>
      <c r="CZ193" s="62">
        <f t="shared" si="150"/>
        <v>317.88330630101785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-9.2222762759774924E-13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476.8965664931755</v>
      </c>
      <c r="T194" s="62">
        <f t="shared" si="142"/>
        <v>254.25036207346591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-9.0949470177292824E-13</v>
      </c>
      <c r="AJ194" s="14">
        <f>AI194*VLOOKUP('Données projet'!$B$10,Paramètres!$A$1:$I$89,3,0)*VLOOKUP('Données projet'!$B$10,Paramètres!$A$1:$I$89,5,0)</f>
        <v>-8.2291080616414541E-13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430.11660085503223</v>
      </c>
      <c r="AO194" s="62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projet'!$B$11,Paramètres!$A$1:$I$89,3,0)*VLOOKUP('Données projet'!$B$11,Paramètres!$A$1:$I$89,5,0)</f>
        <v>1.4897523215040567E-13</v>
      </c>
      <c r="BF194" s="14">
        <f t="shared" si="167"/>
        <v>2.136562777003313E-12</v>
      </c>
      <c r="BG194" s="22">
        <f t="shared" si="168"/>
        <v>3.9806453659427267E-12</v>
      </c>
      <c r="BH194" s="62">
        <f t="shared" si="116"/>
        <v>293.33333333333729</v>
      </c>
      <c r="BI194" s="62">
        <f ca="1">AVERAGE(OFFSET($BH$3,0,0,'Données projet'!$E$11+1,1))-AVERAGE(OFFSET($H$3,0,0,'Données projet'!$E$11+1,1))</f>
        <v>346.7910845218741</v>
      </c>
      <c r="BJ194" s="62">
        <f t="shared" si="146"/>
        <v>469.89734899725369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-6.7984728957526396E-14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207.59954777160192</v>
      </c>
      <c r="CE194" s="62">
        <f t="shared" si="148"/>
        <v>314.81017053732063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0.15124442671025176</v>
      </c>
      <c r="CL194" s="23">
        <f>EXP(-LN(2)/25)*CL193+(1-EXP(-LN(2)/25))/(LN(2)/25)*Calculateur!CG194*Calculateur!CI194*VLOOKUP('Données projet'!$B$12,Paramètres!$A$1:$I$89,3,0)*0.475*44/12</f>
        <v>6.1636938685283166E-2</v>
      </c>
      <c r="CM194" s="23">
        <f>EXP(-LN(2)/2)*CM193+(1-EXP(-LN(2)/2))/(LN(2)/2)*CG194*CJ194*VLOOKUP('Données projet'!$B$12,Paramètres!$A$1:$I$89,3,0)*0.475*44/12</f>
        <v>4.0278327719913398E-24</v>
      </c>
      <c r="CN194" s="24">
        <f t="shared" si="172"/>
        <v>0.21288136539553493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3.4106051316484809E-13</v>
      </c>
      <c r="CU194" s="18">
        <f>CT194*VLOOKUP('Données projet'!$B$13,Paramètres!$A$1:$I$89,3,0)*VLOOKUP('Données projet'!$B$13,Paramètres!$A$1:$I$89,5,0)</f>
        <v>2.5006556825246659E-13</v>
      </c>
      <c r="CV194" s="14">
        <f t="shared" si="173"/>
        <v>3.3765445850268018E-12</v>
      </c>
      <c r="CW194" s="22">
        <f t="shared" si="174"/>
        <v>6.3163460169613921E-12</v>
      </c>
      <c r="CX194" s="62">
        <f t="shared" si="122"/>
        <v>293.33333333333962</v>
      </c>
      <c r="CY194" s="62">
        <f ca="1">AVERAGE(OFFSET($CX$3,0,0,'Données projet'!$E$13+1,1))-AVERAGE(OFFSET($H$3,0,0,'Données projet'!$E$13+1,1))</f>
        <v>290.68086183422963</v>
      </c>
      <c r="CZ194" s="62">
        <f t="shared" si="150"/>
        <v>317.88330630101785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-9.2222762759774924E-13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476.8965664931755</v>
      </c>
      <c r="T195" s="62">
        <f t="shared" si="142"/>
        <v>254.25036207346591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-9.0949470177292824E-13</v>
      </c>
      <c r="AJ195" s="14">
        <f>AI195*VLOOKUP('Données projet'!$B$10,Paramètres!$A$1:$I$89,3,0)*VLOOKUP('Données projet'!$B$10,Paramètres!$A$1:$I$89,5,0)</f>
        <v>-8.2291080616414541E-13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430.11660085503223</v>
      </c>
      <c r="AO195" s="62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projet'!$B$11,Paramètres!$A$1:$I$89,3,0)*VLOOKUP('Données projet'!$B$11,Paramètres!$A$1:$I$89,5,0)</f>
        <v>1.4897523215040567E-13</v>
      </c>
      <c r="BF195" s="14">
        <f t="shared" si="167"/>
        <v>2.136562777003313E-12</v>
      </c>
      <c r="BG195" s="22">
        <f t="shared" si="168"/>
        <v>3.9806453659427267E-12</v>
      </c>
      <c r="BH195" s="62">
        <f t="shared" si="116"/>
        <v>293.33333333333729</v>
      </c>
      <c r="BI195" s="62">
        <f ca="1">AVERAGE(OFFSET($BH$3,0,0,'Données projet'!$E$11+1,1))-AVERAGE(OFFSET($H$3,0,0,'Données projet'!$E$11+1,1))</f>
        <v>346.7910845218741</v>
      </c>
      <c r="BJ195" s="62">
        <f t="shared" si="146"/>
        <v>469.89734899725369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-6.7984728957526396E-14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207.59954777160192</v>
      </c>
      <c r="CE195" s="62">
        <f t="shared" si="148"/>
        <v>314.81017053732063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0.1482786157524551</v>
      </c>
      <c r="CL195" s="23">
        <f>EXP(-LN(2)/25)*CL194+(1-EXP(-LN(2)/25))/(LN(2)/25)*Calculateur!CG195*Calculateur!CI195*VLOOKUP('Données projet'!$B$12,Paramètres!$A$1:$I$89,3,0)*0.475*44/12</f>
        <v>5.9951473355588362E-2</v>
      </c>
      <c r="CM195" s="23">
        <f>EXP(-LN(2)/2)*CM194+(1-EXP(-LN(2)/2))/(LN(2)/2)*CG195*CJ195*VLOOKUP('Données projet'!$B$12,Paramètres!$A$1:$I$89,3,0)*0.475*44/12</f>
        <v>2.8481078665604855E-24</v>
      </c>
      <c r="CN195" s="24">
        <f t="shared" si="172"/>
        <v>0.20823008910804347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3.4106051316484809E-13</v>
      </c>
      <c r="CU195" s="18">
        <f>CT195*VLOOKUP('Données projet'!$B$13,Paramètres!$A$1:$I$89,3,0)*VLOOKUP('Données projet'!$B$13,Paramètres!$A$1:$I$89,5,0)</f>
        <v>2.5006556825246659E-13</v>
      </c>
      <c r="CV195" s="14">
        <f t="shared" si="173"/>
        <v>3.3765445850268018E-12</v>
      </c>
      <c r="CW195" s="22">
        <f t="shared" si="174"/>
        <v>6.3163460169613921E-12</v>
      </c>
      <c r="CX195" s="62">
        <f t="shared" si="122"/>
        <v>293.33333333333962</v>
      </c>
      <c r="CY195" s="62">
        <f ca="1">AVERAGE(OFFSET($CX$3,0,0,'Données projet'!$E$13+1,1))-AVERAGE(OFFSET($H$3,0,0,'Données projet'!$E$13+1,1))</f>
        <v>290.68086183422963</v>
      </c>
      <c r="CZ195" s="62">
        <f t="shared" si="150"/>
        <v>317.88330630101785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-9.2222762759774924E-13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476.8965664931755</v>
      </c>
      <c r="T196" s="62">
        <f t="shared" si="142"/>
        <v>254.25036207346591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-9.0949470177292824E-13</v>
      </c>
      <c r="AJ196" s="14">
        <f>AI196*VLOOKUP('Données projet'!$B$10,Paramètres!$A$1:$I$89,3,0)*VLOOKUP('Données projet'!$B$10,Paramètres!$A$1:$I$89,5,0)</f>
        <v>-8.2291080616414541E-13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430.11660085503223</v>
      </c>
      <c r="AO196" s="62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projet'!$B$11,Paramètres!$A$1:$I$89,3,0)*VLOOKUP('Données projet'!$B$11,Paramètres!$A$1:$I$89,5,0)</f>
        <v>1.4897523215040567E-13</v>
      </c>
      <c r="BF196" s="14">
        <f t="shared" si="167"/>
        <v>2.136562777003313E-12</v>
      </c>
      <c r="BG196" s="22">
        <f t="shared" si="168"/>
        <v>3.9806453659427267E-12</v>
      </c>
      <c r="BH196" s="62">
        <f t="shared" ref="BH196:BH203" si="194">BG196+(AY196+AZ196)*44/12</f>
        <v>293.33333333333729</v>
      </c>
      <c r="BI196" s="62">
        <f ca="1">AVERAGE(OFFSET($BH$3,0,0,'Données projet'!$E$11+1,1))-AVERAGE(OFFSET($H$3,0,0,'Données projet'!$E$11+1,1))</f>
        <v>346.7910845218741</v>
      </c>
      <c r="BJ196" s="62">
        <f t="shared" si="146"/>
        <v>469.89734899725369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-6.7984728957526396E-14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207.59954777160192</v>
      </c>
      <c r="CE196" s="62">
        <f t="shared" si="148"/>
        <v>314.81017053732063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0.14537096253857476</v>
      </c>
      <c r="CL196" s="23">
        <f>EXP(-LN(2)/25)*CL195+(1-EXP(-LN(2)/25))/(LN(2)/25)*Calculateur!CG196*Calculateur!CI196*VLOOKUP('Données projet'!$B$12,Paramètres!$A$1:$I$89,3,0)*0.475*44/12</f>
        <v>5.8312097163968839E-2</v>
      </c>
      <c r="CM196" s="23">
        <f>EXP(-LN(2)/2)*CM195+(1-EXP(-LN(2)/2))/(LN(2)/2)*CG196*CJ196*VLOOKUP('Données projet'!$B$12,Paramètres!$A$1:$I$89,3,0)*0.475*44/12</f>
        <v>2.0139163859956699E-24</v>
      </c>
      <c r="CN196" s="24">
        <f t="shared" si="172"/>
        <v>0.20368305970254361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3.4106051316484809E-13</v>
      </c>
      <c r="CU196" s="18">
        <f>CT196*VLOOKUP('Données projet'!$B$13,Paramètres!$A$1:$I$89,3,0)*VLOOKUP('Données projet'!$B$13,Paramètres!$A$1:$I$89,5,0)</f>
        <v>2.5006556825246659E-13</v>
      </c>
      <c r="CV196" s="14">
        <f t="shared" si="173"/>
        <v>3.3765445850268018E-12</v>
      </c>
      <c r="CW196" s="22">
        <f t="shared" si="174"/>
        <v>6.3163460169613921E-12</v>
      </c>
      <c r="CX196" s="62">
        <f t="shared" ref="CX196:CX203" si="196">CW196+(CO196+CP196)*44/12</f>
        <v>293.33333333333962</v>
      </c>
      <c r="CY196" s="62">
        <f ca="1">AVERAGE(OFFSET($CX$3,0,0,'Données projet'!$E$13+1,1))-AVERAGE(OFFSET($H$3,0,0,'Données projet'!$E$13+1,1))</f>
        <v>290.68086183422963</v>
      </c>
      <c r="CZ196" s="62">
        <f t="shared" si="150"/>
        <v>317.88330630101785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-9.2222762759774924E-13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476.8965664931755</v>
      </c>
      <c r="T197" s="62">
        <f t="shared" ref="T197:T203" si="204">$T$3</f>
        <v>254.25036207346591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-9.0949470177292824E-13</v>
      </c>
      <c r="AJ197" s="14">
        <f>AI197*VLOOKUP('Données projet'!$B$10,Paramètres!$A$1:$I$89,3,0)*VLOOKUP('Données projet'!$B$10,Paramètres!$A$1:$I$89,5,0)</f>
        <v>-8.2291080616414541E-13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430.11660085503223</v>
      </c>
      <c r="AO197" s="62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projet'!$B$11,Paramètres!$A$1:$I$89,3,0)*VLOOKUP('Données projet'!$B$11,Paramètres!$A$1:$I$89,5,0)</f>
        <v>1.4897523215040567E-13</v>
      </c>
      <c r="BF197" s="14">
        <f t="shared" si="167"/>
        <v>2.136562777003313E-12</v>
      </c>
      <c r="BG197" s="22">
        <f t="shared" si="168"/>
        <v>3.9806453659427267E-12</v>
      </c>
      <c r="BH197" s="62">
        <f t="shared" si="194"/>
        <v>293.33333333333729</v>
      </c>
      <c r="BI197" s="62">
        <f ca="1">AVERAGE(OFFSET($BH$3,0,0,'Données projet'!$E$11+1,1))-AVERAGE(OFFSET($H$3,0,0,'Données projet'!$E$11+1,1))</f>
        <v>346.7910845218741</v>
      </c>
      <c r="BJ197" s="62">
        <f t="shared" ref="BJ197:BJ203" si="206">$BJ$3</f>
        <v>469.89734899725369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-6.7984728957526396E-14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207.59954777160192</v>
      </c>
      <c r="CE197" s="62">
        <f t="shared" ref="CE197:CE203" si="207">$CE$3</f>
        <v>314.81017053732063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0.14252032663072528</v>
      </c>
      <c r="CL197" s="23">
        <f>EXP(-LN(2)/25)*CL196+(1-EXP(-LN(2)/25))/(LN(2)/25)*Calculateur!CG197*Calculateur!CI197*VLOOKUP('Données projet'!$B$12,Paramètres!$A$1:$I$89,3,0)*0.475*44/12</f>
        <v>5.6717549800520198E-2</v>
      </c>
      <c r="CM197" s="23">
        <f>EXP(-LN(2)/2)*CM196+(1-EXP(-LN(2)/2))/(LN(2)/2)*CG197*CJ197*VLOOKUP('Données projet'!$B$12,Paramètres!$A$1:$I$89,3,0)*0.475*44/12</f>
        <v>1.4240539332802428E-24</v>
      </c>
      <c r="CN197" s="24">
        <f t="shared" si="172"/>
        <v>0.19923787643124546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3.4106051316484809E-13</v>
      </c>
      <c r="CU197" s="18">
        <f>CT197*VLOOKUP('Données projet'!$B$13,Paramètres!$A$1:$I$89,3,0)*VLOOKUP('Données projet'!$B$13,Paramètres!$A$1:$I$89,5,0)</f>
        <v>2.5006556825246659E-13</v>
      </c>
      <c r="CV197" s="14">
        <f t="shared" si="173"/>
        <v>3.3765445850268018E-12</v>
      </c>
      <c r="CW197" s="22">
        <f t="shared" si="174"/>
        <v>6.3163460169613921E-12</v>
      </c>
      <c r="CX197" s="62">
        <f t="shared" si="196"/>
        <v>293.33333333333962</v>
      </c>
      <c r="CY197" s="62">
        <f ca="1">AVERAGE(OFFSET($CX$3,0,0,'Données projet'!$E$13+1,1))-AVERAGE(OFFSET($H$3,0,0,'Données projet'!$E$13+1,1))</f>
        <v>290.68086183422963</v>
      </c>
      <c r="CZ197" s="62">
        <f t="shared" ref="CZ197:CZ203" si="208">$CZ$3</f>
        <v>317.88330630101785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-9.2222762759774924E-13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476.8965664931755</v>
      </c>
      <c r="T198" s="62">
        <f t="shared" si="204"/>
        <v>254.25036207346591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-9.0949470177292824E-13</v>
      </c>
      <c r="AJ198" s="14">
        <f>AI198*VLOOKUP('Données projet'!$B$10,Paramètres!$A$1:$I$89,3,0)*VLOOKUP('Données projet'!$B$10,Paramètres!$A$1:$I$89,5,0)</f>
        <v>-8.2291080616414541E-13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430.11660085503223</v>
      </c>
      <c r="AO198" s="62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projet'!$B$11,Paramètres!$A$1:$I$89,3,0)*VLOOKUP('Données projet'!$B$11,Paramètres!$A$1:$I$89,5,0)</f>
        <v>1.4897523215040567E-13</v>
      </c>
      <c r="BF198" s="14">
        <f t="shared" si="167"/>
        <v>2.136562777003313E-12</v>
      </c>
      <c r="BG198" s="22">
        <f t="shared" si="168"/>
        <v>3.9806453659427267E-12</v>
      </c>
      <c r="BH198" s="62">
        <f t="shared" si="194"/>
        <v>293.33333333333729</v>
      </c>
      <c r="BI198" s="62">
        <f ca="1">AVERAGE(OFFSET($BH$3,0,0,'Données projet'!$E$11+1,1))-AVERAGE(OFFSET($H$3,0,0,'Données projet'!$E$11+1,1))</f>
        <v>346.7910845218741</v>
      </c>
      <c r="BJ198" s="62">
        <f t="shared" si="206"/>
        <v>469.89734899725369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-6.7984728957526396E-14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207.59954777160192</v>
      </c>
      <c r="CE198" s="62">
        <f t="shared" si="207"/>
        <v>314.81017053732063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0.1397255899543125</v>
      </c>
      <c r="CL198" s="23">
        <f>EXP(-LN(2)/25)*CL197+(1-EXP(-LN(2)/25))/(LN(2)/25)*Calculateur!CG198*Calculateur!CI198*VLOOKUP('Données projet'!$B$12,Paramètres!$A$1:$I$89,3,0)*0.475*44/12</f>
        <v>5.5166605418578658E-2</v>
      </c>
      <c r="CM198" s="23">
        <f>EXP(-LN(2)/2)*CM197+(1-EXP(-LN(2)/2))/(LN(2)/2)*CG198*CJ198*VLOOKUP('Données projet'!$B$12,Paramètres!$A$1:$I$89,3,0)*0.475*44/12</f>
        <v>1.0069581929978349E-24</v>
      </c>
      <c r="CN198" s="24">
        <f t="shared" si="172"/>
        <v>0.19489219537289115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3.4106051316484809E-13</v>
      </c>
      <c r="CU198" s="18">
        <f>CT198*VLOOKUP('Données projet'!$B$13,Paramètres!$A$1:$I$89,3,0)*VLOOKUP('Données projet'!$B$13,Paramètres!$A$1:$I$89,5,0)</f>
        <v>2.5006556825246659E-13</v>
      </c>
      <c r="CV198" s="14">
        <f t="shared" si="173"/>
        <v>3.3765445850268018E-12</v>
      </c>
      <c r="CW198" s="22">
        <f t="shared" si="174"/>
        <v>6.3163460169613921E-12</v>
      </c>
      <c r="CX198" s="62">
        <f t="shared" si="196"/>
        <v>293.33333333333962</v>
      </c>
      <c r="CY198" s="62">
        <f ca="1">AVERAGE(OFFSET($CX$3,0,0,'Données projet'!$E$13+1,1))-AVERAGE(OFFSET($H$3,0,0,'Données projet'!$E$13+1,1))</f>
        <v>290.68086183422963</v>
      </c>
      <c r="CZ198" s="62">
        <f t="shared" si="208"/>
        <v>317.88330630101785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-9.2222762759774924E-13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476.8965664931755</v>
      </c>
      <c r="T199" s="62">
        <f t="shared" si="204"/>
        <v>254.25036207346591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-9.0949470177292824E-13</v>
      </c>
      <c r="AJ199" s="14">
        <f>AI199*VLOOKUP('Données projet'!$B$10,Paramètres!$A$1:$I$89,3,0)*VLOOKUP('Données projet'!$B$10,Paramètres!$A$1:$I$89,5,0)</f>
        <v>-8.2291080616414541E-13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430.11660085503223</v>
      </c>
      <c r="AO199" s="62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projet'!$B$11,Paramètres!$A$1:$I$89,3,0)*VLOOKUP('Données projet'!$B$11,Paramètres!$A$1:$I$89,5,0)</f>
        <v>1.4897523215040567E-13</v>
      </c>
      <c r="BF199" s="14">
        <f t="shared" si="167"/>
        <v>2.136562777003313E-12</v>
      </c>
      <c r="BG199" s="22">
        <f t="shared" si="168"/>
        <v>3.9806453659427267E-12</v>
      </c>
      <c r="BH199" s="62">
        <f t="shared" si="194"/>
        <v>293.33333333333729</v>
      </c>
      <c r="BI199" s="62">
        <f ca="1">AVERAGE(OFFSET($BH$3,0,0,'Données projet'!$E$11+1,1))-AVERAGE(OFFSET($H$3,0,0,'Données projet'!$E$11+1,1))</f>
        <v>346.7910845218741</v>
      </c>
      <c r="BJ199" s="62">
        <f t="shared" si="206"/>
        <v>469.89734899725369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-6.7984728957526396E-14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207.59954777160192</v>
      </c>
      <c r="CE199" s="62">
        <f t="shared" si="207"/>
        <v>314.81017053732063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0.13698565635950311</v>
      </c>
      <c r="CL199" s="23">
        <f>EXP(-LN(2)/25)*CL198+(1-EXP(-LN(2)/25))/(LN(2)/25)*Calculateur!CG199*Calculateur!CI199*VLOOKUP('Données projet'!$B$12,Paramètres!$A$1:$I$89,3,0)*0.475*44/12</f>
        <v>5.3658071692321931E-2</v>
      </c>
      <c r="CM199" s="23">
        <f>EXP(-LN(2)/2)*CM198+(1-EXP(-LN(2)/2))/(LN(2)/2)*CG199*CJ199*VLOOKUP('Données projet'!$B$12,Paramètres!$A$1:$I$89,3,0)*0.475*44/12</f>
        <v>7.1202696664012138E-25</v>
      </c>
      <c r="CN199" s="24">
        <f t="shared" si="172"/>
        <v>0.19064372805182503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3.4106051316484809E-13</v>
      </c>
      <c r="CU199" s="18">
        <f>CT199*VLOOKUP('Données projet'!$B$13,Paramètres!$A$1:$I$89,3,0)*VLOOKUP('Données projet'!$B$13,Paramètres!$A$1:$I$89,5,0)</f>
        <v>2.5006556825246659E-13</v>
      </c>
      <c r="CV199" s="14">
        <f t="shared" si="173"/>
        <v>3.3765445850268018E-12</v>
      </c>
      <c r="CW199" s="22">
        <f t="shared" si="174"/>
        <v>6.3163460169613921E-12</v>
      </c>
      <c r="CX199" s="62">
        <f t="shared" si="196"/>
        <v>293.33333333333962</v>
      </c>
      <c r="CY199" s="62">
        <f ca="1">AVERAGE(OFFSET($CX$3,0,0,'Données projet'!$E$13+1,1))-AVERAGE(OFFSET($H$3,0,0,'Données projet'!$E$13+1,1))</f>
        <v>290.68086183422963</v>
      </c>
      <c r="CZ199" s="62">
        <f t="shared" si="208"/>
        <v>317.88330630101785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-9.2222762759774924E-13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476.8965664931755</v>
      </c>
      <c r="T200" s="62">
        <f t="shared" si="204"/>
        <v>254.25036207346591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-9.0949470177292824E-13</v>
      </c>
      <c r="AJ200" s="14">
        <f>AI200*VLOOKUP('Données projet'!$B$10,Paramètres!$A$1:$I$89,3,0)*VLOOKUP('Données projet'!$B$10,Paramètres!$A$1:$I$89,5,0)</f>
        <v>-8.2291080616414541E-13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430.11660085503223</v>
      </c>
      <c r="AO200" s="62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projet'!$B$11,Paramètres!$A$1:$I$89,3,0)*VLOOKUP('Données projet'!$B$11,Paramètres!$A$1:$I$89,5,0)</f>
        <v>1.4897523215040567E-13</v>
      </c>
      <c r="BF200" s="14">
        <f t="shared" si="167"/>
        <v>2.136562777003313E-12</v>
      </c>
      <c r="BG200" s="22">
        <f t="shared" si="168"/>
        <v>3.9806453659427267E-12</v>
      </c>
      <c r="BH200" s="62">
        <f t="shared" si="194"/>
        <v>293.33333333333729</v>
      </c>
      <c r="BI200" s="62">
        <f ca="1">AVERAGE(OFFSET($BH$3,0,0,'Données projet'!$E$11+1,1))-AVERAGE(OFFSET($H$3,0,0,'Données projet'!$E$11+1,1))</f>
        <v>346.7910845218741</v>
      </c>
      <c r="BJ200" s="62">
        <f t="shared" si="206"/>
        <v>469.89734899725369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-6.7984728957526396E-14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207.59954777160192</v>
      </c>
      <c r="CE200" s="62">
        <f t="shared" si="207"/>
        <v>314.81017053732063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0.13429945119129347</v>
      </c>
      <c r="CL200" s="23">
        <f>EXP(-LN(2)/25)*CL199+(1-EXP(-LN(2)/25))/(LN(2)/25)*Calculateur!CG200*Calculateur!CI200*VLOOKUP('Données projet'!$B$12,Paramètres!$A$1:$I$89,3,0)*0.475*44/12</f>
        <v>5.2190788900140034E-2</v>
      </c>
      <c r="CM200" s="23">
        <f>EXP(-LN(2)/2)*CM199+(1-EXP(-LN(2)/2))/(LN(2)/2)*CG200*CJ200*VLOOKUP('Données projet'!$B$12,Paramètres!$A$1:$I$89,3,0)*0.475*44/12</f>
        <v>5.0347909649891747E-25</v>
      </c>
      <c r="CN200" s="24">
        <f t="shared" si="172"/>
        <v>0.1864902400914335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3.4106051316484809E-13</v>
      </c>
      <c r="CU200" s="18">
        <f>CT200*VLOOKUP('Données projet'!$B$13,Paramètres!$A$1:$I$89,3,0)*VLOOKUP('Données projet'!$B$13,Paramètres!$A$1:$I$89,5,0)</f>
        <v>2.5006556825246659E-13</v>
      </c>
      <c r="CV200" s="14">
        <f t="shared" si="173"/>
        <v>3.3765445850268018E-12</v>
      </c>
      <c r="CW200" s="22">
        <f t="shared" si="174"/>
        <v>6.3163460169613921E-12</v>
      </c>
      <c r="CX200" s="62">
        <f t="shared" si="196"/>
        <v>293.33333333333962</v>
      </c>
      <c r="CY200" s="62">
        <f ca="1">AVERAGE(OFFSET($CX$3,0,0,'Données projet'!$E$13+1,1))-AVERAGE(OFFSET($H$3,0,0,'Données projet'!$E$13+1,1))</f>
        <v>290.68086183422963</v>
      </c>
      <c r="CZ200" s="62">
        <f t="shared" si="208"/>
        <v>317.88330630101785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-9.2222762759774924E-13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476.8965664931755</v>
      </c>
      <c r="T201" s="62">
        <f t="shared" si="204"/>
        <v>254.25036207346591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-9.0949470177292824E-13</v>
      </c>
      <c r="AJ201" s="14">
        <f>AI201*VLOOKUP('Données projet'!$B$10,Paramètres!$A$1:$I$89,3,0)*VLOOKUP('Données projet'!$B$10,Paramètres!$A$1:$I$89,5,0)</f>
        <v>-8.2291080616414541E-13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430.11660085503223</v>
      </c>
      <c r="AO201" s="62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projet'!$B$11,Paramètres!$A$1:$I$89,3,0)*VLOOKUP('Données projet'!$B$11,Paramètres!$A$1:$I$89,5,0)</f>
        <v>1.4897523215040567E-13</v>
      </c>
      <c r="BF201" s="14">
        <f t="shared" si="167"/>
        <v>2.136562777003313E-12</v>
      </c>
      <c r="BG201" s="22">
        <f t="shared" si="168"/>
        <v>3.9806453659427267E-12</v>
      </c>
      <c r="BH201" s="62">
        <f t="shared" si="194"/>
        <v>293.33333333333729</v>
      </c>
      <c r="BI201" s="62">
        <f ca="1">AVERAGE(OFFSET($BH$3,0,0,'Données projet'!$E$11+1,1))-AVERAGE(OFFSET($H$3,0,0,'Données projet'!$E$11+1,1))</f>
        <v>346.7910845218741</v>
      </c>
      <c r="BJ201" s="62">
        <f t="shared" si="206"/>
        <v>469.89734899725369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-6.7984728957526396E-14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207.59954777160192</v>
      </c>
      <c r="CE201" s="62">
        <f t="shared" si="207"/>
        <v>314.81017053732063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0.13166592086800905</v>
      </c>
      <c r="CL201" s="23">
        <f>EXP(-LN(2)/25)*CL200+(1-EXP(-LN(2)/25))/(LN(2)/25)*Calculateur!CG201*Calculateur!CI201*VLOOKUP('Données projet'!$B$12,Paramètres!$A$1:$I$89,3,0)*0.475*44/12</f>
        <v>5.0763629033071397E-2</v>
      </c>
      <c r="CM201" s="23">
        <f>EXP(-LN(2)/2)*CM200+(1-EXP(-LN(2)/2))/(LN(2)/2)*CG201*CJ201*VLOOKUP('Données projet'!$B$12,Paramètres!$A$1:$I$89,3,0)*0.475*44/12</f>
        <v>3.5601348332006069E-25</v>
      </c>
      <c r="CN201" s="24">
        <f t="shared" si="172"/>
        <v>0.18242954990108046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3.4106051316484809E-13</v>
      </c>
      <c r="CU201" s="18">
        <f>CT201*VLOOKUP('Données projet'!$B$13,Paramètres!$A$1:$I$89,3,0)*VLOOKUP('Données projet'!$B$13,Paramètres!$A$1:$I$89,5,0)</f>
        <v>2.5006556825246659E-13</v>
      </c>
      <c r="CV201" s="14">
        <f t="shared" si="173"/>
        <v>3.3765445850268018E-12</v>
      </c>
      <c r="CW201" s="22">
        <f t="shared" si="174"/>
        <v>6.3163460169613921E-12</v>
      </c>
      <c r="CX201" s="62">
        <f t="shared" si="196"/>
        <v>293.33333333333962</v>
      </c>
      <c r="CY201" s="62">
        <f ca="1">AVERAGE(OFFSET($CX$3,0,0,'Données projet'!$E$13+1,1))-AVERAGE(OFFSET($H$3,0,0,'Données projet'!$E$13+1,1))</f>
        <v>290.68086183422963</v>
      </c>
      <c r="CZ201" s="62">
        <f t="shared" si="208"/>
        <v>317.88330630101785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-9.2222762759774924E-13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476.8965664931755</v>
      </c>
      <c r="T202" s="62">
        <f t="shared" si="204"/>
        <v>254.25036207346591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-9.0949470177292824E-13</v>
      </c>
      <c r="AJ202" s="14">
        <f>AI202*VLOOKUP('Données projet'!$B$10,Paramètres!$A$1:$I$89,3,0)*VLOOKUP('Données projet'!$B$10,Paramètres!$A$1:$I$89,5,0)</f>
        <v>-8.2291080616414541E-13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430.11660085503223</v>
      </c>
      <c r="AO202" s="62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projet'!$B$11,Paramètres!$A$1:$I$89,3,0)*VLOOKUP('Données projet'!$B$11,Paramètres!$A$1:$I$89,5,0)</f>
        <v>1.4897523215040567E-13</v>
      </c>
      <c r="BF202" s="14">
        <f t="shared" si="167"/>
        <v>2.136562777003313E-12</v>
      </c>
      <c r="BG202" s="22">
        <f t="shared" si="168"/>
        <v>3.9806453659427267E-12</v>
      </c>
      <c r="BH202" s="62">
        <f t="shared" si="194"/>
        <v>293.33333333333729</v>
      </c>
      <c r="BI202" s="62">
        <f ca="1">AVERAGE(OFFSET($BH$3,0,0,'Données projet'!$E$11+1,1))-AVERAGE(OFFSET($H$3,0,0,'Données projet'!$E$11+1,1))</f>
        <v>346.7910845218741</v>
      </c>
      <c r="BJ202" s="62">
        <f t="shared" si="206"/>
        <v>469.89734899725369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-6.7984728957526396E-14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207.59954777160192</v>
      </c>
      <c r="CE202" s="62">
        <f t="shared" si="207"/>
        <v>314.81017053732063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0.12908403246806932</v>
      </c>
      <c r="CL202" s="23">
        <f>EXP(-LN(2)/25)*CL201+(1-EXP(-LN(2)/25))/(LN(2)/25)*Calculateur!CG202*Calculateur!CI202*VLOOKUP('Données projet'!$B$12,Paramètres!$A$1:$I$89,3,0)*0.475*44/12</f>
        <v>4.9375494927618828E-2</v>
      </c>
      <c r="CM202" s="23">
        <f>EXP(-LN(2)/2)*CM201+(1-EXP(-LN(2)/2))/(LN(2)/2)*CG202*CJ202*VLOOKUP('Données projet'!$B$12,Paramètres!$A$1:$I$89,3,0)*0.475*44/12</f>
        <v>2.5173954824945874E-25</v>
      </c>
      <c r="CN202" s="24">
        <f t="shared" si="172"/>
        <v>0.17845952739568816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3.4106051316484809E-13</v>
      </c>
      <c r="CU202" s="18">
        <f>CT202*VLOOKUP('Données projet'!$B$13,Paramètres!$A$1:$I$89,3,0)*VLOOKUP('Données projet'!$B$13,Paramètres!$A$1:$I$89,5,0)</f>
        <v>2.5006556825246659E-13</v>
      </c>
      <c r="CV202" s="14">
        <f t="shared" si="173"/>
        <v>3.3765445850268018E-12</v>
      </c>
      <c r="CW202" s="22">
        <f t="shared" si="174"/>
        <v>6.3163460169613921E-12</v>
      </c>
      <c r="CX202" s="62">
        <f t="shared" si="196"/>
        <v>293.33333333333962</v>
      </c>
      <c r="CY202" s="62">
        <f ca="1">AVERAGE(OFFSET($CX$3,0,0,'Données projet'!$E$13+1,1))-AVERAGE(OFFSET($H$3,0,0,'Données projet'!$E$13+1,1))</f>
        <v>290.68086183422963</v>
      </c>
      <c r="CZ202" s="62">
        <f t="shared" si="208"/>
        <v>317.88330630101785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-9.2222762759774924E-13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476.8965664931755</v>
      </c>
      <c r="T203" s="62">
        <f t="shared" si="204"/>
        <v>254.25036207346591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-9.0949470177292824E-13</v>
      </c>
      <c r="AJ203" s="14">
        <f>AI203*VLOOKUP('Données projet'!$B$10,Paramètres!$A$1:$I$89,3,0)*VLOOKUP('Données projet'!$B$10,Paramètres!$A$1:$I$89,5,0)</f>
        <v>-8.2291080616414541E-13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430.11660085503223</v>
      </c>
      <c r="AO203" s="62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projet'!$B$11,Paramètres!$A$1:$I$89,3,0)*VLOOKUP('Données projet'!$B$11,Paramètres!$A$1:$I$89,5,0)</f>
        <v>1.4897523215040567E-13</v>
      </c>
      <c r="BF203" s="14">
        <f t="shared" si="167"/>
        <v>2.136562777003313E-12</v>
      </c>
      <c r="BG203" s="22">
        <f t="shared" si="168"/>
        <v>3.9806453659427267E-12</v>
      </c>
      <c r="BH203" s="62">
        <f t="shared" si="194"/>
        <v>293.33333333333729</v>
      </c>
      <c r="BI203" s="62">
        <f ca="1">AVERAGE(OFFSET($BH$3,0,0,'Données projet'!$E$11+1,1))-AVERAGE(OFFSET($H$3,0,0,'Données projet'!$E$11+1,1))</f>
        <v>346.7910845218741</v>
      </c>
      <c r="BJ203" s="62">
        <f t="shared" si="206"/>
        <v>469.89734899725369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-6.7984728957526396E-14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207.59954777160192</v>
      </c>
      <c r="CE203" s="62">
        <f t="shared" si="207"/>
        <v>314.81017053732063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0.12655277332485601</v>
      </c>
      <c r="CL203" s="23">
        <f>EXP(-LN(2)/25)*CL202+(1-EXP(-LN(2)/25))/(LN(2)/25)*Calculateur!CG203*Calculateur!CI203*VLOOKUP('Données projet'!$B$12,Paramètres!$A$1:$I$89,3,0)*0.475*44/12</f>
        <v>4.802531942227866E-2</v>
      </c>
      <c r="CM203" s="23">
        <f>EXP(-LN(2)/2)*CM202+(1-EXP(-LN(2)/2))/(LN(2)/2)*CG203*CJ203*VLOOKUP('Données projet'!$B$12,Paramètres!$A$1:$I$89,3,0)*0.475*44/12</f>
        <v>1.7800674166003034E-25</v>
      </c>
      <c r="CN203" s="24">
        <f t="shared" si="172"/>
        <v>0.17457809274713468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3.4106051316484809E-13</v>
      </c>
      <c r="CU203" s="18">
        <f>CT203*VLOOKUP('Données projet'!$B$13,Paramètres!$A$1:$I$89,3,0)*VLOOKUP('Données projet'!$B$13,Paramètres!$A$1:$I$89,5,0)</f>
        <v>2.5006556825246659E-13</v>
      </c>
      <c r="CV203" s="14">
        <f t="shared" si="173"/>
        <v>3.3765445850268018E-12</v>
      </c>
      <c r="CW203" s="22">
        <f t="shared" si="174"/>
        <v>6.3163460169613921E-12</v>
      </c>
      <c r="CX203" s="62">
        <f t="shared" si="196"/>
        <v>293.33333333333962</v>
      </c>
      <c r="CY203" s="62">
        <f ca="1">AVERAGE(OFFSET($CX$3,0,0,'Données projet'!$E$13+1,1))-AVERAGE(OFFSET($H$3,0,0,'Données projet'!$E$13+1,1))</f>
        <v>290.68086183422963</v>
      </c>
      <c r="CZ203" s="62">
        <f t="shared" si="208"/>
        <v>317.88330630101785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1.2054868146447177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1.2054868146447177</v>
      </c>
      <c r="BA205" s="87">
        <f>EXP(LN('Données projet'!B88)/'Données projet'!A88)</f>
        <v>1.3467943429205997</v>
      </c>
      <c r="BV205" s="87">
        <f>EXP(LN('Données projet'!B114)/'Données projet'!A114)</f>
        <v>1.3486940082496366</v>
      </c>
      <c r="CQ205" s="87">
        <f>EXP(LN('Données projet'!B140)/'Données projet'!A140)</f>
        <v>1.2730870686066207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J31" sqref="J3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pubescent</v>
      </c>
      <c r="B6" s="153">
        <f>'Données projet'!D9</f>
        <v>0.30362</v>
      </c>
      <c r="C6" s="154">
        <f ca="1">IF(OR('Données projet'!B9="",'Données projet'!C9="",'Données projet'!C9=0%),0,Calculateur!S3)</f>
        <v>476.8965664931755</v>
      </c>
      <c r="D6" s="154">
        <f>IF(OR('Données projet'!B9="",'Données projet'!C9="",'Données projet'!C9=0%),0,Calculateur!T3)</f>
        <v>254.25036207346591</v>
      </c>
      <c r="E6" s="154">
        <f ca="1">MIN(C6,D6)</f>
        <v>254.25036207346591</v>
      </c>
      <c r="F6" s="154">
        <f ca="1">E6*B6</f>
        <v>77.195494932745717</v>
      </c>
      <c r="G6" s="154">
        <f ca="1">F6*(100%-'Données projet'!$C$24)*(100%-'Données projet'!$C$25)*(100%-'Données projet'!$C$26)*(100%-'Données projet'!$C$27)</f>
        <v>69.475945439471147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0.60724</v>
      </c>
      <c r="K6" s="158">
        <f>J6*(100%-'Données projet'!$C$24)*(100%-'Données projet'!$C$25)*(100%-'Données projet'!$C$26)*(100%-'Données projet'!$C$27)</f>
        <v>0.546516</v>
      </c>
      <c r="L6" s="159">
        <f ca="1">G6+I6+K6</f>
        <v>70.022461439471144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sessile</v>
      </c>
      <c r="B7" s="161">
        <f>'Données projet'!D10</f>
        <v>0.30362</v>
      </c>
      <c r="C7" s="154">
        <f ca="1">IF(OR('Données projet'!B10="",'Données projet'!C10="",'Données projet'!C10=0%),0,Calculateur!AN3)</f>
        <v>430.11660085503223</v>
      </c>
      <c r="D7" s="154">
        <f>IF(OR('Données projet'!B10="",'Données projet'!C10="",'Données projet'!C10=0%),0,Calculateur!AO3)</f>
        <v>231.36959598460686</v>
      </c>
      <c r="E7" s="154">
        <f t="shared" ref="E7:E15" ca="1" si="0">MIN(C7,D7)</f>
        <v>231.36959598460686</v>
      </c>
      <c r="F7" s="154">
        <f t="shared" ref="F7:F15" ca="1" si="1">E7*B7</f>
        <v>70.248436732846329</v>
      </c>
      <c r="G7" s="154">
        <f ca="1">F7*(100%-'Données projet'!$C$24)*(100%-'Données projet'!$C$25)*(100%-'Données projet'!$C$26)*(100%-'Données projet'!$C$27)</f>
        <v>63.223593059561701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0.60724</v>
      </c>
      <c r="K7" s="158">
        <f>J7*(100%-'Données projet'!$C$24)*(100%-'Données projet'!$C$25)*(100%-'Données projet'!$C$26)*(100%-'Données projet'!$C$27)</f>
        <v>0.546516</v>
      </c>
      <c r="L7" s="159">
        <f t="shared" ref="L7:L15" ca="1" si="2">G7+I7+K7</f>
        <v>63.770109059561698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rouge d'Amérique</v>
      </c>
      <c r="B8" s="161">
        <f>'Données projet'!D11</f>
        <v>0.39291999999999999</v>
      </c>
      <c r="C8" s="154">
        <f ca="1">IF(OR('Données projet'!B11="",'Données projet'!C11="",'Données projet'!C11=0%),0,Calculateur!BI3)</f>
        <v>346.7910845218741</v>
      </c>
      <c r="D8" s="154">
        <f>IF(OR('Données projet'!B11="",'Données projet'!C11="",'Données projet'!C11=0%),0,Calculateur!BJ3)</f>
        <v>469.89734899725369</v>
      </c>
      <c r="E8" s="154">
        <f t="shared" ca="1" si="0"/>
        <v>346.7910845218741</v>
      </c>
      <c r="F8" s="154">
        <f t="shared" ca="1" si="1"/>
        <v>136.26115293033476</v>
      </c>
      <c r="G8" s="154">
        <f ca="1">F8*(100%-'Données projet'!$C$24)*(100%-'Données projet'!$C$25)*(100%-'Données projet'!$C$26)*(100%-'Données projet'!$C$27)</f>
        <v>122.63503763730128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14.930959999999999</v>
      </c>
      <c r="K8" s="158">
        <f>J8*(100%-'Données projet'!$C$24)*(100%-'Données projet'!$C$25)*(100%-'Données projet'!$C$26)*(100%-'Données projet'!$C$27)</f>
        <v>13.437863999999999</v>
      </c>
      <c r="L8" s="159">
        <f t="shared" ca="1" si="2"/>
        <v>136.07290163730127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Pin maritime</v>
      </c>
      <c r="B9" s="161">
        <f>'Données projet'!D12</f>
        <v>0.42863999999999997</v>
      </c>
      <c r="C9" s="154">
        <f ca="1">IF(OR('Données projet'!B12="",'Données projet'!C12="",'Données projet'!C12=0%),0,Calculateur!CD3)</f>
        <v>207.59954777160192</v>
      </c>
      <c r="D9" s="154">
        <f>IF(OR('Données projet'!B12="",'Données projet'!C12="",'Données projet'!C12=0%),0,Calculateur!CE3)</f>
        <v>314.81017053732063</v>
      </c>
      <c r="E9" s="154">
        <f t="shared" ca="1" si="0"/>
        <v>207.59954777160192</v>
      </c>
      <c r="F9" s="154">
        <f t="shared" ca="1" si="1"/>
        <v>88.985470156819446</v>
      </c>
      <c r="G9" s="154">
        <f ca="1">F9*(100%-'Données projet'!$C$24)*(100%-'Données projet'!$C$25)*(100%-'Données projet'!$C$26)*(100%-'Données projet'!$C$27)</f>
        <v>80.086923141137504</v>
      </c>
      <c r="H9" s="162">
        <f>IF(OR('Données projet'!B12="",'Données projet'!C12="",'Données projet'!C12=0%),0,AVERAGE(Calculateur!$CN$3:$CN$33)*B9)</f>
        <v>1.7043251837219473</v>
      </c>
      <c r="I9" s="156">
        <f>H9*(100%-'Données projet'!$C$24)*(100%-'Données projet'!$C$25)*(100%-'Données projet'!$C$26)*(100%-'Données projet'!$C$27)</f>
        <v>1.5338926653497527</v>
      </c>
      <c r="J9" s="157">
        <f>IF(OR('Données projet'!B12="",'Données projet'!C12="",'Données projet'!C12=0%),0,SUM(Calculateur!$CG$3:$CG$33)*VLOOKUP('Données projet'!$B$12,Paramètres!$A$1:$I$89,9,0)*B9)</f>
        <v>28.310621831999992</v>
      </c>
      <c r="K9" s="158">
        <f>J9*(100%-'Données projet'!$C$24)*(100%-'Données projet'!$C$25)*(100%-'Données projet'!$C$26)*(100%-'Données projet'!$C$27)</f>
        <v>25.479559648799992</v>
      </c>
      <c r="L9" s="159">
        <f t="shared" ca="1" si="2"/>
        <v>107.10037545528725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Châtaignier</v>
      </c>
      <c r="B10" s="161">
        <f>'Données projet'!D13</f>
        <v>0.35720000000000002</v>
      </c>
      <c r="C10" s="154">
        <f ca="1">IF(OR('Données projet'!B13="",'Données projet'!C13="",'Données projet'!C13=0%),0,Calculateur!CY3)</f>
        <v>290.68086183422963</v>
      </c>
      <c r="D10" s="154">
        <f>IF(OR('Données projet'!B13="",'Données projet'!C13="",'Données projet'!C13=0%),0,Calculateur!CZ3)</f>
        <v>317.88330630101785</v>
      </c>
      <c r="E10" s="154">
        <f t="shared" ca="1" si="0"/>
        <v>290.68086183422963</v>
      </c>
      <c r="F10" s="154">
        <f t="shared" ca="1" si="1"/>
        <v>103.83120384718683</v>
      </c>
      <c r="G10" s="154">
        <f ca="1">F10*(100%-'Données projet'!$C$24)*(100%-'Données projet'!$C$25)*(100%-'Données projet'!$C$26)*(100%-'Données projet'!$C$27)</f>
        <v>93.448083462468148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8.8496299999999994</v>
      </c>
      <c r="K10" s="158">
        <f>J10*(100%-'Données projet'!$C$24)*(100%-'Données projet'!$C$25)*(100%-'Données projet'!$C$26)*(100%-'Données projet'!$C$27)</f>
        <v>7.9646669999999995</v>
      </c>
      <c r="L10" s="159">
        <f t="shared" ca="1" si="2"/>
        <v>101.41275046246815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476.52175859993309</v>
      </c>
      <c r="G16" s="173">
        <f t="shared" ca="1" si="3"/>
        <v>428.8695827399398</v>
      </c>
      <c r="H16" s="174">
        <f t="shared" si="3"/>
        <v>1.7043251837219473</v>
      </c>
      <c r="I16" s="174">
        <f t="shared" si="3"/>
        <v>1.5338926653497527</v>
      </c>
      <c r="J16" s="175">
        <f t="shared" si="3"/>
        <v>53.305691831999987</v>
      </c>
      <c r="K16" s="175">
        <f t="shared" si="3"/>
        <v>47.975122648799989</v>
      </c>
      <c r="L16" s="176">
        <f t="shared" ca="1" si="3"/>
        <v>478.37859805408948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sessile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rouge d'Amérique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Pin maritime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Châtaignier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D1" zoomScale="80" zoomScaleNormal="80" workbookViewId="0">
      <selection activeCell="J24" sqref="J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796.75845761108837</v>
      </c>
      <c r="U10" s="188">
        <f>'Données projet'!D9</f>
        <v>0.30362</v>
      </c>
      <c r="V10" s="187">
        <f>U10*T10</f>
        <v>241.91180289987867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sessile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770.14000987685392</v>
      </c>
      <c r="U11" s="188">
        <f>'Données projet'!D10</f>
        <v>0.30362</v>
      </c>
      <c r="V11" s="187">
        <f t="shared" ref="V11" si="0">U11*T11</f>
        <v>233.82990979881038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rouge d'Amérique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4932.5628083038264</v>
      </c>
      <c r="U12" s="188">
        <f>'Données projet'!D11</f>
        <v>0.39291999999999999</v>
      </c>
      <c r="V12" s="187">
        <f t="shared" ref="V12:V19" si="1">U12*T12</f>
        <v>1938.1025786387395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Pin maritime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3706.6979925498417</v>
      </c>
      <c r="U13" s="188">
        <f>'Données projet'!D12</f>
        <v>0.42863999999999997</v>
      </c>
      <c r="V13" s="187">
        <f t="shared" si="1"/>
        <v>1588.839027526564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Châtaignier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1057.4736894177463</v>
      </c>
      <c r="U14" s="188">
        <f>'Données projet'!D13</f>
        <v>0.35720000000000002</v>
      </c>
      <c r="V14" s="187">
        <f t="shared" si="1"/>
        <v>377.72960186001899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40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0"/>
      <c r="H16" s="201"/>
      <c r="I16" s="202"/>
      <c r="J16" s="214"/>
      <c r="K16" s="223"/>
      <c r="L16" s="336" t="s">
        <v>254</v>
      </c>
      <c r="M16" s="337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0"/>
      <c r="J17" s="214"/>
      <c r="K17" s="223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0"/>
      <c r="J18" s="214"/>
      <c r="K18" s="223"/>
      <c r="L18" s="294" t="s">
        <v>255</v>
      </c>
      <c r="M18" s="296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0"/>
      <c r="H19" s="230" t="s">
        <v>178</v>
      </c>
      <c r="I19" s="230" t="s">
        <v>287</v>
      </c>
      <c r="J19" s="258"/>
      <c r="K19" s="181"/>
      <c r="L19" s="336" t="s">
        <v>288</v>
      </c>
      <c r="M19" s="337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0"/>
      <c r="H20" s="201">
        <v>0</v>
      </c>
      <c r="I20" s="202">
        <v>12813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/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/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4">
        <v>0</v>
      </c>
      <c r="D23" s="192">
        <f>B23*C23</f>
        <v>0</v>
      </c>
      <c r="E23" s="204"/>
      <c r="F23" s="259"/>
      <c r="H23" s="201"/>
      <c r="I23" s="202"/>
      <c r="K23" s="223"/>
      <c r="L23" s="338" t="s">
        <v>260</v>
      </c>
      <c r="M23" s="338"/>
      <c r="N23" s="338"/>
      <c r="O23" s="25"/>
      <c r="P23" s="25"/>
      <c r="Q23" s="263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-18503.605079275989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8</v>
      </c>
      <c r="C24" s="204">
        <v>10</v>
      </c>
      <c r="D24" s="192">
        <f t="shared" ref="D24:D42" si="2">B24*C24</f>
        <v>80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0</v>
      </c>
      <c r="C25" s="204">
        <v>0</v>
      </c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5">
        <f ca="1">T23-T24</f>
        <v>-18503.605079275989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42</v>
      </c>
      <c r="C26" s="204">
        <v>10</v>
      </c>
      <c r="D26" s="192">
        <f t="shared" si="2"/>
        <v>420</v>
      </c>
      <c r="E26" s="204"/>
      <c r="F26" s="262"/>
      <c r="G26" s="257"/>
      <c r="H26" s="201"/>
      <c r="I26" s="202"/>
      <c r="K26" s="223"/>
      <c r="L26" s="322" t="s">
        <v>258</v>
      </c>
      <c r="M26" s="323"/>
      <c r="N26" s="323"/>
      <c r="O26" s="323"/>
      <c r="P26" s="324"/>
      <c r="Q26" s="263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0</v>
      </c>
      <c r="C27" s="204">
        <v>0</v>
      </c>
      <c r="D27" s="192">
        <f t="shared" si="2"/>
        <v>0</v>
      </c>
      <c r="E27" s="204"/>
      <c r="F27" s="262"/>
      <c r="G27" s="257"/>
      <c r="H27" s="201"/>
      <c r="I27" s="202"/>
      <c r="K27" s="223"/>
      <c r="L27" s="325"/>
      <c r="M27" s="326"/>
      <c r="N27" s="326"/>
      <c r="O27" s="326"/>
      <c r="P27" s="327"/>
      <c r="Q27" s="263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42</v>
      </c>
      <c r="C28" s="204">
        <v>10</v>
      </c>
      <c r="D28" s="192">
        <f t="shared" si="2"/>
        <v>420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0</v>
      </c>
      <c r="C29" s="204">
        <v>0</v>
      </c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42</v>
      </c>
      <c r="C30" s="204">
        <v>20</v>
      </c>
      <c r="D30" s="192">
        <f t="shared" si="2"/>
        <v>840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0</v>
      </c>
      <c r="C31" s="204">
        <v>0</v>
      </c>
      <c r="D31" s="192">
        <f t="shared" si="2"/>
        <v>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42</v>
      </c>
      <c r="C32" s="204">
        <v>40</v>
      </c>
      <c r="D32" s="192">
        <f t="shared" si="2"/>
        <v>1680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0</v>
      </c>
      <c r="C33" s="204">
        <v>0</v>
      </c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42</v>
      </c>
      <c r="C34" s="204">
        <v>60</v>
      </c>
      <c r="D34" s="192">
        <f t="shared" si="2"/>
        <v>2520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0</v>
      </c>
      <c r="C35" s="204">
        <v>80</v>
      </c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85</v>
      </c>
      <c r="B36" s="191">
        <f>'Données projet'!D49</f>
        <v>42</v>
      </c>
      <c r="C36" s="204">
        <v>100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95</v>
      </c>
      <c r="B37" s="191">
        <f>'Données projet'!D50</f>
        <v>42</v>
      </c>
      <c r="C37" s="204">
        <v>110</v>
      </c>
      <c r="D37" s="192">
        <f t="shared" si="2"/>
        <v>4620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105</v>
      </c>
      <c r="B38" s="191">
        <f>'Données projet'!D51</f>
        <v>41</v>
      </c>
      <c r="C38" s="204">
        <v>130</v>
      </c>
      <c r="D38" s="192">
        <f t="shared" si="2"/>
        <v>5330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115</v>
      </c>
      <c r="B39" s="191">
        <f>'Données projet'!D52</f>
        <v>37</v>
      </c>
      <c r="C39" s="204">
        <v>140</v>
      </c>
      <c r="D39" s="192">
        <f t="shared" si="2"/>
        <v>5180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125</v>
      </c>
      <c r="B40" s="191">
        <f>'Données projet'!D53</f>
        <v>33</v>
      </c>
      <c r="C40" s="204">
        <v>150</v>
      </c>
      <c r="D40" s="192">
        <f t="shared" si="2"/>
        <v>4950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135</v>
      </c>
      <c r="B41" s="191">
        <f>'Données projet'!D54</f>
        <v>29</v>
      </c>
      <c r="C41" s="204">
        <v>0</v>
      </c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306</v>
      </c>
      <c r="C42" s="204">
        <v>200</v>
      </c>
      <c r="D42" s="192">
        <f t="shared" si="2"/>
        <v>61200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sessile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4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8</v>
      </c>
      <c r="C55" s="204">
        <v>10</v>
      </c>
      <c r="D55" s="189">
        <f t="shared" ref="D55:D73" si="4">B55*C55</f>
        <v>80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0</v>
      </c>
      <c r="C56" s="204">
        <v>0</v>
      </c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42</v>
      </c>
      <c r="C57" s="204">
        <v>10</v>
      </c>
      <c r="D57" s="189">
        <f t="shared" si="4"/>
        <v>420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0</v>
      </c>
      <c r="C58" s="204">
        <v>0</v>
      </c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42</v>
      </c>
      <c r="C59" s="204">
        <v>10</v>
      </c>
      <c r="D59" s="189">
        <f t="shared" si="4"/>
        <v>420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0</v>
      </c>
      <c r="C60" s="204">
        <v>0</v>
      </c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42</v>
      </c>
      <c r="C61" s="204">
        <v>20</v>
      </c>
      <c r="D61" s="189">
        <f t="shared" si="4"/>
        <v>840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0</v>
      </c>
      <c r="C62" s="204">
        <v>0</v>
      </c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42</v>
      </c>
      <c r="C63" s="204">
        <v>40</v>
      </c>
      <c r="D63" s="189">
        <f t="shared" si="4"/>
        <v>1680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0</v>
      </c>
      <c r="C64" s="204">
        <v>0</v>
      </c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42</v>
      </c>
      <c r="C65" s="204">
        <v>60</v>
      </c>
      <c r="D65" s="189">
        <f t="shared" si="4"/>
        <v>2520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0</v>
      </c>
      <c r="C66" s="204">
        <v>80</v>
      </c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85</v>
      </c>
      <c r="B67" s="191">
        <f>'Données projet'!D75</f>
        <v>42</v>
      </c>
      <c r="C67" s="204">
        <v>100</v>
      </c>
      <c r="D67" s="189">
        <f t="shared" si="4"/>
        <v>4200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95</v>
      </c>
      <c r="B68" s="191">
        <f>'Données projet'!D76</f>
        <v>42</v>
      </c>
      <c r="C68" s="204">
        <v>110</v>
      </c>
      <c r="D68" s="189">
        <f t="shared" si="4"/>
        <v>4620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105</v>
      </c>
      <c r="B69" s="191">
        <f>'Données projet'!D77</f>
        <v>41</v>
      </c>
      <c r="C69" s="204">
        <v>130</v>
      </c>
      <c r="D69" s="189">
        <f t="shared" si="4"/>
        <v>5330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115</v>
      </c>
      <c r="B70" s="191">
        <f>'Données projet'!D78</f>
        <v>37</v>
      </c>
      <c r="C70" s="204">
        <v>140</v>
      </c>
      <c r="D70" s="189">
        <f t="shared" si="4"/>
        <v>5180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125</v>
      </c>
      <c r="B71" s="191">
        <f>'Données projet'!D79</f>
        <v>33</v>
      </c>
      <c r="C71" s="204">
        <v>150</v>
      </c>
      <c r="D71" s="189">
        <f t="shared" si="4"/>
        <v>4950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135</v>
      </c>
      <c r="B72" s="191">
        <f>'Données projet'!D80</f>
        <v>29</v>
      </c>
      <c r="C72" s="204">
        <v>0</v>
      </c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306</v>
      </c>
      <c r="C73" s="204">
        <v>200</v>
      </c>
      <c r="D73" s="189">
        <f t="shared" si="4"/>
        <v>61200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rouge d'Amérique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str">
        <f>IF(O77+1&lt;=MIN('Données projet'!$E$9:$E$18),O77+1,"STOP")</f>
        <v>STOP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15</v>
      </c>
      <c r="B85" s="191">
        <f>'Données projet'!D88</f>
        <v>0</v>
      </c>
      <c r="C85" s="202">
        <v>0</v>
      </c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20</v>
      </c>
      <c r="B86" s="191">
        <f>'Données projet'!D89</f>
        <v>64</v>
      </c>
      <c r="C86" s="202">
        <v>20</v>
      </c>
      <c r="D86" s="189">
        <f t="shared" ref="D86:D104" si="6">B86*C86</f>
        <v>1280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25</v>
      </c>
      <c r="B87" s="191">
        <f>'Données projet'!D90</f>
        <v>0</v>
      </c>
      <c r="C87" s="202">
        <v>0</v>
      </c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30</v>
      </c>
      <c r="B88" s="191">
        <f>'Données projet'!D91</f>
        <v>88</v>
      </c>
      <c r="C88" s="202">
        <v>40</v>
      </c>
      <c r="D88" s="189">
        <f t="shared" si="6"/>
        <v>3520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35</v>
      </c>
      <c r="B89" s="191">
        <f>'Données projet'!D92</f>
        <v>0</v>
      </c>
      <c r="C89" s="202">
        <v>0</v>
      </c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40</v>
      </c>
      <c r="B90" s="191">
        <f>'Données projet'!D93</f>
        <v>81</v>
      </c>
      <c r="C90" s="202">
        <v>60</v>
      </c>
      <c r="D90" s="189">
        <f t="shared" si="6"/>
        <v>4860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45</v>
      </c>
      <c r="B91" s="191">
        <f>'Données projet'!D94</f>
        <v>0</v>
      </c>
      <c r="C91" s="202">
        <v>0</v>
      </c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50</v>
      </c>
      <c r="B92" s="191">
        <f>'Données projet'!D95</f>
        <v>69</v>
      </c>
      <c r="C92" s="202">
        <v>80</v>
      </c>
      <c r="D92" s="189">
        <f t="shared" si="6"/>
        <v>5520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55</v>
      </c>
      <c r="B93" s="191">
        <f>'Données projet'!D96</f>
        <v>0</v>
      </c>
      <c r="C93" s="202">
        <v>0</v>
      </c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60</v>
      </c>
      <c r="B94" s="191">
        <f>'Données projet'!D97</f>
        <v>55</v>
      </c>
      <c r="C94" s="202">
        <v>100</v>
      </c>
      <c r="D94" s="189">
        <f t="shared" si="6"/>
        <v>5500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65</v>
      </c>
      <c r="B95" s="191">
        <f>'Données projet'!D98</f>
        <v>0</v>
      </c>
      <c r="C95" s="202">
        <v>0</v>
      </c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70</v>
      </c>
      <c r="B96" s="191">
        <f>'Données projet'!D99</f>
        <v>272</v>
      </c>
      <c r="C96" s="202">
        <v>130</v>
      </c>
      <c r="D96" s="189">
        <f t="shared" si="6"/>
        <v>35360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>
        <v>0</v>
      </c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>
        <v>0</v>
      </c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>
        <v>0</v>
      </c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>
        <v>0</v>
      </c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>
        <v>0</v>
      </c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>
        <v>0</v>
      </c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>
        <v>0</v>
      </c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>
        <v>0</v>
      </c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Pin maritime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23.3155</v>
      </c>
      <c r="C116" s="202">
        <v>10</v>
      </c>
      <c r="D116" s="189">
        <f>B116*C116</f>
        <v>233.155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34.110500000000002</v>
      </c>
      <c r="C117" s="202">
        <v>20</v>
      </c>
      <c r="D117" s="189">
        <f t="shared" ref="D117:D135" si="8">B117*C117</f>
        <v>682.21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27</v>
      </c>
      <c r="B118" s="191">
        <f>'Données projet'!D116</f>
        <v>54.518999999999998</v>
      </c>
      <c r="C118" s="202">
        <v>30</v>
      </c>
      <c r="D118" s="189">
        <f t="shared" si="8"/>
        <v>1635.57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32</v>
      </c>
      <c r="B119" s="191">
        <f>'Données projet'!D117</f>
        <v>62.73</v>
      </c>
      <c r="C119" s="202">
        <v>40</v>
      </c>
      <c r="D119" s="189">
        <f t="shared" si="8"/>
        <v>2509.1999999999998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44</v>
      </c>
      <c r="B120" s="191">
        <f>'Données projet'!D118</f>
        <v>337.78999999999996</v>
      </c>
      <c r="C120" s="202">
        <v>45</v>
      </c>
      <c r="D120" s="189">
        <f t="shared" si="8"/>
        <v>15200.55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Châtaignier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/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/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43.1</v>
      </c>
      <c r="C148" s="202">
        <v>10</v>
      </c>
      <c r="D148" s="192">
        <f t="shared" ref="D148:D166" si="10">B148*C148</f>
        <v>431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56</v>
      </c>
      <c r="C150" s="202">
        <v>15</v>
      </c>
      <c r="D150" s="192">
        <f t="shared" si="10"/>
        <v>840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56</v>
      </c>
      <c r="C152" s="202">
        <v>20</v>
      </c>
      <c r="D152" s="192">
        <f t="shared" si="10"/>
        <v>1120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38.299999999999997</v>
      </c>
      <c r="C154" s="202">
        <v>20</v>
      </c>
      <c r="D154" s="192">
        <f t="shared" si="10"/>
        <v>766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25.200000000000003</v>
      </c>
      <c r="C156" s="202">
        <v>30</v>
      </c>
      <c r="D156" s="192">
        <f t="shared" si="10"/>
        <v>756.00000000000011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20.9</v>
      </c>
      <c r="C158" s="202">
        <v>30</v>
      </c>
      <c r="D158" s="192">
        <f t="shared" si="10"/>
        <v>627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284.60000000000002</v>
      </c>
      <c r="C160" s="202">
        <v>35</v>
      </c>
      <c r="D160" s="192">
        <f t="shared" si="10"/>
        <v>9961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2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2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2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2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2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2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2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2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2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2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2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2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2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2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2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2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2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2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2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2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2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2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2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alex.pousse</cp:lastModifiedBy>
  <dcterms:created xsi:type="dcterms:W3CDTF">2021-02-01T08:22:39Z</dcterms:created>
  <dcterms:modified xsi:type="dcterms:W3CDTF">2025-02-20T10:07:52Z</dcterms:modified>
</cp:coreProperties>
</file>