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Bazas\dossier LBC\54 - LERM-ET-MUSSET-LORGNIER AXEL\déposé Web app 02102024\"/>
    </mc:Choice>
  </mc:AlternateContent>
  <xr:revisionPtr revIDLastSave="0" documentId="13_ncr:1_{71856F0F-88DA-4487-9320-71BAA3D6BC4B}" xr6:coauthVersionLast="36" xr6:coauthVersionMax="36" xr10:uidLastSave="{00000000-0000-0000-0000-000000000000}"/>
  <bookViews>
    <workbookView xWindow="0" yWindow="0" windowWidth="28800" windowHeight="12612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6" l="1"/>
  <c r="I23" i="6"/>
  <c r="I21" i="6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68" i="2" a="1"/>
  <c r="BC68" i="2" s="1"/>
  <c r="BC47" i="2" a="1"/>
  <c r="BC47" i="2" s="1"/>
  <c r="BC82" i="2" a="1"/>
  <c r="BC82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32" i="2" a="1"/>
  <c r="BC32" i="2" s="1"/>
  <c r="BC84" i="2" a="1"/>
  <c r="BC84" i="2" s="1"/>
  <c r="BC31" i="2" a="1"/>
  <c r="BC3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BX107" i="2" l="1" a="1"/>
  <c r="BX107" i="2" s="1"/>
  <c r="AH199" i="2" a="1"/>
  <c r="AH199" i="2" s="1"/>
  <c r="BC164" i="2" a="1"/>
  <c r="BC164" i="2" s="1"/>
  <c r="BC114" i="2" a="1"/>
  <c r="BC114" i="2" s="1"/>
  <c r="BC192" i="2" a="1"/>
  <c r="BC192" i="2" s="1"/>
  <c r="BC126" i="2" a="1"/>
  <c r="BC126" i="2" s="1"/>
  <c r="BC151" i="2" a="1"/>
  <c r="BC151" i="2" s="1"/>
  <c r="BC58" i="2" a="1"/>
  <c r="BC58" i="2" s="1"/>
  <c r="BC7" i="2" a="1"/>
  <c r="BC7" i="2" s="1"/>
  <c r="BC34" i="2" a="1"/>
  <c r="BC34" i="2" s="1"/>
  <c r="BC185" i="2" a="1"/>
  <c r="BC185" i="2" s="1"/>
  <c r="BC143" i="2" a="1"/>
  <c r="BC143" i="2" s="1"/>
  <c r="AH19" i="2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M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<sst xmlns="http://schemas.openxmlformats.org/spreadsheetml/2006/main" count="1172" uniqueCount="324">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</sst>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2.8260430950859945</c:v>
                </c:pt>
                <c:pt idx="2">
                  <c:v>3.5759003231497637</c:v>
                </c:pt>
                <c:pt idx="3">
                  <c:v>4.5255002995239044</c:v>
                </c:pt>
                <c:pt idx="4">
                  <c:v>5.7282443202658717</c:v>
                </c:pt>
                <c:pt idx="5">
                  <c:v>7.2518592604219156</c:v>
                </c:pt>
                <c:pt idx="6">
                  <c:v>9.1822527263091143</c:v>
                </c:pt>
                <c:pt idx="7">
                  <c:v>11.628408677722552</c:v>
                </c:pt>
                <c:pt idx="8">
                  <c:v>14.728605078174702</c:v>
                </c:pt>
                <c:pt idx="9">
                  <c:v>18.658311506525539</c:v>
                </c:pt>
                <c:pt idx="10">
                  <c:v>23.640221801315761</c:v>
                </c:pt>
                <c:pt idx="11">
                  <c:v>29.957000365231504</c:v>
                </c:pt>
                <c:pt idx="12">
                  <c:v>37.967477930050322</c:v>
                </c:pt>
                <c:pt idx="13">
                  <c:v>48.127232535715684</c:v>
                </c:pt>
                <c:pt idx="14">
                  <c:v>61.014745876532061</c:v>
                </c:pt>
                <c:pt idx="15">
                  <c:v>77.364648864854644</c:v>
                </c:pt>
                <c:pt idx="16">
                  <c:v>98.109982167961064</c:v>
                </c:pt>
                <c:pt idx="17">
                  <c:v>124.4359216651272</c:v>
                </c:pt>
                <c:pt idx="18">
                  <c:v>157.84808591007513</c:v>
                </c:pt>
                <c:pt idx="19">
                  <c:v>200.25939181447754</c:v>
                </c:pt>
                <c:pt idx="20">
                  <c:v>254.10050561748861</c:v>
                </c:pt>
                <c:pt idx="21">
                  <c:v>182.85768498984825</c:v>
                </c:pt>
                <c:pt idx="22">
                  <c:v>205.9114029973158</c:v>
                </c:pt>
                <c:pt idx="23">
                  <c:v>228.90543935922889</c:v>
                </c:pt>
                <c:pt idx="24">
                  <c:v>251.84663251620748</c:v>
                </c:pt>
                <c:pt idx="25">
                  <c:v>274.74047191396772</c:v>
                </c:pt>
                <c:pt idx="26">
                  <c:v>226.64617327952342</c:v>
                </c:pt>
                <c:pt idx="27">
                  <c:v>248.08915865906408</c:v>
                </c:pt>
                <c:pt idx="28">
                  <c:v>269.49008678800777</c:v>
                </c:pt>
                <c:pt idx="29">
                  <c:v>290.85276623666175</c:v>
                </c:pt>
                <c:pt idx="30">
                  <c:v>312.18040027213078</c:v>
                </c:pt>
                <c:pt idx="31">
                  <c:v>262.7361980255701</c:v>
                </c:pt>
                <c:pt idx="32">
                  <c:v>282.61183805625041</c:v>
                </c:pt>
                <c:pt idx="33">
                  <c:v>302.45616879398887</c:v>
                </c:pt>
                <c:pt idx="34">
                  <c:v>322.27153269112591</c:v>
                </c:pt>
                <c:pt idx="35">
                  <c:v>342.05996063814399</c:v>
                </c:pt>
                <c:pt idx="36">
                  <c:v>292.72497100977256</c:v>
                </c:pt>
                <c:pt idx="37">
                  <c:v>310.68480797043964</c:v>
                </c:pt>
                <c:pt idx="38">
                  <c:v>328.62160871118186</c:v>
                </c:pt>
                <c:pt idx="39">
                  <c:v>346.53680717558655</c:v>
                </c:pt>
                <c:pt idx="40">
                  <c:v>364.43167696167421</c:v>
                </c:pt>
                <c:pt idx="41">
                  <c:v>318.90861058050911</c:v>
                </c:pt>
                <c:pt idx="42">
                  <c:v>334.96897652893739</c:v>
                </c:pt>
                <c:pt idx="43">
                  <c:v>351.01238382795628</c:v>
                </c:pt>
                <c:pt idx="44">
                  <c:v>367.03971658708974</c:v>
                </c:pt>
                <c:pt idx="45">
                  <c:v>383.05177541071203</c:v>
                </c:pt>
                <c:pt idx="46">
                  <c:v>339.82105523856922</c:v>
                </c:pt>
                <c:pt idx="47">
                  <c:v>354.36824410252279</c:v>
                </c:pt>
                <c:pt idx="48">
                  <c:v>368.90235411823818</c:v>
                </c:pt>
                <c:pt idx="49">
                  <c:v>383.42397311131032</c:v>
                </c:pt>
                <c:pt idx="50">
                  <c:v>397.93364074958498</c:v>
                </c:pt>
                <c:pt idx="51">
                  <c:v>358.46890629665108</c:v>
                </c:pt>
                <c:pt idx="52">
                  <c:v>371.1372483365563</c:v>
                </c:pt>
                <c:pt idx="53">
                  <c:v>383.79616295666915</c:v>
                </c:pt>
                <c:pt idx="54">
                  <c:v>396.44600495131112</c:v>
                </c:pt>
                <c:pt idx="55">
                  <c:v>409.08710462349336</c:v>
                </c:pt>
                <c:pt idx="56">
                  <c:v>373.74425409046017</c:v>
                </c:pt>
                <c:pt idx="57">
                  <c:v>384.91268544829819</c:v>
                </c:pt>
                <c:pt idx="58">
                  <c:v>396.07407711953482</c:v>
                </c:pt>
                <c:pt idx="59">
                  <c:v>407.22865549260922</c:v>
                </c:pt>
                <c:pt idx="60">
                  <c:v>418.37663353903241</c:v>
                </c:pt>
                <c:pt idx="61">
                  <c:v>387.145519509954</c:v>
                </c:pt>
                <c:pt idx="62">
                  <c:v>396.81792522211191</c:v>
                </c:pt>
                <c:pt idx="63">
                  <c:v>406.48522456571504</c:v>
                </c:pt>
                <c:pt idx="64">
                  <c:v>416.14755615430454</c:v>
                </c:pt>
                <c:pt idx="65">
                  <c:v>425.80505163704908</c:v>
                </c:pt>
                <c:pt idx="66">
                  <c:v>397.18983794003793</c:v>
                </c:pt>
                <c:pt idx="67">
                  <c:v>405.74176424723129</c:v>
                </c:pt>
                <c:pt idx="68">
                  <c:v>414.28979501974965</c:v>
                </c:pt>
                <c:pt idx="69">
                  <c:v>422.83402201018413</c:v>
                </c:pt>
                <c:pt idx="70">
                  <c:v>431.37453295867726</c:v>
                </c:pt>
                <c:pt idx="71">
                  <c:v>407.22865549260905</c:v>
                </c:pt>
                <c:pt idx="72">
                  <c:v>414.66136159701688</c:v>
                </c:pt>
                <c:pt idx="73">
                  <c:v>422.091194503304</c:v>
                </c:pt>
                <c:pt idx="74">
                  <c:v>429.51821195249204</c:v>
                </c:pt>
                <c:pt idx="75">
                  <c:v>436.94246952460418</c:v>
                </c:pt>
                <c:pt idx="76">
                  <c:v>415.77601826307938</c:v>
                </c:pt>
                <c:pt idx="77">
                  <c:v>422.46261177230502</c:v>
                </c:pt>
                <c:pt idx="78">
                  <c:v>429.14692708065189</c:v>
                </c:pt>
                <c:pt idx="79">
                  <c:v>435.82900470393224</c:v>
                </c:pt>
                <c:pt idx="80">
                  <c:v>442.5088838133741</c:v>
                </c:pt>
                <c:pt idx="81">
                  <c:v>423.9482106076087</c:v>
                </c:pt>
                <c:pt idx="82">
                  <c:v>429.51821195249204</c:v>
                </c:pt>
                <c:pt idx="83">
                  <c:v>435.0866609084182</c:v>
                </c:pt>
                <c:pt idx="84">
                  <c:v>440.65358016358778</c:v>
                </c:pt>
                <c:pt idx="85">
                  <c:v>446.21899178570357</c:v>
                </c:pt>
                <c:pt idx="86">
                  <c:v>428.77563530272073</c:v>
                </c:pt>
                <c:pt idx="87">
                  <c:v>433.60189168293056</c:v>
                </c:pt>
                <c:pt idx="88">
                  <c:v>438.42699459967213</c:v>
                </c:pt>
                <c:pt idx="89">
                  <c:v>443.25095855050739</c:v>
                </c:pt>
                <c:pt idx="90">
                  <c:v>448.07379769140431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4.3926046297979076</c:v>
                </c:pt>
                <c:pt idx="2">
                  <c:v>8.3612614966873711</c:v>
                </c:pt>
                <c:pt idx="3">
                  <c:v>15.935083980933408</c:v>
                </c:pt>
                <c:pt idx="4">
                  <c:v>30.405468314778947</c:v>
                </c:pt>
                <c:pt idx="5">
                  <c:v>58.082485530805052</c:v>
                </c:pt>
                <c:pt idx="6">
                  <c:v>72.155748931369416</c:v>
                </c:pt>
                <c:pt idx="7">
                  <c:v>94.133673128860323</c:v>
                </c:pt>
                <c:pt idx="8">
                  <c:v>115.98283085356282</c:v>
                </c:pt>
                <c:pt idx="9">
                  <c:v>137.73104312742694</c:v>
                </c:pt>
                <c:pt idx="10">
                  <c:v>159.39654402501074</c:v>
                </c:pt>
                <c:pt idx="11">
                  <c:v>139.70382844505221</c:v>
                </c:pt>
                <c:pt idx="12">
                  <c:v>161.362507950626</c:v>
                </c:pt>
                <c:pt idx="13">
                  <c:v>182.95230030612535</c:v>
                </c:pt>
                <c:pt idx="14">
                  <c:v>204.48248491014036</c:v>
                </c:pt>
                <c:pt idx="15">
                  <c:v>225.96022281826015</c:v>
                </c:pt>
                <c:pt idx="16">
                  <c:v>211.90768212600287</c:v>
                </c:pt>
                <c:pt idx="17">
                  <c:v>231.02975966933766</c:v>
                </c:pt>
                <c:pt idx="18">
                  <c:v>250.11566977871595</c:v>
                </c:pt>
                <c:pt idx="19">
                  <c:v>269.16856029275453</c:v>
                </c:pt>
                <c:pt idx="20">
                  <c:v>288.19109683703851</c:v>
                </c:pt>
                <c:pt idx="21">
                  <c:v>277.32465175371152</c:v>
                </c:pt>
                <c:pt idx="22">
                  <c:v>293.62085999795471</c:v>
                </c:pt>
                <c:pt idx="23">
                  <c:v>309.89688707897216</c:v>
                </c:pt>
                <c:pt idx="24">
                  <c:v>326.1539420224164</c:v>
                </c:pt>
                <c:pt idx="25">
                  <c:v>342.39310348379212</c:v>
                </c:pt>
                <c:pt idx="26">
                  <c:v>334.27569654819109</c:v>
                </c:pt>
                <c:pt idx="27">
                  <c:v>347.41603793627536</c:v>
                </c:pt>
                <c:pt idx="28">
                  <c:v>360.54547259299108</c:v>
                </c:pt>
                <c:pt idx="29">
                  <c:v>373.66445368853493</c:v>
                </c:pt>
                <c:pt idx="30">
                  <c:v>386.77339997206712</c:v>
                </c:pt>
                <c:pt idx="31">
                  <c:v>380.60570876556693</c:v>
                </c:pt>
                <c:pt idx="32">
                  <c:v>391.78307456466808</c:v>
                </c:pt>
                <c:pt idx="33">
                  <c:v>402.95352523018465</c:v>
                </c:pt>
                <c:pt idx="34">
                  <c:v>414.1172795224561</c:v>
                </c:pt>
                <c:pt idx="35">
                  <c:v>425.27454344239999</c:v>
                </c:pt>
                <c:pt idx="36">
                  <c:v>421.04322924291415</c:v>
                </c:pt>
                <c:pt idx="37">
                  <c:v>430.2740205592209</c:v>
                </c:pt>
                <c:pt idx="38">
                  <c:v>439.50055712660497</c:v>
                </c:pt>
                <c:pt idx="39">
                  <c:v>448.72294089251392</c:v>
                </c:pt>
                <c:pt idx="40">
                  <c:v>457.94126927057533</c:v>
                </c:pt>
                <c:pt idx="41">
                  <c:v>456.02111397099492</c:v>
                </c:pt>
                <c:pt idx="42">
                  <c:v>465.6201790592072</c:v>
                </c:pt>
                <c:pt idx="43">
                  <c:v>475.2150257772908</c:v>
                </c:pt>
                <c:pt idx="44">
                  <c:v>484.80575132371115</c:v>
                </c:pt>
                <c:pt idx="45">
                  <c:v>494.39244873679655</c:v>
                </c:pt>
                <c:pt idx="46">
                  <c:v>4.7119831685935622E-12</c:v>
                </c:pt>
                <c:pt idx="47">
                  <c:v>4.7119831685935622E-12</c:v>
                </c:pt>
                <c:pt idx="48">
                  <c:v>4.7119831685935622E-12</c:v>
                </c:pt>
                <c:pt idx="49">
                  <c:v>4.7119831685935622E-12</c:v>
                </c:pt>
                <c:pt idx="50">
                  <c:v>4.7119831685935622E-12</c:v>
                </c:pt>
                <c:pt idx="51">
                  <c:v>4.7119831685935622E-12</c:v>
                </c:pt>
                <c:pt idx="52">
                  <c:v>4.7119831685935622E-12</c:v>
                </c:pt>
                <c:pt idx="53">
                  <c:v>4.7119831685935622E-12</c:v>
                </c:pt>
                <c:pt idx="54">
                  <c:v>4.7119831685935622E-12</c:v>
                </c:pt>
                <c:pt idx="55">
                  <c:v>4.7119831685935622E-12</c:v>
                </c:pt>
                <c:pt idx="56">
                  <c:v>4.7119831685935622E-12</c:v>
                </c:pt>
                <c:pt idx="57">
                  <c:v>4.7119831685935622E-12</c:v>
                </c:pt>
                <c:pt idx="58">
                  <c:v>4.7119831685935622E-12</c:v>
                </c:pt>
                <c:pt idx="59">
                  <c:v>4.7119831685935622E-12</c:v>
                </c:pt>
                <c:pt idx="60">
                  <c:v>4.7119831685935622E-12</c:v>
                </c:pt>
                <c:pt idx="61">
                  <c:v>4.7119831685935622E-12</c:v>
                </c:pt>
                <c:pt idx="62">
                  <c:v>4.7119831685935622E-12</c:v>
                </c:pt>
                <c:pt idx="63">
                  <c:v>4.7119831685935622E-12</c:v>
                </c:pt>
                <c:pt idx="64">
                  <c:v>4.7119831685935622E-12</c:v>
                </c:pt>
                <c:pt idx="65">
                  <c:v>4.7119831685935622E-12</c:v>
                </c:pt>
                <c:pt idx="66">
                  <c:v>4.7119831685935622E-12</c:v>
                </c:pt>
                <c:pt idx="67">
                  <c:v>4.7119831685935622E-12</c:v>
                </c:pt>
                <c:pt idx="68">
                  <c:v>4.7119831685935622E-12</c:v>
                </c:pt>
                <c:pt idx="69">
                  <c:v>4.7119831685935622E-12</c:v>
                </c:pt>
                <c:pt idx="70">
                  <c:v>4.7119831685935622E-12</c:v>
                </c:pt>
                <c:pt idx="71">
                  <c:v>4.7119831685935622E-12</c:v>
                </c:pt>
                <c:pt idx="72">
                  <c:v>4.7119831685935622E-12</c:v>
                </c:pt>
                <c:pt idx="73">
                  <c:v>4.7119831685935622E-12</c:v>
                </c:pt>
                <c:pt idx="74">
                  <c:v>4.7119831685935622E-12</c:v>
                </c:pt>
                <c:pt idx="75">
                  <c:v>4.7119831685935622E-12</c:v>
                </c:pt>
                <c:pt idx="76">
                  <c:v>4.7119831685935622E-12</c:v>
                </c:pt>
                <c:pt idx="77">
                  <c:v>4.7119831685935622E-12</c:v>
                </c:pt>
                <c:pt idx="78">
                  <c:v>4.7119831685935622E-12</c:v>
                </c:pt>
                <c:pt idx="79">
                  <c:v>4.7119831685935622E-12</c:v>
                </c:pt>
                <c:pt idx="80">
                  <c:v>4.7119831685935622E-12</c:v>
                </c:pt>
                <c:pt idx="81">
                  <c:v>4.7119831685935622E-12</c:v>
                </c:pt>
                <c:pt idx="82">
                  <c:v>4.7119831685935622E-12</c:v>
                </c:pt>
                <c:pt idx="83">
                  <c:v>4.7119831685935622E-12</c:v>
                </c:pt>
                <c:pt idx="84">
                  <c:v>4.7119831685935622E-12</c:v>
                </c:pt>
                <c:pt idx="85">
                  <c:v>4.7119831685935622E-12</c:v>
                </c:pt>
                <c:pt idx="86">
                  <c:v>4.7119831685935622E-12</c:v>
                </c:pt>
                <c:pt idx="87">
                  <c:v>4.7119831685935622E-12</c:v>
                </c:pt>
                <c:pt idx="88">
                  <c:v>4.7119831685935622E-12</c:v>
                </c:pt>
                <c:pt idx="89">
                  <c:v>4.7119831685935622E-12</c:v>
                </c:pt>
                <c:pt idx="90">
                  <c:v>4.7119831685935622E-12</c:v>
                </c:pt>
                <c:pt idx="91">
                  <c:v>4.7119831685935622E-12</c:v>
                </c:pt>
                <c:pt idx="92">
                  <c:v>4.7119831685935622E-12</c:v>
                </c:pt>
                <c:pt idx="93">
                  <c:v>4.7119831685935622E-12</c:v>
                </c:pt>
                <c:pt idx="94">
                  <c:v>4.7119831685935622E-12</c:v>
                </c:pt>
                <c:pt idx="95">
                  <c:v>4.7119831685935622E-12</c:v>
                </c:pt>
                <c:pt idx="96">
                  <c:v>4.7119831685935622E-12</c:v>
                </c:pt>
                <c:pt idx="97">
                  <c:v>4.7119831685935622E-12</c:v>
                </c:pt>
                <c:pt idx="98">
                  <c:v>4.7119831685935622E-12</c:v>
                </c:pt>
                <c:pt idx="99">
                  <c:v>4.7119831685935622E-12</c:v>
                </c:pt>
                <c:pt idx="100">
                  <c:v>4.7119831685935622E-12</c:v>
                </c:pt>
                <c:pt idx="101">
                  <c:v>4.7119831685935622E-12</c:v>
                </c:pt>
                <c:pt idx="102">
                  <c:v>4.7119831685935622E-12</c:v>
                </c:pt>
                <c:pt idx="103">
                  <c:v>4.7119831685935622E-12</c:v>
                </c:pt>
                <c:pt idx="104">
                  <c:v>4.7119831685935622E-12</c:v>
                </c:pt>
                <c:pt idx="105">
                  <c:v>4.7119831685935622E-12</c:v>
                </c:pt>
                <c:pt idx="106">
                  <c:v>4.7119831685935622E-12</c:v>
                </c:pt>
                <c:pt idx="107">
                  <c:v>4.7119831685935622E-12</c:v>
                </c:pt>
                <c:pt idx="108">
                  <c:v>4.7119831685935622E-12</c:v>
                </c:pt>
                <c:pt idx="109">
                  <c:v>4.7119831685935622E-12</c:v>
                </c:pt>
                <c:pt idx="110">
                  <c:v>4.7119831685935622E-12</c:v>
                </c:pt>
                <c:pt idx="111">
                  <c:v>4.7119831685935622E-12</c:v>
                </c:pt>
                <c:pt idx="112">
                  <c:v>4.7119831685935622E-12</c:v>
                </c:pt>
                <c:pt idx="113">
                  <c:v>4.7119831685935622E-12</c:v>
                </c:pt>
                <c:pt idx="114">
                  <c:v>4.7119831685935622E-12</c:v>
                </c:pt>
                <c:pt idx="115">
                  <c:v>4.7119831685935622E-12</c:v>
                </c:pt>
                <c:pt idx="116">
                  <c:v>4.7119831685935622E-12</c:v>
                </c:pt>
                <c:pt idx="117">
                  <c:v>4.7119831685935622E-12</c:v>
                </c:pt>
                <c:pt idx="118">
                  <c:v>4.7119831685935622E-12</c:v>
                </c:pt>
                <c:pt idx="119">
                  <c:v>4.7119831685935622E-12</c:v>
                </c:pt>
                <c:pt idx="120">
                  <c:v>4.7119831685935622E-12</c:v>
                </c:pt>
                <c:pt idx="121">
                  <c:v>4.7119831685935622E-12</c:v>
                </c:pt>
                <c:pt idx="122">
                  <c:v>4.7119831685935622E-12</c:v>
                </c:pt>
                <c:pt idx="123">
                  <c:v>4.7119831685935622E-12</c:v>
                </c:pt>
                <c:pt idx="124">
                  <c:v>4.7119831685935622E-12</c:v>
                </c:pt>
                <c:pt idx="125">
                  <c:v>4.7119831685935622E-12</c:v>
                </c:pt>
                <c:pt idx="126">
                  <c:v>4.7119831685935622E-12</c:v>
                </c:pt>
                <c:pt idx="127">
                  <c:v>4.7119831685935622E-12</c:v>
                </c:pt>
                <c:pt idx="128">
                  <c:v>4.7119831685935622E-12</c:v>
                </c:pt>
                <c:pt idx="129">
                  <c:v>4.7119831685935622E-12</c:v>
                </c:pt>
                <c:pt idx="130">
                  <c:v>4.7119831685935622E-12</c:v>
                </c:pt>
                <c:pt idx="131">
                  <c:v>4.7119831685935622E-12</c:v>
                </c:pt>
                <c:pt idx="132">
                  <c:v>4.7119831685935622E-12</c:v>
                </c:pt>
                <c:pt idx="133">
                  <c:v>4.7119831685935622E-12</c:v>
                </c:pt>
                <c:pt idx="134">
                  <c:v>4.7119831685935622E-12</c:v>
                </c:pt>
                <c:pt idx="135">
                  <c:v>4.7119831685935622E-12</c:v>
                </c:pt>
                <c:pt idx="136">
                  <c:v>4.7119831685935622E-12</c:v>
                </c:pt>
                <c:pt idx="137">
                  <c:v>4.7119831685935622E-12</c:v>
                </c:pt>
                <c:pt idx="138">
                  <c:v>4.7119831685935622E-12</c:v>
                </c:pt>
                <c:pt idx="139">
                  <c:v>4.7119831685935622E-12</c:v>
                </c:pt>
                <c:pt idx="140">
                  <c:v>4.7119831685935622E-12</c:v>
                </c:pt>
                <c:pt idx="141">
                  <c:v>4.7119831685935622E-12</c:v>
                </c:pt>
                <c:pt idx="142">
                  <c:v>4.7119831685935622E-12</c:v>
                </c:pt>
                <c:pt idx="143">
                  <c:v>4.7119831685935622E-12</c:v>
                </c:pt>
                <c:pt idx="144">
                  <c:v>4.7119831685935622E-12</c:v>
                </c:pt>
                <c:pt idx="145">
                  <c:v>4.7119831685935622E-12</c:v>
                </c:pt>
                <c:pt idx="146">
                  <c:v>4.7119831685935622E-12</c:v>
                </c:pt>
                <c:pt idx="147">
                  <c:v>4.7119831685935622E-12</c:v>
                </c:pt>
                <c:pt idx="148">
                  <c:v>4.7119831685935622E-12</c:v>
                </c:pt>
                <c:pt idx="149">
                  <c:v>4.7119831685935622E-12</c:v>
                </c:pt>
                <c:pt idx="150">
                  <c:v>4.7119831685935622E-12</c:v>
                </c:pt>
                <c:pt idx="151">
                  <c:v>4.7119831685935622E-12</c:v>
                </c:pt>
                <c:pt idx="152">
                  <c:v>4.7119831685935622E-12</c:v>
                </c:pt>
                <c:pt idx="153">
                  <c:v>4.7119831685935622E-12</c:v>
                </c:pt>
                <c:pt idx="154">
                  <c:v>4.7119831685935622E-12</c:v>
                </c:pt>
                <c:pt idx="155">
                  <c:v>4.7119831685935622E-12</c:v>
                </c:pt>
                <c:pt idx="156">
                  <c:v>4.7119831685935622E-12</c:v>
                </c:pt>
                <c:pt idx="157">
                  <c:v>4.7119831685935622E-12</c:v>
                </c:pt>
                <c:pt idx="158">
                  <c:v>4.7119831685935622E-12</c:v>
                </c:pt>
                <c:pt idx="159">
                  <c:v>4.7119831685935622E-12</c:v>
                </c:pt>
                <c:pt idx="160">
                  <c:v>4.7119831685935622E-12</c:v>
                </c:pt>
                <c:pt idx="161">
                  <c:v>4.7119831685935622E-12</c:v>
                </c:pt>
                <c:pt idx="162">
                  <c:v>4.7119831685935622E-12</c:v>
                </c:pt>
                <c:pt idx="163">
                  <c:v>4.7119831685935622E-12</c:v>
                </c:pt>
                <c:pt idx="164">
                  <c:v>4.7119831685935622E-12</c:v>
                </c:pt>
                <c:pt idx="165">
                  <c:v>4.7119831685935622E-12</c:v>
                </c:pt>
                <c:pt idx="166">
                  <c:v>4.7119831685935622E-12</c:v>
                </c:pt>
                <c:pt idx="167">
                  <c:v>4.7119831685935622E-12</c:v>
                </c:pt>
                <c:pt idx="168">
                  <c:v>4.7119831685935622E-12</c:v>
                </c:pt>
                <c:pt idx="169">
                  <c:v>4.7119831685935622E-12</c:v>
                </c:pt>
                <c:pt idx="170">
                  <c:v>4.7119831685935622E-12</c:v>
                </c:pt>
                <c:pt idx="171">
                  <c:v>4.7119831685935622E-12</c:v>
                </c:pt>
                <c:pt idx="172">
                  <c:v>4.7119831685935622E-12</c:v>
                </c:pt>
                <c:pt idx="173">
                  <c:v>4.7119831685935622E-12</c:v>
                </c:pt>
                <c:pt idx="174">
                  <c:v>4.7119831685935622E-12</c:v>
                </c:pt>
                <c:pt idx="175">
                  <c:v>4.7119831685935622E-12</c:v>
                </c:pt>
                <c:pt idx="176">
                  <c:v>4.7119831685935622E-12</c:v>
                </c:pt>
                <c:pt idx="177">
                  <c:v>4.7119831685935622E-12</c:v>
                </c:pt>
                <c:pt idx="178">
                  <c:v>4.7119831685935622E-12</c:v>
                </c:pt>
                <c:pt idx="179">
                  <c:v>4.7119831685935622E-12</c:v>
                </c:pt>
                <c:pt idx="180">
                  <c:v>4.7119831685935622E-12</c:v>
                </c:pt>
                <c:pt idx="181">
                  <c:v>4.7119831685935622E-12</c:v>
                </c:pt>
                <c:pt idx="182">
                  <c:v>4.7119831685935622E-12</c:v>
                </c:pt>
                <c:pt idx="183">
                  <c:v>4.7119831685935622E-12</c:v>
                </c:pt>
                <c:pt idx="184">
                  <c:v>4.7119831685935622E-12</c:v>
                </c:pt>
                <c:pt idx="185">
                  <c:v>4.7119831685935622E-12</c:v>
                </c:pt>
                <c:pt idx="186">
                  <c:v>4.7119831685935622E-12</c:v>
                </c:pt>
                <c:pt idx="187">
                  <c:v>4.7119831685935622E-12</c:v>
                </c:pt>
                <c:pt idx="188">
                  <c:v>4.7119831685935622E-12</c:v>
                </c:pt>
                <c:pt idx="189">
                  <c:v>4.7119831685935622E-12</c:v>
                </c:pt>
                <c:pt idx="190">
                  <c:v>4.7119831685935622E-12</c:v>
                </c:pt>
                <c:pt idx="191">
                  <c:v>4.7119831685935622E-12</c:v>
                </c:pt>
                <c:pt idx="192">
                  <c:v>4.7119831685935622E-12</c:v>
                </c:pt>
                <c:pt idx="193">
                  <c:v>4.7119831685935622E-12</c:v>
                </c:pt>
                <c:pt idx="194">
                  <c:v>4.7119831685935622E-12</c:v>
                </c:pt>
                <c:pt idx="195">
                  <c:v>4.7119831685935622E-12</c:v>
                </c:pt>
                <c:pt idx="196">
                  <c:v>4.7119831685935622E-12</c:v>
                </c:pt>
                <c:pt idx="197">
                  <c:v>4.7119831685935622E-12</c:v>
                </c:pt>
                <c:pt idx="198">
                  <c:v>4.7119831685935622E-12</c:v>
                </c:pt>
                <c:pt idx="199">
                  <c:v>4.7119831685935622E-12</c:v>
                </c:pt>
                <c:pt idx="200">
                  <c:v>4.7119831685935622E-12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3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3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3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3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3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3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3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3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3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3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3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3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3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3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3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3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3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3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" zoomScale="90" zoomScaleNormal="90" workbookViewId="0">
      <selection activeCell="G15" sqref="G15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8" t="s">
        <v>190</v>
      </c>
      <c r="D1" s="298"/>
      <c r="E1" s="29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5" t="s">
        <v>231</v>
      </c>
      <c r="B5" s="305"/>
      <c r="C5" s="26">
        <v>4.29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36</v>
      </c>
      <c r="C9" s="35">
        <v>0.3427</v>
      </c>
      <c r="D9" s="36">
        <f t="shared" ref="D9:D18" si="0">C9*$C$5</f>
        <v>1.470183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13</v>
      </c>
      <c r="C10" s="35">
        <v>0.2145</v>
      </c>
      <c r="D10" s="36">
        <f t="shared" si="0"/>
        <v>0.92020499999999994</v>
      </c>
      <c r="E10" s="37">
        <v>90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138</v>
      </c>
      <c r="C11" s="35">
        <v>0.24940000000000001</v>
      </c>
      <c r="D11" s="36">
        <f t="shared" si="0"/>
        <v>1.0699260000000002</v>
      </c>
      <c r="E11" s="37">
        <v>30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44</v>
      </c>
      <c r="C12" s="35">
        <v>0.193</v>
      </c>
      <c r="D12" s="36">
        <f t="shared" si="0"/>
        <v>0.82796999999999998</v>
      </c>
      <c r="E12" s="37">
        <v>45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0.99960000000000004</v>
      </c>
      <c r="D19" s="41">
        <f>SUM(D9:D18)</f>
        <v>4.288284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Chêne rouge d'Amérique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20</v>
      </c>
      <c r="B62" s="63">
        <v>132</v>
      </c>
      <c r="C62" s="63">
        <v>1</v>
      </c>
      <c r="D62" s="63">
        <v>50</v>
      </c>
      <c r="E62" s="54"/>
      <c r="F62" s="54"/>
      <c r="G62" s="54"/>
      <c r="H62" s="54">
        <v>1</v>
      </c>
      <c r="I62" s="56">
        <f>IFERROR(B62/A62,"")</f>
        <v>6.6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25</v>
      </c>
      <c r="B63" s="63">
        <v>143</v>
      </c>
      <c r="C63" s="63">
        <v>2</v>
      </c>
      <c r="D63" s="63">
        <v>37</v>
      </c>
      <c r="E63" s="54"/>
      <c r="F63" s="54">
        <v>0.5</v>
      </c>
      <c r="G63" s="54">
        <v>0.5</v>
      </c>
      <c r="H63" s="54"/>
      <c r="I63" s="52">
        <f>IF(A63&lt;&gt;0,(B63-(B62-D62))/(A63-A62),"")</f>
        <v>12.2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30</v>
      </c>
      <c r="B64" s="63">
        <v>163</v>
      </c>
      <c r="C64" s="63">
        <v>3</v>
      </c>
      <c r="D64" s="63">
        <v>37</v>
      </c>
      <c r="E64" s="54"/>
      <c r="F64" s="54">
        <v>0.6</v>
      </c>
      <c r="G64" s="54">
        <v>0.4</v>
      </c>
      <c r="H64" s="54"/>
      <c r="I64" s="52">
        <f>IF(A64&lt;&gt;0,(B64-(B63-D63))/(A64-A63),"")</f>
        <v>11.4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35</v>
      </c>
      <c r="B65" s="63">
        <v>179</v>
      </c>
      <c r="C65" s="63">
        <v>4</v>
      </c>
      <c r="D65" s="63">
        <v>36</v>
      </c>
      <c r="E65" s="54"/>
      <c r="F65" s="54"/>
      <c r="G65" s="54"/>
      <c r="H65" s="54"/>
      <c r="I65" s="52">
        <f>IF(A65&lt;&gt;0,(B65-(B64-D64))/(A65-A64),"")</f>
        <v>10.6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40</v>
      </c>
      <c r="B66" s="63">
        <v>191</v>
      </c>
      <c r="C66" s="63">
        <v>5</v>
      </c>
      <c r="D66" s="63">
        <v>33</v>
      </c>
      <c r="E66" s="54"/>
      <c r="F66" s="54"/>
      <c r="G66" s="54"/>
      <c r="H66" s="54"/>
      <c r="I66" s="52">
        <f t="shared" ref="I66:I81" si="2">IF(A66&lt;&gt;0,(B66-(B65-D65))/(A66-A65),"")</f>
        <v>9.6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45</v>
      </c>
      <c r="B67" s="63">
        <v>201</v>
      </c>
      <c r="C67" s="63">
        <v>6</v>
      </c>
      <c r="D67" s="63">
        <v>31</v>
      </c>
      <c r="E67" s="54"/>
      <c r="F67" s="54"/>
      <c r="G67" s="54"/>
      <c r="H67" s="54"/>
      <c r="I67" s="52">
        <f t="shared" si="2"/>
        <v>8.6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50</v>
      </c>
      <c r="B68" s="63">
        <v>209</v>
      </c>
      <c r="C68" s="63">
        <v>7</v>
      </c>
      <c r="D68" s="63">
        <v>28</v>
      </c>
      <c r="E68" s="54"/>
      <c r="F68" s="54"/>
      <c r="G68" s="54"/>
      <c r="H68" s="54"/>
      <c r="I68" s="52">
        <f t="shared" si="2"/>
        <v>7.8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55</v>
      </c>
      <c r="B69" s="53">
        <v>215</v>
      </c>
      <c r="C69" s="53">
        <v>8</v>
      </c>
      <c r="D69" s="53">
        <v>25</v>
      </c>
      <c r="E69" s="54"/>
      <c r="F69" s="54"/>
      <c r="G69" s="54"/>
      <c r="H69" s="54"/>
      <c r="I69" s="52">
        <f t="shared" si="2"/>
        <v>6.8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60</v>
      </c>
      <c r="B70" s="53">
        <v>220</v>
      </c>
      <c r="C70" s="53">
        <v>9</v>
      </c>
      <c r="D70" s="53">
        <v>22</v>
      </c>
      <c r="E70" s="54"/>
      <c r="F70" s="54"/>
      <c r="G70" s="54"/>
      <c r="H70" s="54"/>
      <c r="I70" s="52">
        <f t="shared" si="2"/>
        <v>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65</v>
      </c>
      <c r="B71" s="53">
        <v>224</v>
      </c>
      <c r="C71" s="53">
        <v>10</v>
      </c>
      <c r="D71" s="53">
        <v>20</v>
      </c>
      <c r="E71" s="54"/>
      <c r="F71" s="54"/>
      <c r="G71" s="54"/>
      <c r="H71" s="54"/>
      <c r="I71" s="52">
        <f t="shared" si="2"/>
        <v>5.2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70</v>
      </c>
      <c r="B72" s="53">
        <v>227</v>
      </c>
      <c r="C72" s="53">
        <v>11</v>
      </c>
      <c r="D72" s="53">
        <v>17</v>
      </c>
      <c r="E72" s="54"/>
      <c r="F72" s="54"/>
      <c r="G72" s="54"/>
      <c r="H72" s="54"/>
      <c r="I72" s="52">
        <f t="shared" si="2"/>
        <v>4.5999999999999996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75</v>
      </c>
      <c r="B73" s="53">
        <v>230</v>
      </c>
      <c r="C73" s="53">
        <v>12</v>
      </c>
      <c r="D73" s="53">
        <v>15</v>
      </c>
      <c r="E73" s="54"/>
      <c r="F73" s="54"/>
      <c r="G73" s="54"/>
      <c r="H73" s="54"/>
      <c r="I73" s="52">
        <f t="shared" si="2"/>
        <v>4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80</v>
      </c>
      <c r="B74" s="53">
        <v>233</v>
      </c>
      <c r="C74" s="53">
        <v>13</v>
      </c>
      <c r="D74" s="53">
        <v>13</v>
      </c>
      <c r="E74" s="54"/>
      <c r="F74" s="54"/>
      <c r="G74" s="54"/>
      <c r="H74" s="54"/>
      <c r="I74" s="52">
        <f t="shared" si="2"/>
        <v>3.6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>
        <v>85</v>
      </c>
      <c r="B75" s="53">
        <v>235</v>
      </c>
      <c r="C75" s="53">
        <v>14</v>
      </c>
      <c r="D75" s="53">
        <v>12</v>
      </c>
      <c r="E75" s="54"/>
      <c r="F75" s="54"/>
      <c r="G75" s="54"/>
      <c r="H75" s="54"/>
      <c r="I75" s="52">
        <f t="shared" si="2"/>
        <v>3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>
        <v>90</v>
      </c>
      <c r="B76" s="53">
        <v>236</v>
      </c>
      <c r="C76" s="53">
        <v>15</v>
      </c>
      <c r="D76" s="53">
        <v>236</v>
      </c>
      <c r="E76" s="54"/>
      <c r="F76" s="54"/>
      <c r="G76" s="54"/>
      <c r="H76" s="54"/>
      <c r="I76" s="52">
        <f t="shared" si="2"/>
        <v>2.6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Pin taeda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12</v>
      </c>
      <c r="B88" s="63">
        <v>106</v>
      </c>
      <c r="C88" s="63">
        <v>1</v>
      </c>
      <c r="D88" s="63">
        <v>34</v>
      </c>
      <c r="E88" s="54"/>
      <c r="F88" s="54"/>
      <c r="G88" s="54">
        <v>1</v>
      </c>
      <c r="H88" s="93"/>
      <c r="I88" s="56">
        <f>IFERROR(B88/A88,"")</f>
        <v>8.8333333333333339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17</v>
      </c>
      <c r="B89" s="63">
        <v>176</v>
      </c>
      <c r="C89" s="63">
        <v>2</v>
      </c>
      <c r="D89" s="63">
        <v>43</v>
      </c>
      <c r="E89" s="54">
        <v>0.2</v>
      </c>
      <c r="F89" s="54"/>
      <c r="G89" s="54">
        <v>0.8</v>
      </c>
      <c r="H89" s="93"/>
      <c r="I89" s="56">
        <f t="shared" ref="I89:I107" si="3">IF(A89&lt;&gt;0,(B89-(B88-D88))/(A89-A88),"")</f>
        <v>20.8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22</v>
      </c>
      <c r="B90" s="63">
        <v>232</v>
      </c>
      <c r="C90" s="63">
        <v>3</v>
      </c>
      <c r="D90" s="63">
        <v>56</v>
      </c>
      <c r="E90" s="54">
        <v>0.4</v>
      </c>
      <c r="F90" s="54"/>
      <c r="G90" s="54">
        <v>0.6</v>
      </c>
      <c r="H90" s="93"/>
      <c r="I90" s="56">
        <f t="shared" si="3"/>
        <v>19.8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30</v>
      </c>
      <c r="B91" s="63">
        <v>309</v>
      </c>
      <c r="C91" s="63">
        <v>4</v>
      </c>
      <c r="D91" s="63">
        <v>309</v>
      </c>
      <c r="E91" s="54">
        <v>0.4</v>
      </c>
      <c r="F91" s="54">
        <v>0.4</v>
      </c>
      <c r="G91" s="54">
        <v>0.2</v>
      </c>
      <c r="H91" s="93"/>
      <c r="I91" s="56">
        <f t="shared" si="3"/>
        <v>16.625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Robinier faux-acacia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5</v>
      </c>
      <c r="B114" s="63">
        <v>28</v>
      </c>
      <c r="C114" s="53">
        <v>1</v>
      </c>
      <c r="D114" s="63">
        <v>4</v>
      </c>
      <c r="E114" s="54"/>
      <c r="F114" s="54"/>
      <c r="G114" s="54"/>
      <c r="H114" s="54">
        <v>1</v>
      </c>
      <c r="I114" s="56">
        <f>IFERROR(B114/A114,"")</f>
        <v>5.6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10</v>
      </c>
      <c r="B115" s="63">
        <v>79</v>
      </c>
      <c r="C115" s="53">
        <v>2</v>
      </c>
      <c r="D115" s="63">
        <v>21</v>
      </c>
      <c r="E115" s="54"/>
      <c r="F115" s="54"/>
      <c r="G115" s="54"/>
      <c r="H115" s="54">
        <v>1</v>
      </c>
      <c r="I115" s="56">
        <f t="shared" ref="I115:I133" si="4">IF(A115&lt;&gt;0,(B115-(B114-D114))/(A115-A114),"")</f>
        <v>11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15</v>
      </c>
      <c r="B116" s="63">
        <v>113</v>
      </c>
      <c r="C116" s="53">
        <v>3</v>
      </c>
      <c r="D116" s="63">
        <v>17</v>
      </c>
      <c r="E116" s="54">
        <v>0.2</v>
      </c>
      <c r="F116" s="54"/>
      <c r="G116" s="54"/>
      <c r="H116" s="54">
        <v>0.8</v>
      </c>
      <c r="I116" s="56">
        <f t="shared" si="4"/>
        <v>11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20</v>
      </c>
      <c r="B117" s="63">
        <v>145</v>
      </c>
      <c r="C117" s="53">
        <v>4</v>
      </c>
      <c r="D117" s="63">
        <v>14</v>
      </c>
      <c r="E117" s="54">
        <v>0.8</v>
      </c>
      <c r="F117" s="54"/>
      <c r="G117" s="54"/>
      <c r="H117" s="54">
        <v>0.2</v>
      </c>
      <c r="I117" s="56">
        <f t="shared" si="4"/>
        <v>9.8000000000000007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25</v>
      </c>
      <c r="B118" s="63">
        <v>173</v>
      </c>
      <c r="C118" s="53">
        <v>5</v>
      </c>
      <c r="D118" s="63">
        <v>11</v>
      </c>
      <c r="E118" s="54">
        <v>0.8</v>
      </c>
      <c r="F118" s="54"/>
      <c r="G118" s="54"/>
      <c r="H118" s="54">
        <v>0.2</v>
      </c>
      <c r="I118" s="56">
        <f t="shared" si="4"/>
        <v>8.4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30</v>
      </c>
      <c r="B119" s="63">
        <v>196</v>
      </c>
      <c r="C119" s="53">
        <v>6</v>
      </c>
      <c r="D119" s="63">
        <v>9</v>
      </c>
      <c r="E119" s="54">
        <v>0.9</v>
      </c>
      <c r="F119" s="54"/>
      <c r="G119" s="54"/>
      <c r="H119" s="54">
        <v>0.1</v>
      </c>
      <c r="I119" s="56">
        <f t="shared" si="4"/>
        <v>6.8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>
        <v>35</v>
      </c>
      <c r="B120" s="63">
        <v>216</v>
      </c>
      <c r="C120" s="63">
        <v>7</v>
      </c>
      <c r="D120" s="63">
        <v>7</v>
      </c>
      <c r="E120" s="93"/>
      <c r="F120" s="93"/>
      <c r="G120" s="93"/>
      <c r="H120" s="93"/>
      <c r="I120" s="56">
        <f t="shared" si="4"/>
        <v>5.8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>
        <v>40</v>
      </c>
      <c r="B121" s="63">
        <v>233</v>
      </c>
      <c r="C121" s="63">
        <v>8</v>
      </c>
      <c r="D121" s="63">
        <v>6</v>
      </c>
      <c r="E121" s="93"/>
      <c r="F121" s="93"/>
      <c r="G121" s="93"/>
      <c r="H121" s="93"/>
      <c r="I121" s="56">
        <f t="shared" si="4"/>
        <v>4.8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>
        <v>45</v>
      </c>
      <c r="B122" s="63">
        <v>252</v>
      </c>
      <c r="C122" s="63">
        <v>9</v>
      </c>
      <c r="D122" s="63">
        <v>252</v>
      </c>
      <c r="E122" s="93"/>
      <c r="F122" s="93"/>
      <c r="G122" s="93"/>
      <c r="H122" s="93"/>
      <c r="I122" s="56">
        <f t="shared" si="4"/>
        <v>5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15" sqref="C15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Pin maritime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Chêne rouge d'Amérique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>Pin taeda</v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>Robinier faux-acacia</v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187.13674266165236</v>
      </c>
      <c r="T3" s="62">
        <f>IF('Données projet'!E9&gt;30,$R$33-$H$33,LOOKUP('Données projet'!$E$9,$A$3:$A$203,R3:R203)-LOOKUP('Données projet'!$E$9,$A$3:$A$203,$H$3:$H$203))</f>
        <v>439.28159165815276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327.826081588335</v>
      </c>
      <c r="AO3" s="62">
        <f>IF('Données projet'!E10&gt;30,$AM$33-$H$33,LOOKUP('Données projet'!$E$10,$A$3:$A$203,AM3:AM203)-LOOKUP('Données projet'!$E$10,$A$3:$A$203,$H$3:$H$203))</f>
        <v>348.84706693879735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187.13674266165236</v>
      </c>
      <c r="BJ3" s="62">
        <f>IF('Données projet'!E11&gt;30,$BH$33-$H$33,LOOKUP('Données projet'!$E$11,$A$3:$A$203,BH3:BH203)-LOOKUP('Données projet'!$E$11,$A$3:$A$203,$H$3:$H$203))</f>
        <v>439.28159165815276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302.6112905010138</v>
      </c>
      <c r="CE3" s="62">
        <f>IF('Données projet'!E12&gt;30,$CC$33-$H$33,LOOKUP('Données projet'!$E$12,$A$3:$A$203,CC3:CC203)-LOOKUP('Données projet'!$E$12,$A$3:$A$203,$H$3:$H$203))</f>
        <v>423.44006663873375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260.1434244379796</v>
      </c>
      <c r="S4" s="62">
        <f ca="1">AVERAGE(OFFSET($R$3,0,0,'Données projet'!$E$9+1,1))-AVERAGE(OFFSET($H$3,0,0,'Données projet'!$E$9+1,1))</f>
        <v>187.13674266165236</v>
      </c>
      <c r="T4" s="62">
        <f>$T$3</f>
        <v>439.28159165815276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6.6</v>
      </c>
      <c r="AI4" s="14">
        <f>IF('Données projet'!$A$62&gt;35,AI3+AH4-AQ3,IF(A4&lt;'Données projet'!$A$62,$AF$205^A4,IF(A4='Données projet'!$A$62,'Données projet'!$B$62,AI3+AH4-AQ3)))</f>
        <v>1.2765231539157764</v>
      </c>
      <c r="AJ4" s="14">
        <f>AI4*VLOOKUP('Données projet'!$B$10,Paramètres!$A$1:$I$89,3,0)*VLOOKUP('Données projet'!$B$10,Paramètres!$A$1:$I$89,5,0)</f>
        <v>1.1151706272608224</v>
      </c>
      <c r="AK4" s="14">
        <f>EXP(-1.0587+0.8836*LN(AJ4)+0.284)</f>
        <v>0.50743784838663863</v>
      </c>
      <c r="AL4" s="22">
        <f t="shared" ref="AL4:AL67" si="4">(AJ4+AK4)*0.475*44/12</f>
        <v>2.8260430950859945</v>
      </c>
      <c r="AM4" s="62">
        <f t="shared" ref="AM4:AM67" si="5">AL4+(AD4+AE4)*44/12</f>
        <v>260.71493198397485</v>
      </c>
      <c r="AN4" s="62">
        <f ca="1">AVERAGE(OFFSET($AM$3,0,0,'Données projet'!$E$10+1,1))-AVERAGE(OFFSET($H$3,0,0,'Données projet'!$E$10+1,1))</f>
        <v>327.826081588335</v>
      </c>
      <c r="AO4" s="62">
        <f>$AO$3</f>
        <v>348.84706693879735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8.8333333333333339</v>
      </c>
      <c r="BD4" s="13">
        <f>IF('Données projet'!$A$88&gt;35,BD3+BC4-BL3,IF(A4&lt;'Données projet'!$A$88,$BA$205^A4,IF(A4='Données projet'!$A$88,'Données projet'!$B$88,BD3+BC4-BL3)))</f>
        <v>1.4749438547769935</v>
      </c>
      <c r="BE4" s="14">
        <f>BD4*VLOOKUP('Données projet'!$B$11,Paramètres!$A$1:$I$89,3,0)*VLOOKUP('Données projet'!$B$11,Paramètres!$A$1:$I$89,5,0)</f>
        <v>0.88201642515664225</v>
      </c>
      <c r="BF4" s="14">
        <f>EXP(-1.0587+0.8836*LN(BE4)+0.284)</f>
        <v>0.4124537465701128</v>
      </c>
      <c r="BG4" s="22">
        <f t="shared" ref="BG4:BG67" si="7">(BE4+BF4)*0.475*44/12</f>
        <v>2.254535549090765</v>
      </c>
      <c r="BH4" s="62">
        <f t="shared" ref="BH4:BH67" si="8">BG4+(AY4+AZ4)*44/12</f>
        <v>260.1434244379796</v>
      </c>
      <c r="BI4" s="62">
        <f ca="1">AVERAGE(OFFSET($BH$3,0,0,'Données projet'!$E$11+1,1))-AVERAGE(OFFSET($H$3,0,0,'Données projet'!$E$11+1,1))</f>
        <v>187.13674266165236</v>
      </c>
      <c r="BJ4" s="62">
        <f>$BJ$3</f>
        <v>439.28159165815276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5.6</v>
      </c>
      <c r="BY4" s="13">
        <f>IF('Données projet'!$A$114&gt;35,BY3+BX4-CG3,IF(A4&lt;'Données projet'!$A$114,$BV$205^A4,IF(A4='Données projet'!$A$114,'Données projet'!$B$114,BY3+BX4-CG3)))</f>
        <v>1.9472943612303364</v>
      </c>
      <c r="BZ4" s="14">
        <f>BY4*VLOOKUP('Données projet'!$B$12,Paramètres!$A$1:$I$89,3,0)*VLOOKUP('Données projet'!$B$12,Paramètres!$A$1:$I$89,5,0)</f>
        <v>1.7619119380412083</v>
      </c>
      <c r="CA4" s="14">
        <f>EXP(-1.0587+0.8836*LN(BZ4)+0.284)</f>
        <v>0.76015770586189668</v>
      </c>
      <c r="CB4" s="22">
        <f t="shared" ref="CB4:CB67" si="10">(BZ4+CA4)*0.475*44/12</f>
        <v>4.3926046297979076</v>
      </c>
      <c r="CC4" s="62">
        <f t="shared" ref="CC4:CC67" si="11">CB4+(BT4+BU4)*44/12</f>
        <v>262.28149351868677</v>
      </c>
      <c r="CD4" s="62">
        <f ca="1">AVERAGE(OFFSET($CC$3,0,0,'Données projet'!$E$12+1,1))-AVERAGE(OFFSET($H$3,0,0,'Données projet'!$E$12+1,1))</f>
        <v>302.6112905010138</v>
      </c>
      <c r="CE4" s="62">
        <f>$CE$3</f>
        <v>423.44006663873375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262.38956383505422</v>
      </c>
      <c r="S5" s="62">
        <f ca="1">AVERAGE(OFFSET($R$3,0,0,'Données projet'!$E$9+1,1))-AVERAGE(OFFSET($H$3,0,0,'Données projet'!$E$9+1,1))</f>
        <v>187.13674266165236</v>
      </c>
      <c r="T5" s="62">
        <f t="shared" ref="T5:T68" si="34">$T$3</f>
        <v>439.28159165815276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6.6</v>
      </c>
      <c r="AI5" s="14">
        <f>IF('Données projet'!$A$62&gt;35,AI4+AH5-AQ4,IF(A5&lt;'Données projet'!$A$62,$AF$205^A5,IF(A5='Données projet'!$A$62,'Données projet'!$B$62,AI4+AH5-AQ4)))</f>
        <v>1.629511362483081</v>
      </c>
      <c r="AJ5" s="14">
        <f>AI5*VLOOKUP('Données projet'!$B$10,Paramètres!$A$1:$I$89,3,0)*VLOOKUP('Données projet'!$B$10,Paramètres!$A$1:$I$89,5,0)</f>
        <v>1.4235411262652198</v>
      </c>
      <c r="AK5" s="14">
        <f t="shared" ref="AK5:AK68" si="35">EXP(-1.0587+0.8836*LN(AJ5)+0.284)</f>
        <v>0.62960738463416654</v>
      </c>
      <c r="AL5" s="22">
        <f t="shared" si="4"/>
        <v>3.5759003231497637</v>
      </c>
      <c r="AM5" s="62">
        <f t="shared" si="5"/>
        <v>262.68701143426091</v>
      </c>
      <c r="AN5" s="62">
        <f ca="1">AVERAGE(OFFSET($AM$3,0,0,'Données projet'!$E$10+1,1))-AVERAGE(OFFSET($H$3,0,0,'Données projet'!$E$10+1,1))</f>
        <v>327.826081588335</v>
      </c>
      <c r="AO5" s="62">
        <f t="shared" ref="AO5:AO68" si="36">$AO$3</f>
        <v>348.84706693879735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8.8333333333333339</v>
      </c>
      <c r="BD5" s="13">
        <f>IF('Données projet'!$A$88&gt;35,BD4+BC5-BL4,IF(A5&lt;'Données projet'!$A$88,$BA$205^A5,IF(A5='Données projet'!$A$88,'Données projet'!$B$88,BD4+BC5-BL4)))</f>
        <v>2.1754593747444169</v>
      </c>
      <c r="BE5" s="14">
        <f>BD5*VLOOKUP('Données projet'!$B$11,Paramètres!$A$1:$I$89,3,0)*VLOOKUP('Données projet'!$B$11,Paramètres!$A$1:$I$89,5,0)</f>
        <v>1.3009247060971614</v>
      </c>
      <c r="BF5" s="14">
        <f t="shared" ref="BF5:BF68" si="37">EXP(-1.0587+0.8836*LN(BE5)+0.284)</f>
        <v>0.58144049425293109</v>
      </c>
      <c r="BG5" s="22">
        <f t="shared" si="7"/>
        <v>3.2784527239430776</v>
      </c>
      <c r="BH5" s="62">
        <f t="shared" si="8"/>
        <v>262.38956383505422</v>
      </c>
      <c r="BI5" s="62">
        <f ca="1">AVERAGE(OFFSET($BH$3,0,0,'Données projet'!$E$11+1,1))-AVERAGE(OFFSET($H$3,0,0,'Données projet'!$E$11+1,1))</f>
        <v>187.13674266165236</v>
      </c>
      <c r="BJ5" s="62">
        <f t="shared" ref="BJ5:BJ68" si="38">$BJ$3</f>
        <v>439.28159165815276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5.6</v>
      </c>
      <c r="BY5" s="13">
        <f>IF('Données projet'!$A$114&gt;35,BY4+BX5-CG4,IF(A5&lt;'Données projet'!$A$114,$BV$205^A5,IF(A5='Données projet'!$A$114,'Données projet'!$B$114,BY4+BX5-CG4)))</f>
        <v>3.7919553292794639</v>
      </c>
      <c r="BZ5" s="14">
        <f>BY5*VLOOKUP('Données projet'!$B$12,Paramètres!$A$1:$I$89,3,0)*VLOOKUP('Données projet'!$B$12,Paramètres!$A$1:$I$89,5,0)</f>
        <v>3.4309611819320587</v>
      </c>
      <c r="CA5" s="14">
        <f t="shared" ref="CA5:CA68" si="39">EXP(-1.0587+0.8836*LN(BZ5)+0.284)</f>
        <v>1.3697631223860498</v>
      </c>
      <c r="CB5" s="22">
        <f t="shared" si="10"/>
        <v>8.3612614966873711</v>
      </c>
      <c r="CC5" s="62">
        <f t="shared" si="11"/>
        <v>267.47237260779849</v>
      </c>
      <c r="CD5" s="62">
        <f ca="1">AVERAGE(OFFSET($CC$3,0,0,'Données projet'!$E$12+1,1))-AVERAGE(OFFSET($H$3,0,0,'Données projet'!$E$12+1,1))</f>
        <v>302.6112905010138</v>
      </c>
      <c r="CE5" s="62">
        <f t="shared" ref="CE5:CE68" si="40">$CE$3</f>
        <v>423.44006663873375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265.10280709686913</v>
      </c>
      <c r="S6" s="62">
        <f ca="1">AVERAGE(OFFSET($R$3,0,0,'Données projet'!$E$9+1,1))-AVERAGE(OFFSET($H$3,0,0,'Données projet'!$E$9+1,1))</f>
        <v>187.13674266165236</v>
      </c>
      <c r="T6" s="62">
        <f t="shared" si="34"/>
        <v>439.28159165815276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6.6</v>
      </c>
      <c r="AI6" s="14">
        <f>IF('Données projet'!$A$62&gt;35,AI5+AH6-AQ5,IF(A6&lt;'Données projet'!$A$62,$AF$205^A6,IF(A6='Données projet'!$A$62,'Données projet'!$B$62,AI5+AH6-AQ5)))</f>
        <v>2.0801089837784965</v>
      </c>
      <c r="AJ6" s="14">
        <f>AI6*VLOOKUP('Données projet'!$B$10,Paramètres!$A$1:$I$89,3,0)*VLOOKUP('Données projet'!$B$10,Paramètres!$A$1:$I$89,5,0)</f>
        <v>1.8171832082288948</v>
      </c>
      <c r="AK6" s="14">
        <f t="shared" si="35"/>
        <v>0.7811901694881791</v>
      </c>
      <c r="AL6" s="22">
        <f t="shared" si="4"/>
        <v>4.5255002995239044</v>
      </c>
      <c r="AM6" s="62">
        <f t="shared" si="5"/>
        <v>264.85883363285723</v>
      </c>
      <c r="AN6" s="62">
        <f ca="1">AVERAGE(OFFSET($AM$3,0,0,'Données projet'!$E$10+1,1))-AVERAGE(OFFSET($H$3,0,0,'Données projet'!$E$10+1,1))</f>
        <v>327.826081588335</v>
      </c>
      <c r="AO6" s="62">
        <f t="shared" si="36"/>
        <v>348.84706693879735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8.8333333333333339</v>
      </c>
      <c r="BD6" s="13">
        <f>IF('Données projet'!$A$88&gt;35,BD5+BC6-BL5,IF(A6&lt;'Données projet'!$A$88,$BA$205^A6,IF(A6='Données projet'!$A$88,'Données projet'!$B$88,BD5+BC6-BL5)))</f>
        <v>3.2086804360962784</v>
      </c>
      <c r="BE6" s="14">
        <f>BD6*VLOOKUP('Données projet'!$B$11,Paramètres!$A$1:$I$89,3,0)*VLOOKUP('Données projet'!$B$11,Paramètres!$A$1:$I$89,5,0)</f>
        <v>1.9187909007855746</v>
      </c>
      <c r="BF6" s="14">
        <f t="shared" si="37"/>
        <v>0.81966293473739615</v>
      </c>
      <c r="BG6" s="22">
        <f t="shared" si="7"/>
        <v>4.7694737635358404</v>
      </c>
      <c r="BH6" s="62">
        <f t="shared" si="8"/>
        <v>265.10280709686913</v>
      </c>
      <c r="BI6" s="62">
        <f ca="1">AVERAGE(OFFSET($BH$3,0,0,'Données projet'!$E$11+1,1))-AVERAGE(OFFSET($H$3,0,0,'Données projet'!$E$11+1,1))</f>
        <v>187.13674266165236</v>
      </c>
      <c r="BJ6" s="62">
        <f t="shared" si="38"/>
        <v>439.28159165815276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5.6</v>
      </c>
      <c r="BY6" s="13">
        <f>IF('Données projet'!$A$114&gt;35,BY5+BX6-CG5,IF(A6&lt;'Données projet'!$A$114,$BV$205^A6,IF(A6='Données projet'!$A$114,'Données projet'!$B$114,BY5+BX6-CG5)))</f>
        <v>7.3840532307432234</v>
      </c>
      <c r="BZ6" s="14">
        <f>BY6*VLOOKUP('Données projet'!$B$12,Paramètres!$A$1:$I$89,3,0)*VLOOKUP('Données projet'!$B$12,Paramètres!$A$1:$I$89,5,0)</f>
        <v>6.6810913631764679</v>
      </c>
      <c r="CA6" s="14">
        <f t="shared" si="39"/>
        <v>2.4682391521919964</v>
      </c>
      <c r="CB6" s="22">
        <f t="shared" si="10"/>
        <v>15.935083980933408</v>
      </c>
      <c r="CC6" s="62">
        <f t="shared" si="11"/>
        <v>276.26841731426674</v>
      </c>
      <c r="CD6" s="62">
        <f ca="1">AVERAGE(OFFSET($CC$3,0,0,'Données projet'!$E$12+1,1))-AVERAGE(OFFSET($H$3,0,0,'Données projet'!$E$12+1,1))</f>
        <v>302.6112905010138</v>
      </c>
      <c r="CE6" s="62">
        <f t="shared" si="40"/>
        <v>423.44006663873375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268.49713617112559</v>
      </c>
      <c r="S7" s="62">
        <f ca="1">AVERAGE(OFFSET($R$3,0,0,'Données projet'!$E$9+1,1))-AVERAGE(OFFSET($H$3,0,0,'Données projet'!$E$9+1,1))</f>
        <v>187.13674266165236</v>
      </c>
      <c r="T7" s="62">
        <f t="shared" si="34"/>
        <v>439.28159165815276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6.6</v>
      </c>
      <c r="AI7" s="14">
        <f>IF('Données projet'!$A$62&gt;35,AI6+AH7-AQ6,IF(A7&lt;'Données projet'!$A$62,$AF$205^A7,IF(A7='Données projet'!$A$62,'Données projet'!$B$62,AI6+AH7-AQ6)))</f>
        <v>2.655307280461467</v>
      </c>
      <c r="AJ7" s="14">
        <f>AI7*VLOOKUP('Données projet'!$B$10,Paramètres!$A$1:$I$89,3,0)*VLOOKUP('Données projet'!$B$10,Paramètres!$A$1:$I$89,5,0)</f>
        <v>2.3196764402111376</v>
      </c>
      <c r="AK7" s="14">
        <f t="shared" si="35"/>
        <v>0.96926766711854973</v>
      </c>
      <c r="AL7" s="22">
        <f t="shared" si="4"/>
        <v>5.7282443202658717</v>
      </c>
      <c r="AM7" s="62">
        <f t="shared" si="5"/>
        <v>267.28379987582139</v>
      </c>
      <c r="AN7" s="62">
        <f ca="1">AVERAGE(OFFSET($AM$3,0,0,'Données projet'!$E$10+1,1))-AVERAGE(OFFSET($H$3,0,0,'Données projet'!$E$10+1,1))</f>
        <v>327.826081588335</v>
      </c>
      <c r="AO7" s="62">
        <f t="shared" si="36"/>
        <v>348.84706693879735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8.8333333333333339</v>
      </c>
      <c r="BD7" s="13">
        <f>IF('Données projet'!$A$88&gt;35,BD6+BC7-BL6,IF(A7&lt;'Données projet'!$A$88,$BA$205^A7,IF(A7='Données projet'!$A$88,'Données projet'!$B$88,BD6+BC7-BL6)))</f>
        <v>4.7326234911633689</v>
      </c>
      <c r="BE7" s="14">
        <f>BD7*VLOOKUP('Données projet'!$B$11,Paramètres!$A$1:$I$89,3,0)*VLOOKUP('Données projet'!$B$11,Paramètres!$A$1:$I$89,5,0)</f>
        <v>2.8301088477156946</v>
      </c>
      <c r="BF7" s="14">
        <f t="shared" si="37"/>
        <v>1.1554876779704684</v>
      </c>
      <c r="BG7" s="22">
        <f t="shared" si="7"/>
        <v>6.9415806155700679</v>
      </c>
      <c r="BH7" s="62">
        <f t="shared" si="8"/>
        <v>268.49713617112559</v>
      </c>
      <c r="BI7" s="62">
        <f ca="1">AVERAGE(OFFSET($BH$3,0,0,'Données projet'!$E$11+1,1))-AVERAGE(OFFSET($H$3,0,0,'Données projet'!$E$11+1,1))</f>
        <v>187.13674266165236</v>
      </c>
      <c r="BJ7" s="62">
        <f t="shared" si="38"/>
        <v>439.28159165815276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5.6</v>
      </c>
      <c r="BY7" s="13">
        <f>IF('Données projet'!$A$114&gt;35,BY6+BX7-CG6,IF(A7&lt;'Données projet'!$A$114,$BV$205^A7,IF(A7='Données projet'!$A$114,'Données projet'!$B$114,BY6+BX7-CG6)))</f>
        <v>14.378925219250927</v>
      </c>
      <c r="BZ7" s="14">
        <f>BY7*VLOOKUP('Données projet'!$B$12,Paramètres!$A$1:$I$89,3,0)*VLOOKUP('Données projet'!$B$12,Paramètres!$A$1:$I$89,5,0)</f>
        <v>13.010051538378239</v>
      </c>
      <c r="CA7" s="14">
        <f t="shared" si="39"/>
        <v>4.4476336184326453</v>
      </c>
      <c r="CB7" s="22">
        <f t="shared" si="10"/>
        <v>30.405468314778947</v>
      </c>
      <c r="CC7" s="62">
        <f t="shared" si="11"/>
        <v>291.96102387033449</v>
      </c>
      <c r="CD7" s="62">
        <f ca="1">AVERAGE(OFFSET($CC$3,0,0,'Données projet'!$E$12+1,1))-AVERAGE(OFFSET($H$3,0,0,'Données projet'!$E$12+1,1))</f>
        <v>302.6112905010138</v>
      </c>
      <c r="CE7" s="62">
        <f t="shared" si="40"/>
        <v>423.44006663873375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272.88493956505795</v>
      </c>
      <c r="S8" s="62">
        <f ca="1">AVERAGE(OFFSET($R$3,0,0,'Données projet'!$E$9+1,1))-AVERAGE(OFFSET($H$3,0,0,'Données projet'!$E$9+1,1))</f>
        <v>187.13674266165236</v>
      </c>
      <c r="T8" s="62">
        <f t="shared" si="34"/>
        <v>439.28159165815276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6.6</v>
      </c>
      <c r="AI8" s="14">
        <f>IF('Données projet'!$A$62&gt;35,AI7+AH8-AQ7,IF(A8&lt;'Données projet'!$A$62,$AF$205^A8,IF(A8='Données projet'!$A$62,'Données projet'!$B$62,AI7+AH8-AQ7)))</f>
        <v>3.3895612242701949</v>
      </c>
      <c r="AJ8" s="14">
        <f>AI8*VLOOKUP('Données projet'!$B$10,Paramètres!$A$1:$I$89,3,0)*VLOOKUP('Données projet'!$B$10,Paramètres!$A$1:$I$89,5,0)</f>
        <v>2.9611206855224426</v>
      </c>
      <c r="AK8" s="14">
        <f t="shared" si="35"/>
        <v>1.2026262582604759</v>
      </c>
      <c r="AL8" s="22">
        <f t="shared" si="4"/>
        <v>7.2518592604219156</v>
      </c>
      <c r="AM8" s="62">
        <f t="shared" si="5"/>
        <v>270.02963703819967</v>
      </c>
      <c r="AN8" s="62">
        <f ca="1">AVERAGE(OFFSET($AM$3,0,0,'Données projet'!$E$10+1,1))-AVERAGE(OFFSET($H$3,0,0,'Données projet'!$E$10+1,1))</f>
        <v>327.826081588335</v>
      </c>
      <c r="AO8" s="62">
        <f t="shared" si="36"/>
        <v>348.84706693879735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8.8333333333333339</v>
      </c>
      <c r="BD8" s="13">
        <f>IF('Données projet'!$A$88&gt;35,BD7+BC8-BL7,IF(A8&lt;'Données projet'!$A$88,$BA$205^A8,IF(A8='Données projet'!$A$88,'Données projet'!$B$88,BD7+BC8-BL7)))</f>
        <v>6.9803539352646524</v>
      </c>
      <c r="BE8" s="14">
        <f>BD8*VLOOKUP('Données projet'!$B$11,Paramètres!$A$1:$I$89,3,0)*VLOOKUP('Données projet'!$B$11,Paramètres!$A$1:$I$89,5,0)</f>
        <v>4.1742516532882625</v>
      </c>
      <c r="BF8" s="14">
        <f t="shared" si="37"/>
        <v>1.6289034398869595</v>
      </c>
      <c r="BG8" s="22">
        <f t="shared" si="7"/>
        <v>10.107161787280178</v>
      </c>
      <c r="BH8" s="62">
        <f t="shared" si="8"/>
        <v>272.88493956505795</v>
      </c>
      <c r="BI8" s="62">
        <f ca="1">AVERAGE(OFFSET($BH$3,0,0,'Données projet'!$E$11+1,1))-AVERAGE(OFFSET($H$3,0,0,'Données projet'!$E$11+1,1))</f>
        <v>187.13674266165236</v>
      </c>
      <c r="BJ8" s="62">
        <f t="shared" si="38"/>
        <v>439.28159165815276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>
        <f>VLOOKUP(A8,'Données projet'!$A$113:$I$133,2,0)</f>
        <v>28</v>
      </c>
      <c r="BW8" s="13">
        <f>VLOOKUP(A8,'Données projet'!$A$113:$I$133,9,0)</f>
        <v>5.6</v>
      </c>
      <c r="BX8" s="13">
        <f t="array" ref="BX8">INDEX(BW:BW,MIN(IF(ISNUMBER(BW8:BW204),ROW(BW8:BW204),"")))</f>
        <v>5.6</v>
      </c>
      <c r="BY8" s="13">
        <f>IF('Données projet'!$A$114&gt;35,BY7+BX8-CG7,IF(A8&lt;'Données projet'!$A$114,$BV$205^A8,IF(A8='Données projet'!$A$114,'Données projet'!$B$114,BY7+BX8-CG7)))</f>
        <v>28</v>
      </c>
      <c r="BZ8" s="14">
        <f>BY8*VLOOKUP('Données projet'!$B$12,Paramètres!$A$1:$I$89,3,0)*VLOOKUP('Données projet'!$B$12,Paramètres!$A$1:$I$89,5,0)</f>
        <v>25.334399999999999</v>
      </c>
      <c r="CA8" s="14">
        <f t="shared" si="39"/>
        <v>8.0143955200794572</v>
      </c>
      <c r="CB8" s="22">
        <f t="shared" si="10"/>
        <v>58.082485530805052</v>
      </c>
      <c r="CC8" s="62">
        <f t="shared" si="11"/>
        <v>320.86026330858283</v>
      </c>
      <c r="CD8" s="62">
        <f ca="1">AVERAGE(OFFSET($CC$3,0,0,'Données projet'!$E$12+1,1))-AVERAGE(OFFSET($H$3,0,0,'Données projet'!$E$12+1,1))</f>
        <v>302.6112905010138</v>
      </c>
      <c r="CE8" s="62">
        <f t="shared" si="40"/>
        <v>423.44006663873375</v>
      </c>
      <c r="CF8" s="16">
        <f>IF(ISNA(VLOOKUP(A8,'Données projet'!$A$113:$I$133,3,0)),0,VLOOKUP(A8,'Données projet'!$A$113:$I$133,3,0))</f>
        <v>1</v>
      </c>
      <c r="CG8" s="16">
        <f>IF(ISNA(VLOOKUP(A8,'Données projet'!$A$113:$I$133,4,0)),0,VLOOKUP(A8,'Données projet'!$A$113:$I$133,4,0))</f>
        <v>4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278.72242949911606</v>
      </c>
      <c r="S9" s="62">
        <f ca="1">AVERAGE(OFFSET($R$3,0,0,'Données projet'!$E$9+1,1))-AVERAGE(OFFSET($H$3,0,0,'Données projet'!$E$9+1,1))</f>
        <v>187.13674266165236</v>
      </c>
      <c r="T9" s="62">
        <f t="shared" si="34"/>
        <v>439.28159165815276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6.6</v>
      </c>
      <c r="AI9" s="14">
        <f>IF('Données projet'!$A$62&gt;35,AI8+AH9-AQ8,IF(A9&lt;'Données projet'!$A$62,$AF$205^A9,IF(A9='Données projet'!$A$62,'Données projet'!$B$62,AI8+AH9-AQ8)))</f>
        <v>4.32685338439601</v>
      </c>
      <c r="AJ9" s="14">
        <f>AI9*VLOOKUP('Données projet'!$B$10,Paramètres!$A$1:$I$89,3,0)*VLOOKUP('Données projet'!$B$10,Paramètres!$A$1:$I$89,5,0)</f>
        <v>3.7799391166083551</v>
      </c>
      <c r="AK9" s="14">
        <f t="shared" si="35"/>
        <v>1.4921677118944865</v>
      </c>
      <c r="AL9" s="22">
        <f t="shared" si="4"/>
        <v>9.1822527263091143</v>
      </c>
      <c r="AM9" s="62">
        <f t="shared" si="5"/>
        <v>273.18225272630912</v>
      </c>
      <c r="AN9" s="62">
        <f ca="1">AVERAGE(OFFSET($AM$3,0,0,'Données projet'!$E$10+1,1))-AVERAGE(OFFSET($H$3,0,0,'Données projet'!$E$10+1,1))</f>
        <v>327.826081588335</v>
      </c>
      <c r="AO9" s="62">
        <f t="shared" si="36"/>
        <v>348.84706693879735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8.8333333333333339</v>
      </c>
      <c r="BD9" s="13">
        <f>IF('Données projet'!$A$88&gt;35,BD8+BC9-BL8,IF(A9&lt;'Données projet'!$A$88,$BA$205^A9,IF(A9='Données projet'!$A$88,'Données projet'!$B$88,BD8+BC9-BL8)))</f>
        <v>10.295630140987003</v>
      </c>
      <c r="BE9" s="14">
        <f>BD9*VLOOKUP('Données projet'!$B$11,Paramètres!$A$1:$I$89,3,0)*VLOOKUP('Données projet'!$B$11,Paramètres!$A$1:$I$89,5,0)</f>
        <v>6.1567868243102275</v>
      </c>
      <c r="BF9" s="14">
        <f t="shared" si="37"/>
        <v>2.2962827445602434</v>
      </c>
      <c r="BG9" s="22">
        <f t="shared" si="7"/>
        <v>14.722429499116073</v>
      </c>
      <c r="BH9" s="62">
        <f t="shared" si="8"/>
        <v>278.72242949911606</v>
      </c>
      <c r="BI9" s="62">
        <f ca="1">AVERAGE(OFFSET($BH$3,0,0,'Données projet'!$E$11+1,1))-AVERAGE(OFFSET($H$3,0,0,'Données projet'!$E$11+1,1))</f>
        <v>187.13674266165236</v>
      </c>
      <c r="BJ9" s="62">
        <f t="shared" si="38"/>
        <v>439.28159165815276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11</v>
      </c>
      <c r="BY9" s="13">
        <f>IF('Données projet'!$A$114&gt;35,BY8+BX9-CG8,IF(A9&lt;'Données projet'!$A$114,$BV$205^A9,IF(A9='Données projet'!$A$114,'Données projet'!$B$114,BY8+BX9-CG8)))</f>
        <v>35</v>
      </c>
      <c r="BZ9" s="14">
        <f>BY9*VLOOKUP('Données projet'!$B$12,Paramètres!$A$1:$I$89,3,0)*VLOOKUP('Données projet'!$B$12,Paramètres!$A$1:$I$89,5,0)</f>
        <v>31.667999999999996</v>
      </c>
      <c r="CA9" s="14">
        <f t="shared" si="39"/>
        <v>9.7611381424130652</v>
      </c>
      <c r="CB9" s="22">
        <f t="shared" si="10"/>
        <v>72.155748931369416</v>
      </c>
      <c r="CC9" s="62">
        <f t="shared" si="11"/>
        <v>336.15574893136943</v>
      </c>
      <c r="CD9" s="62">
        <f ca="1">AVERAGE(OFFSET($CC$3,0,0,'Données projet'!$E$12+1,1))-AVERAGE(OFFSET($H$3,0,0,'Données projet'!$E$12+1,1))</f>
        <v>302.6112905010138</v>
      </c>
      <c r="CE9" s="62">
        <f t="shared" si="40"/>
        <v>423.44006663873375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286.6760886613967</v>
      </c>
      <c r="S10" s="62">
        <f ca="1">AVERAGE(OFFSET($R$3,0,0,'Données projet'!$E$9+1,1))-AVERAGE(OFFSET($H$3,0,0,'Données projet'!$E$9+1,1))</f>
        <v>187.13674266165236</v>
      </c>
      <c r="T10" s="62">
        <f t="shared" si="34"/>
        <v>439.28159165815276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6.6</v>
      </c>
      <c r="AI10" s="14">
        <f>IF('Données projet'!$A$62&gt;35,AI9+AH10-AQ9,IF(A10&lt;'Données projet'!$A$62,$AF$205^A10,IF(A10='Données projet'!$A$62,'Données projet'!$B$62,AI9+AH10-AQ9)))</f>
        <v>5.5233285287803451</v>
      </c>
      <c r="AJ10" s="14">
        <f>AI10*VLOOKUP('Données projet'!$B$10,Paramètres!$A$1:$I$89,3,0)*VLOOKUP('Données projet'!$B$10,Paramètres!$A$1:$I$89,5,0)</f>
        <v>4.8251798027425101</v>
      </c>
      <c r="AK10" s="14">
        <f t="shared" si="35"/>
        <v>1.8514184811173284</v>
      </c>
      <c r="AL10" s="22">
        <f t="shared" si="4"/>
        <v>11.628408677722552</v>
      </c>
      <c r="AM10" s="62">
        <f t="shared" si="5"/>
        <v>276.8506308999448</v>
      </c>
      <c r="AN10" s="62">
        <f ca="1">AVERAGE(OFFSET($AM$3,0,0,'Données projet'!$E$10+1,1))-AVERAGE(OFFSET($H$3,0,0,'Données projet'!$E$10+1,1))</f>
        <v>327.826081588335</v>
      </c>
      <c r="AO10" s="62">
        <f t="shared" si="36"/>
        <v>348.84706693879735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8.8333333333333339</v>
      </c>
      <c r="BD10" s="13">
        <f>IF('Données projet'!$A$88&gt;35,BD9+BC10-BL9,IF(A10&lt;'Données projet'!$A$88,$BA$205^A10,IF(A10='Données projet'!$A$88,'Données projet'!$B$88,BD9+BC10-BL9)))</f>
        <v>15.18547640750557</v>
      </c>
      <c r="BE10" s="14">
        <f>BD10*VLOOKUP('Données projet'!$B$11,Paramètres!$A$1:$I$89,3,0)*VLOOKUP('Données projet'!$B$11,Paramètres!$A$1:$I$89,5,0)</f>
        <v>9.080914891688332</v>
      </c>
      <c r="BF10" s="14">
        <f t="shared" si="37"/>
        <v>3.2370945470721373</v>
      </c>
      <c r="BG10" s="22">
        <f t="shared" si="7"/>
        <v>21.45386643917448</v>
      </c>
      <c r="BH10" s="62">
        <f t="shared" si="8"/>
        <v>286.6760886613967</v>
      </c>
      <c r="BI10" s="62">
        <f ca="1">AVERAGE(OFFSET($BH$3,0,0,'Données projet'!$E$11+1,1))-AVERAGE(OFFSET($H$3,0,0,'Données projet'!$E$11+1,1))</f>
        <v>187.13674266165236</v>
      </c>
      <c r="BJ10" s="62">
        <f t="shared" si="38"/>
        <v>439.28159165815276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11</v>
      </c>
      <c r="BY10" s="13">
        <f>IF('Données projet'!$A$114&gt;35,BY9+BX10-CG9,IF(A10&lt;'Données projet'!$A$114,$BV$205^A10,IF(A10='Données projet'!$A$114,'Données projet'!$B$114,BY9+BX10-CG9)))</f>
        <v>46</v>
      </c>
      <c r="BZ10" s="14">
        <f>BY10*VLOOKUP('Données projet'!$B$12,Paramètres!$A$1:$I$89,3,0)*VLOOKUP('Données projet'!$B$12,Paramètres!$A$1:$I$89,5,0)</f>
        <v>41.620800000000003</v>
      </c>
      <c r="CA10" s="14">
        <f t="shared" si="39"/>
        <v>12.427241987862391</v>
      </c>
      <c r="CB10" s="22">
        <f t="shared" si="10"/>
        <v>94.133673128860323</v>
      </c>
      <c r="CC10" s="62">
        <f t="shared" si="11"/>
        <v>359.35589535108255</v>
      </c>
      <c r="CD10" s="62">
        <f ca="1">AVERAGE(OFFSET($CC$3,0,0,'Données projet'!$E$12+1,1))-AVERAGE(OFFSET($H$3,0,0,'Données projet'!$E$12+1,1))</f>
        <v>302.6112905010138</v>
      </c>
      <c r="CE10" s="62">
        <f t="shared" si="40"/>
        <v>423.44006663873375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297.71991279004334</v>
      </c>
      <c r="S11" s="62">
        <f ca="1">AVERAGE(OFFSET($R$3,0,0,'Données projet'!$E$9+1,1))-AVERAGE(OFFSET($H$3,0,0,'Données projet'!$E$9+1,1))</f>
        <v>187.13674266165236</v>
      </c>
      <c r="T11" s="62">
        <f t="shared" si="34"/>
        <v>439.28159165815276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6.6</v>
      </c>
      <c r="AI11" s="14">
        <f>IF('Données projet'!$A$62&gt;35,AI10+AH11-AQ10,IF(A11&lt;'Données projet'!$A$62,$AF$205^A11,IF(A11='Données projet'!$A$62,'Données projet'!$B$62,AI10+AH11-AQ10)))</f>
        <v>7.0506567536716718</v>
      </c>
      <c r="AJ11" s="14">
        <f>AI11*VLOOKUP('Données projet'!$B$10,Paramètres!$A$1:$I$89,3,0)*VLOOKUP('Données projet'!$B$10,Paramètres!$A$1:$I$89,5,0)</f>
        <v>6.1594537400075735</v>
      </c>
      <c r="AK11" s="14">
        <f t="shared" si="35"/>
        <v>2.2971616158822084</v>
      </c>
      <c r="AL11" s="22">
        <f t="shared" si="4"/>
        <v>14.728605078174702</v>
      </c>
      <c r="AM11" s="62">
        <f t="shared" si="5"/>
        <v>281.17304952261918</v>
      </c>
      <c r="AN11" s="62">
        <f ca="1">AVERAGE(OFFSET($AM$3,0,0,'Données projet'!$E$10+1,1))-AVERAGE(OFFSET($H$3,0,0,'Données projet'!$E$10+1,1))</f>
        <v>327.826081588335</v>
      </c>
      <c r="AO11" s="62">
        <f t="shared" si="36"/>
        <v>348.84706693879735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8.8333333333333339</v>
      </c>
      <c r="BD11" s="13">
        <f>IF('Données projet'!$A$88&gt;35,BD10+BC11-BL10,IF(A11&lt;'Données projet'!$A$88,$BA$205^A11,IF(A11='Données projet'!$A$88,'Données projet'!$B$88,BD10+BC11-BL10)))</f>
        <v>22.397725109111352</v>
      </c>
      <c r="BE11" s="14">
        <f>BD11*VLOOKUP('Données projet'!$B$11,Paramètres!$A$1:$I$89,3,0)*VLOOKUP('Données projet'!$B$11,Paramètres!$A$1:$I$89,5,0)</f>
        <v>13.39383961524859</v>
      </c>
      <c r="BF11" s="14">
        <f t="shared" si="37"/>
        <v>4.5633670903584358</v>
      </c>
      <c r="BG11" s="22">
        <f t="shared" si="7"/>
        <v>31.275468345598899</v>
      </c>
      <c r="BH11" s="62">
        <f t="shared" si="8"/>
        <v>297.71991279004334</v>
      </c>
      <c r="BI11" s="62">
        <f ca="1">AVERAGE(OFFSET($BH$3,0,0,'Données projet'!$E$11+1,1))-AVERAGE(OFFSET($H$3,0,0,'Données projet'!$E$11+1,1))</f>
        <v>187.13674266165236</v>
      </c>
      <c r="BJ11" s="62">
        <f t="shared" si="38"/>
        <v>439.28159165815276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11</v>
      </c>
      <c r="BY11" s="13">
        <f>IF('Données projet'!$A$114&gt;35,BY10+BX11-CG10,IF(A11&lt;'Données projet'!$A$114,$BV$205^A11,IF(A11='Données projet'!$A$114,'Données projet'!$B$114,BY10+BX11-CG10)))</f>
        <v>57</v>
      </c>
      <c r="BZ11" s="14">
        <f>BY11*VLOOKUP('Données projet'!$B$12,Paramètres!$A$1:$I$89,3,0)*VLOOKUP('Données projet'!$B$12,Paramètres!$A$1:$I$89,5,0)</f>
        <v>51.573599999999992</v>
      </c>
      <c r="CA11" s="14">
        <f t="shared" si="39"/>
        <v>15.019412930275323</v>
      </c>
      <c r="CB11" s="22">
        <f t="shared" si="10"/>
        <v>115.98283085356282</v>
      </c>
      <c r="CC11" s="62">
        <f t="shared" si="11"/>
        <v>382.42727529800726</v>
      </c>
      <c r="CD11" s="62">
        <f ca="1">AVERAGE(OFFSET($CC$3,0,0,'Données projet'!$E$12+1,1))-AVERAGE(OFFSET($H$3,0,0,'Données projet'!$E$12+1,1))</f>
        <v>302.6112905010138</v>
      </c>
      <c r="CE11" s="62">
        <f t="shared" si="40"/>
        <v>423.44006663873375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313.27776290704742</v>
      </c>
      <c r="S12" s="62">
        <f ca="1">AVERAGE(OFFSET($R$3,0,0,'Données projet'!$E$9+1,1))-AVERAGE(OFFSET($H$3,0,0,'Données projet'!$E$9+1,1))</f>
        <v>187.13674266165236</v>
      </c>
      <c r="T12" s="62">
        <f t="shared" si="34"/>
        <v>439.28159165815276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6.6</v>
      </c>
      <c r="AI12" s="14">
        <f>IF('Données projet'!$A$62&gt;35,AI11+AH12-AQ11,IF(A12&lt;'Données projet'!$A$62,$AF$205^A12,IF(A12='Données projet'!$A$62,'Données projet'!$B$62,AI11+AH12-AQ11)))</f>
        <v>9.0003265963745314</v>
      </c>
      <c r="AJ12" s="14">
        <f>AI12*VLOOKUP('Données projet'!$B$10,Paramètres!$A$1:$I$89,3,0)*VLOOKUP('Données projet'!$B$10,Paramètres!$A$1:$I$89,5,0)</f>
        <v>7.8626853145927917</v>
      </c>
      <c r="AK12" s="14">
        <f t="shared" si="35"/>
        <v>2.8502208135558442</v>
      </c>
      <c r="AL12" s="22">
        <f t="shared" si="4"/>
        <v>18.658311506525539</v>
      </c>
      <c r="AM12" s="62">
        <f t="shared" si="5"/>
        <v>286.32497817319222</v>
      </c>
      <c r="AN12" s="62">
        <f ca="1">AVERAGE(OFFSET($AM$3,0,0,'Données projet'!$E$10+1,1))-AVERAGE(OFFSET($H$3,0,0,'Données projet'!$E$10+1,1))</f>
        <v>327.826081588335</v>
      </c>
      <c r="AO12" s="62">
        <f t="shared" si="36"/>
        <v>348.84706693879735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8.8333333333333339</v>
      </c>
      <c r="BD12" s="13">
        <f>IF('Données projet'!$A$88&gt;35,BD11+BC12-BL11,IF(A12&lt;'Données projet'!$A$88,$BA$205^A12,IF(A12='Données projet'!$A$88,'Données projet'!$B$88,BD11+BC12-BL11)))</f>
        <v>33.035387010668153</v>
      </c>
      <c r="BE12" s="14">
        <f>BD12*VLOOKUP('Données projet'!$B$11,Paramètres!$A$1:$I$89,3,0)*VLOOKUP('Données projet'!$B$11,Paramètres!$A$1:$I$89,5,0)</f>
        <v>19.755161432379555</v>
      </c>
      <c r="BF12" s="14">
        <f t="shared" si="37"/>
        <v>6.433027796547198</v>
      </c>
      <c r="BG12" s="22">
        <f t="shared" si="7"/>
        <v>45.61109624038076</v>
      </c>
      <c r="BH12" s="62">
        <f t="shared" si="8"/>
        <v>313.27776290704742</v>
      </c>
      <c r="BI12" s="62">
        <f ca="1">AVERAGE(OFFSET($BH$3,0,0,'Données projet'!$E$11+1,1))-AVERAGE(OFFSET($H$3,0,0,'Données projet'!$E$11+1,1))</f>
        <v>187.13674266165236</v>
      </c>
      <c r="BJ12" s="62">
        <f t="shared" si="38"/>
        <v>439.28159165815276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11</v>
      </c>
      <c r="BY12" s="13">
        <f>IF('Données projet'!$A$114&gt;35,BY11+BX12-CG11,IF(A12&lt;'Données projet'!$A$114,$BV$205^A12,IF(A12='Données projet'!$A$114,'Données projet'!$B$114,BY11+BX12-CG11)))</f>
        <v>68</v>
      </c>
      <c r="BZ12" s="14">
        <f>BY12*VLOOKUP('Données projet'!$B$12,Paramètres!$A$1:$I$89,3,0)*VLOOKUP('Données projet'!$B$12,Paramètres!$A$1:$I$89,5,0)</f>
        <v>61.526399999999995</v>
      </c>
      <c r="CA12" s="14">
        <f t="shared" si="39"/>
        <v>17.553624762159014</v>
      </c>
      <c r="CB12" s="22">
        <f t="shared" si="10"/>
        <v>137.73104312742694</v>
      </c>
      <c r="CC12" s="62">
        <f t="shared" si="11"/>
        <v>405.39770979409366</v>
      </c>
      <c r="CD12" s="62">
        <f ca="1">AVERAGE(OFFSET($CC$3,0,0,'Données projet'!$E$12+1,1))-AVERAGE(OFFSET($H$3,0,0,'Données projet'!$E$12+1,1))</f>
        <v>302.6112905010138</v>
      </c>
      <c r="CE12" s="62">
        <f t="shared" si="40"/>
        <v>423.44006663873375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335.43181126874777</v>
      </c>
      <c r="S13" s="62">
        <f ca="1">AVERAGE(OFFSET($R$3,0,0,'Données projet'!$E$9+1,1))-AVERAGE(OFFSET($H$3,0,0,'Données projet'!$E$9+1,1))</f>
        <v>187.13674266165236</v>
      </c>
      <c r="T13" s="62">
        <f t="shared" si="34"/>
        <v>439.28159165815276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6.6</v>
      </c>
      <c r="AI13" s="14">
        <f>IF('Données projet'!$A$62&gt;35,AI12+AH13-AQ12,IF(A13&lt;'Données projet'!$A$62,$AF$205^A13,IF(A13='Données projet'!$A$62,'Données projet'!$B$62,AI12+AH13-AQ12)))</f>
        <v>11.489125293076063</v>
      </c>
      <c r="AJ13" s="14">
        <f>AI13*VLOOKUP('Données projet'!$B$10,Paramètres!$A$1:$I$89,3,0)*VLOOKUP('Données projet'!$B$10,Paramètres!$A$1:$I$89,5,0)</f>
        <v>10.036899856031249</v>
      </c>
      <c r="AK13" s="14">
        <f t="shared" si="35"/>
        <v>3.5364332356333024</v>
      </c>
      <c r="AL13" s="22">
        <f t="shared" si="4"/>
        <v>23.640221801315761</v>
      </c>
      <c r="AM13" s="62">
        <f t="shared" si="5"/>
        <v>292.52911069020462</v>
      </c>
      <c r="AN13" s="62">
        <f ca="1">AVERAGE(OFFSET($AM$3,0,0,'Données projet'!$E$10+1,1))-AVERAGE(OFFSET($H$3,0,0,'Données projet'!$E$10+1,1))</f>
        <v>327.826081588335</v>
      </c>
      <c r="AO13" s="62">
        <f t="shared" si="36"/>
        <v>348.84706693879735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8.8333333333333339</v>
      </c>
      <c r="BD13" s="13">
        <f>IF('Données projet'!$A$88&gt;35,BD12+BC13-BL12,IF(A13&lt;'Données projet'!$A$88,$BA$205^A13,IF(A13='Données projet'!$A$88,'Données projet'!$B$88,BD12+BC13-BL12)))</f>
        <v>48.725341061564706</v>
      </c>
      <c r="BE13" s="14">
        <f>BD13*VLOOKUP('Données projet'!$B$11,Paramètres!$A$1:$I$89,3,0)*VLOOKUP('Données projet'!$B$11,Paramètres!$A$1:$I$89,5,0)</f>
        <v>29.137753954815693</v>
      </c>
      <c r="BF13" s="14">
        <f t="shared" si="37"/>
        <v>9.0687086556296208</v>
      </c>
      <c r="BG13" s="22">
        <f t="shared" si="7"/>
        <v>66.542922379858922</v>
      </c>
      <c r="BH13" s="62">
        <f t="shared" si="8"/>
        <v>335.43181126874777</v>
      </c>
      <c r="BI13" s="62">
        <f ca="1">AVERAGE(OFFSET($BH$3,0,0,'Données projet'!$E$11+1,1))-AVERAGE(OFFSET($H$3,0,0,'Données projet'!$E$11+1,1))</f>
        <v>187.13674266165236</v>
      </c>
      <c r="BJ13" s="62">
        <f t="shared" si="38"/>
        <v>439.28159165815276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>
        <f>VLOOKUP(A13,'Données projet'!$A$113:$I$133,2,0)</f>
        <v>79</v>
      </c>
      <c r="BW13" s="13">
        <f>VLOOKUP(A13,'Données projet'!$A$113:$I$133,9,0)</f>
        <v>11</v>
      </c>
      <c r="BX13" s="13">
        <f t="array" ref="BX13">INDEX(BW:BW,MIN(IF(ISNUMBER(BW13:BW209),ROW(BW13:BW209),"")))</f>
        <v>11</v>
      </c>
      <c r="BY13" s="13">
        <f>IF('Données projet'!$A$114&gt;35,BY12+BX13-CG12,IF(A13&lt;'Données projet'!$A$114,$BV$205^A13,IF(A13='Données projet'!$A$114,'Données projet'!$B$114,BY12+BX13-CG12)))</f>
        <v>79</v>
      </c>
      <c r="BZ13" s="14">
        <f>BY13*VLOOKUP('Données projet'!$B$12,Paramètres!$A$1:$I$89,3,0)*VLOOKUP('Données projet'!$B$12,Paramètres!$A$1:$I$89,5,0)</f>
        <v>71.479200000000006</v>
      </c>
      <c r="CA13" s="14">
        <f t="shared" si="39"/>
        <v>20.040346808618612</v>
      </c>
      <c r="CB13" s="22">
        <f t="shared" si="10"/>
        <v>159.39654402501074</v>
      </c>
      <c r="CC13" s="62">
        <f t="shared" si="11"/>
        <v>428.28543291389963</v>
      </c>
      <c r="CD13" s="62">
        <f ca="1">AVERAGE(OFFSET($CC$3,0,0,'Données projet'!$E$12+1,1))-AVERAGE(OFFSET($H$3,0,0,'Données projet'!$E$12+1,1))</f>
        <v>302.6112905010138</v>
      </c>
      <c r="CE13" s="62">
        <f t="shared" si="40"/>
        <v>423.44006663873375</v>
      </c>
      <c r="CF13" s="16">
        <f>IF(ISNA(VLOOKUP(A13,'Données projet'!$A$113:$I$133,3,0)),0,VLOOKUP(A13,'Données projet'!$A$113:$I$133,3,0))</f>
        <v>2</v>
      </c>
      <c r="CG13" s="16">
        <f>IF(ISNA(VLOOKUP(A13,'Données projet'!$A$113:$I$133,4,0)),0,VLOOKUP(A13,'Données projet'!$A$113:$I$133,4,0))</f>
        <v>21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367.22785087914758</v>
      </c>
      <c r="S14" s="62">
        <f ca="1">AVERAGE(OFFSET($R$3,0,0,'Données projet'!$E$9+1,1))-AVERAGE(OFFSET($H$3,0,0,'Données projet'!$E$9+1,1))</f>
        <v>187.13674266165236</v>
      </c>
      <c r="T14" s="62">
        <f t="shared" si="34"/>
        <v>439.28159165815276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6.6</v>
      </c>
      <c r="AI14" s="14">
        <f>IF('Données projet'!$A$62&gt;35,AI13+AH14-AQ13,IF(A14&lt;'Données projet'!$A$62,$AF$205^A14,IF(A14='Données projet'!$A$62,'Données projet'!$B$62,AI13+AH14-AQ13)))</f>
        <v>14.666134454850974</v>
      </c>
      <c r="AJ14" s="14">
        <f>AI14*VLOOKUP('Données projet'!$B$10,Paramètres!$A$1:$I$89,3,0)*VLOOKUP('Données projet'!$B$10,Paramètres!$A$1:$I$89,5,0)</f>
        <v>12.812335059757812</v>
      </c>
      <c r="AK14" s="14">
        <f t="shared" si="35"/>
        <v>4.3878565375042955</v>
      </c>
      <c r="AL14" s="22">
        <f t="shared" si="4"/>
        <v>29.957000365231504</v>
      </c>
      <c r="AM14" s="62">
        <f t="shared" si="5"/>
        <v>300.06811147634266</v>
      </c>
      <c r="AN14" s="62">
        <f ca="1">AVERAGE(OFFSET($AM$3,0,0,'Données projet'!$E$10+1,1))-AVERAGE(OFFSET($H$3,0,0,'Données projet'!$E$10+1,1))</f>
        <v>327.826081588335</v>
      </c>
      <c r="AO14" s="62">
        <f t="shared" si="36"/>
        <v>348.84706693879735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8.8333333333333339</v>
      </c>
      <c r="BD14" s="13">
        <f>IF('Données projet'!$A$88&gt;35,BD13+BC14-BL13,IF(A14&lt;'Données projet'!$A$88,$BA$205^A14,IF(A14='Données projet'!$A$88,'Données projet'!$B$88,BD13+BC14-BL13)))</f>
        <v>71.867142370667978</v>
      </c>
      <c r="BE14" s="14">
        <f>BD14*VLOOKUP('Données projet'!$B$11,Paramètres!$A$1:$I$89,3,0)*VLOOKUP('Données projet'!$B$11,Paramètres!$A$1:$I$89,5,0)</f>
        <v>42.976551137659456</v>
      </c>
      <c r="BF14" s="14">
        <f t="shared" si="37"/>
        <v>12.784256384658107</v>
      </c>
      <c r="BG14" s="22">
        <f t="shared" si="7"/>
        <v>97.116739768036425</v>
      </c>
      <c r="BH14" s="62">
        <f t="shared" si="8"/>
        <v>367.22785087914758</v>
      </c>
      <c r="BI14" s="62">
        <f ca="1">AVERAGE(OFFSET($BH$3,0,0,'Données projet'!$E$11+1,1))-AVERAGE(OFFSET($H$3,0,0,'Données projet'!$E$11+1,1))</f>
        <v>187.13674266165236</v>
      </c>
      <c r="BJ14" s="62">
        <f t="shared" si="38"/>
        <v>439.28159165815276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11</v>
      </c>
      <c r="BY14" s="13">
        <f>IF('Données projet'!$A$114&gt;35,BY13+BX14-CG13,IF(A14&lt;'Données projet'!$A$114,$BV$205^A14,IF(A14='Données projet'!$A$114,'Données projet'!$B$114,BY13+BX14-CG13)))</f>
        <v>69</v>
      </c>
      <c r="BZ14" s="14">
        <f>BY14*VLOOKUP('Données projet'!$B$12,Paramètres!$A$1:$I$89,3,0)*VLOOKUP('Données projet'!$B$12,Paramètres!$A$1:$I$89,5,0)</f>
        <v>62.431199999999997</v>
      </c>
      <c r="CA14" s="14">
        <f t="shared" si="39"/>
        <v>17.781524466058684</v>
      </c>
      <c r="CB14" s="22">
        <f t="shared" si="10"/>
        <v>139.70382844505221</v>
      </c>
      <c r="CC14" s="62">
        <f t="shared" si="11"/>
        <v>409.81493955616338</v>
      </c>
      <c r="CD14" s="62">
        <f ca="1">AVERAGE(OFFSET($CC$3,0,0,'Données projet'!$E$12+1,1))-AVERAGE(OFFSET($H$3,0,0,'Données projet'!$E$12+1,1))</f>
        <v>302.6112905010138</v>
      </c>
      <c r="CE14" s="62">
        <f t="shared" si="40"/>
        <v>423.44006663873375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413.12259794811348</v>
      </c>
      <c r="S15" s="62">
        <f ca="1">AVERAGE(OFFSET($R$3,0,0,'Données projet'!$E$9+1,1))-AVERAGE(OFFSET($H$3,0,0,'Données projet'!$E$9+1,1))</f>
        <v>187.13674266165236</v>
      </c>
      <c r="T15" s="62">
        <f t="shared" si="34"/>
        <v>439.28159165815276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6.6</v>
      </c>
      <c r="AI15" s="14">
        <f>IF('Données projet'!$A$62&gt;35,AI14+AH15-AQ14,IF(A15&lt;'Données projet'!$A$62,$AF$205^A15,IF(A15='Données projet'!$A$62,'Données projet'!$B$62,AI14+AH15-AQ14)))</f>
        <v>18.721660210059202</v>
      </c>
      <c r="AJ15" s="14">
        <f>AI15*VLOOKUP('Données projet'!$B$10,Paramètres!$A$1:$I$89,3,0)*VLOOKUP('Données projet'!$B$10,Paramètres!$A$1:$I$89,5,0)</f>
        <v>16.35524235950772</v>
      </c>
      <c r="AK15" s="14">
        <f t="shared" si="35"/>
        <v>5.4442664998513175</v>
      </c>
      <c r="AL15" s="22">
        <f t="shared" si="4"/>
        <v>37.967477930050322</v>
      </c>
      <c r="AM15" s="62">
        <f t="shared" si="5"/>
        <v>309.30081126338365</v>
      </c>
      <c r="AN15" s="62">
        <f ca="1">AVERAGE(OFFSET($AM$3,0,0,'Données projet'!$E$10+1,1))-AVERAGE(OFFSET($H$3,0,0,'Données projet'!$E$10+1,1))</f>
        <v>327.826081588335</v>
      </c>
      <c r="AO15" s="62">
        <f t="shared" si="36"/>
        <v>348.84706693879735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>
        <f>VLOOKUP(A15,'Données projet'!$A$87:$I$107,2,0)</f>
        <v>106</v>
      </c>
      <c r="BB15" s="13">
        <f>VLOOKUP(A15,'Données projet'!$A$87:$I$107,9,0)</f>
        <v>8.8333333333333339</v>
      </c>
      <c r="BC15" s="13">
        <f t="array" ref="BC15">INDEX(BB:BB,MIN(IF(ISNUMBER(BB15:BB211),ROW(BB15:BB211),"")))</f>
        <v>8.8333333333333339</v>
      </c>
      <c r="BD15" s="13">
        <f>IF('Données projet'!$A$88&gt;35,BD14+BC15-BL14,IF(A15&lt;'Données projet'!$A$88,$BA$205^A15,IF(A15='Données projet'!$A$88,'Données projet'!$B$88,BD14+BC15-BL14)))</f>
        <v>106</v>
      </c>
      <c r="BE15" s="14">
        <f>BD15*VLOOKUP('Données projet'!$B$11,Paramètres!$A$1:$I$89,3,0)*VLOOKUP('Données projet'!$B$11,Paramètres!$A$1:$I$89,5,0)</f>
        <v>63.388000000000012</v>
      </c>
      <c r="BF15" s="14">
        <f t="shared" si="37"/>
        <v>18.022104085041263</v>
      </c>
      <c r="BG15" s="22">
        <f t="shared" si="7"/>
        <v>141.78926461478019</v>
      </c>
      <c r="BH15" s="62">
        <f t="shared" si="8"/>
        <v>413.12259794811348</v>
      </c>
      <c r="BI15" s="62">
        <f ca="1">AVERAGE(OFFSET($BH$3,0,0,'Données projet'!$E$11+1,1))-AVERAGE(OFFSET($H$3,0,0,'Données projet'!$E$11+1,1))</f>
        <v>187.13674266165236</v>
      </c>
      <c r="BJ15" s="62">
        <f t="shared" si="38"/>
        <v>439.28159165815276</v>
      </c>
      <c r="BK15" s="16">
        <f>IF(ISNA(VLOOKUP(A15,'Données projet'!$A$87:$I$107,3,0)),0,VLOOKUP(A15,'Données projet'!$A$87:$I$107,3,0))</f>
        <v>1</v>
      </c>
      <c r="BL15" s="16">
        <f>IF(ISNA(VLOOKUP(A15,'Données projet'!$A$87:$I$107,4,0)),0,VLOOKUP(A15,'Données projet'!$A$87:$I$107,4,0))</f>
        <v>34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1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23.020547073308105</v>
      </c>
      <c r="BS15" s="24">
        <f t="shared" si="9"/>
        <v>23.020547073308105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11</v>
      </c>
      <c r="BY15" s="13">
        <f>IF('Données projet'!$A$114&gt;35,BY14+BX15-CG14,IF(A15&lt;'Données projet'!$A$114,$BV$205^A15,IF(A15='Données projet'!$A$114,'Données projet'!$B$114,BY14+BX15-CG14)))</f>
        <v>80</v>
      </c>
      <c r="BZ15" s="14">
        <f>BY15*VLOOKUP('Données projet'!$B$12,Paramètres!$A$1:$I$89,3,0)*VLOOKUP('Données projet'!$B$12,Paramètres!$A$1:$I$89,5,0)</f>
        <v>72.384</v>
      </c>
      <c r="CA15" s="14">
        <f t="shared" si="39"/>
        <v>20.264329923804397</v>
      </c>
      <c r="CB15" s="22">
        <f t="shared" si="10"/>
        <v>161.362507950626</v>
      </c>
      <c r="CC15" s="62">
        <f t="shared" si="11"/>
        <v>432.69584128395934</v>
      </c>
      <c r="CD15" s="62">
        <f ca="1">AVERAGE(OFFSET($CC$3,0,0,'Données projet'!$E$12+1,1))-AVERAGE(OFFSET($H$3,0,0,'Données projet'!$E$12+1,1))</f>
        <v>302.6112905010138</v>
      </c>
      <c r="CE15" s="62">
        <f t="shared" si="40"/>
        <v>423.44006663873375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397.11674874565313</v>
      </c>
      <c r="S16" s="62">
        <f ca="1">AVERAGE(OFFSET($R$3,0,0,'Données projet'!$E$9+1,1))-AVERAGE(OFFSET($H$3,0,0,'Données projet'!$E$9+1,1))</f>
        <v>187.13674266165236</v>
      </c>
      <c r="T16" s="62">
        <f t="shared" si="34"/>
        <v>439.28159165815276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6.6</v>
      </c>
      <c r="AI16" s="14">
        <f>IF('Données projet'!$A$62&gt;35,AI15+AH16-AQ15,IF(A16&lt;'Données projet'!$A$62,$AF$205^A16,IF(A16='Données projet'!$A$62,'Données projet'!$B$62,AI15+AH16-AQ15)))</f>
        <v>23.89863273788427</v>
      </c>
      <c r="AJ16" s="14">
        <f>AI16*VLOOKUP('Données projet'!$B$10,Paramètres!$A$1:$I$89,3,0)*VLOOKUP('Données projet'!$B$10,Paramètres!$A$1:$I$89,5,0)</f>
        <v>20.8778455598157</v>
      </c>
      <c r="AK16" s="14">
        <f t="shared" si="35"/>
        <v>6.7550152262411558</v>
      </c>
      <c r="AL16" s="22">
        <f t="shared" si="4"/>
        <v>48.127232535715684</v>
      </c>
      <c r="AM16" s="62">
        <f t="shared" si="5"/>
        <v>320.68278809127122</v>
      </c>
      <c r="AN16" s="62">
        <f ca="1">AVERAGE(OFFSET($AM$3,0,0,'Données projet'!$E$10+1,1))-AVERAGE(OFFSET($H$3,0,0,'Données projet'!$E$10+1,1))</f>
        <v>327.826081588335</v>
      </c>
      <c r="AO16" s="62">
        <f t="shared" si="36"/>
        <v>348.84706693879735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20.8</v>
      </c>
      <c r="BD16" s="13">
        <f>IF('Données projet'!$A$88&gt;35,BD15+BC16-BL15,IF(A16&lt;'Données projet'!$A$88,$BA$205^A16,IF(A16='Données projet'!$A$88,'Données projet'!$B$88,BD15+BC16-BL15)))</f>
        <v>92.8</v>
      </c>
      <c r="BE16" s="14">
        <f>BD16*VLOOKUP('Données projet'!$B$11,Paramètres!$A$1:$I$89,3,0)*VLOOKUP('Données projet'!$B$11,Paramètres!$A$1:$I$89,5,0)</f>
        <v>55.494400000000006</v>
      </c>
      <c r="BF16" s="14">
        <f t="shared" si="37"/>
        <v>16.023988434505792</v>
      </c>
      <c r="BG16" s="22">
        <f t="shared" si="7"/>
        <v>124.5611931900976</v>
      </c>
      <c r="BH16" s="62">
        <f t="shared" si="8"/>
        <v>397.11674874565313</v>
      </c>
      <c r="BI16" s="62">
        <f ca="1">AVERAGE(OFFSET($BH$3,0,0,'Données projet'!$E$11+1,1))-AVERAGE(OFFSET($H$3,0,0,'Données projet'!$E$11+1,1))</f>
        <v>187.13674266165236</v>
      </c>
      <c r="BJ16" s="62">
        <f t="shared" si="38"/>
        <v>439.28159165815276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16.277984942160291</v>
      </c>
      <c r="BS16" s="24">
        <f t="shared" si="9"/>
        <v>16.277984942160291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11</v>
      </c>
      <c r="BY16" s="13">
        <f>IF('Données projet'!$A$114&gt;35,BY15+BX16-CG15,IF(A16&lt;'Données projet'!$A$114,$BV$205^A16,IF(A16='Données projet'!$A$114,'Données projet'!$B$114,BY15+BX16-CG15)))</f>
        <v>91</v>
      </c>
      <c r="BZ16" s="14">
        <f>BY16*VLOOKUP('Données projet'!$B$12,Paramètres!$A$1:$I$89,3,0)*VLOOKUP('Données projet'!$B$12,Paramètres!$A$1:$I$89,5,0)</f>
        <v>82.336799999999997</v>
      </c>
      <c r="CA16" s="14">
        <f t="shared" si="39"/>
        <v>22.707582950885364</v>
      </c>
      <c r="CB16" s="22">
        <f t="shared" si="10"/>
        <v>182.95230030612535</v>
      </c>
      <c r="CC16" s="62">
        <f t="shared" si="11"/>
        <v>455.50785586168092</v>
      </c>
      <c r="CD16" s="62">
        <f ca="1">AVERAGE(OFFSET($CC$3,0,0,'Données projet'!$E$12+1,1))-AVERAGE(OFFSET($H$3,0,0,'Données projet'!$E$12+1,1))</f>
        <v>302.6112905010138</v>
      </c>
      <c r="CE16" s="62">
        <f t="shared" si="40"/>
        <v>423.44006663873375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425.4630229177061</v>
      </c>
      <c r="S17" s="62">
        <f ca="1">AVERAGE(OFFSET($R$3,0,0,'Données projet'!$E$9+1,1))-AVERAGE(OFFSET($H$3,0,0,'Données projet'!$E$9+1,1))</f>
        <v>187.13674266165236</v>
      </c>
      <c r="T17" s="62">
        <f t="shared" si="34"/>
        <v>439.28159165815276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6.6</v>
      </c>
      <c r="AI17" s="14">
        <f>IF('Données projet'!$A$62&gt;35,AI16+AH17-AQ16,IF(A17&lt;'Données projet'!$A$62,$AF$205^A17,IF(A17='Données projet'!$A$62,'Données projet'!$B$62,AI16+AH17-AQ16)))</f>
        <v>30.50715803683886</v>
      </c>
      <c r="AJ17" s="14">
        <f>AI17*VLOOKUP('Données projet'!$B$10,Paramètres!$A$1:$I$89,3,0)*VLOOKUP('Données projet'!$B$10,Paramètres!$A$1:$I$89,5,0)</f>
        <v>26.651053260982433</v>
      </c>
      <c r="AK17" s="14">
        <f t="shared" si="35"/>
        <v>8.3813367159737684</v>
      </c>
      <c r="AL17" s="22">
        <f t="shared" si="4"/>
        <v>61.014745876532061</v>
      </c>
      <c r="AM17" s="62">
        <f t="shared" si="5"/>
        <v>334.79252365430983</v>
      </c>
      <c r="AN17" s="62">
        <f ca="1">AVERAGE(OFFSET($AM$3,0,0,'Données projet'!$E$10+1,1))-AVERAGE(OFFSET($H$3,0,0,'Données projet'!$E$10+1,1))</f>
        <v>327.826081588335</v>
      </c>
      <c r="AO17" s="62">
        <f t="shared" si="36"/>
        <v>348.84706693879735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20.8</v>
      </c>
      <c r="BD17" s="13">
        <f>IF('Données projet'!$A$88&gt;35,BD16+BC17-BL16,IF(A17&lt;'Données projet'!$A$88,$BA$205^A17,IF(A17='Données projet'!$A$88,'Données projet'!$B$88,BD16+BC17-BL16)))</f>
        <v>113.6</v>
      </c>
      <c r="BE17" s="14">
        <f>BD17*VLOOKUP('Données projet'!$B$11,Paramètres!$A$1:$I$89,3,0)*VLOOKUP('Données projet'!$B$11,Paramètres!$A$1:$I$89,5,0)</f>
        <v>67.9328</v>
      </c>
      <c r="BF17" s="14">
        <f t="shared" si="37"/>
        <v>19.159206778906245</v>
      </c>
      <c r="BG17" s="22">
        <f t="shared" si="7"/>
        <v>151.68524513992836</v>
      </c>
      <c r="BH17" s="62">
        <f t="shared" si="8"/>
        <v>425.4630229177061</v>
      </c>
      <c r="BI17" s="62">
        <f ca="1">AVERAGE(OFFSET($BH$3,0,0,'Données projet'!$E$11+1,1))-AVERAGE(OFFSET($H$3,0,0,'Données projet'!$E$11+1,1))</f>
        <v>187.13674266165236</v>
      </c>
      <c r="BJ17" s="62">
        <f t="shared" si="38"/>
        <v>439.28159165815276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11.510273536654053</v>
      </c>
      <c r="BS17" s="24">
        <f t="shared" si="9"/>
        <v>11.510273536654053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11</v>
      </c>
      <c r="BY17" s="13">
        <f>IF('Données projet'!$A$114&gt;35,BY16+BX17-CG16,IF(A17&lt;'Données projet'!$A$114,$BV$205^A17,IF(A17='Données projet'!$A$114,'Données projet'!$B$114,BY16+BX17-CG16)))</f>
        <v>102</v>
      </c>
      <c r="BZ17" s="14">
        <f>BY17*VLOOKUP('Données projet'!$B$12,Paramètres!$A$1:$I$89,3,0)*VLOOKUP('Données projet'!$B$12,Paramètres!$A$1:$I$89,5,0)</f>
        <v>92.289599999999993</v>
      </c>
      <c r="CA17" s="14">
        <f t="shared" si="39"/>
        <v>25.116611431659546</v>
      </c>
      <c r="CB17" s="22">
        <f t="shared" si="10"/>
        <v>204.48248491014036</v>
      </c>
      <c r="CC17" s="62">
        <f t="shared" si="11"/>
        <v>478.26026268791816</v>
      </c>
      <c r="CD17" s="62">
        <f ca="1">AVERAGE(OFFSET($CC$3,0,0,'Données projet'!$E$12+1,1))-AVERAGE(OFFSET($H$3,0,0,'Données projet'!$E$12+1,1))</f>
        <v>302.6112905010138</v>
      </c>
      <c r="CE17" s="62">
        <f t="shared" si="40"/>
        <v>423.44006663873375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453.69346731764233</v>
      </c>
      <c r="S18" s="62">
        <f ca="1">AVERAGE(OFFSET($R$3,0,0,'Données projet'!$E$9+1,1))-AVERAGE(OFFSET($H$3,0,0,'Données projet'!$E$9+1,1))</f>
        <v>187.13674266165236</v>
      </c>
      <c r="T18" s="62">
        <f t="shared" si="34"/>
        <v>439.28159165815276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6.6</v>
      </c>
      <c r="AI18" s="14">
        <f>IF('Données projet'!$A$62&gt;35,AI17+AH18-AQ17,IF(A18&lt;'Données projet'!$A$62,$AF$205^A18,IF(A18='Données projet'!$A$62,'Données projet'!$B$62,AI17+AH18-AQ17)))</f>
        <v>38.943093594192561</v>
      </c>
      <c r="AJ18" s="14">
        <f>AI18*VLOOKUP('Données projet'!$B$10,Paramètres!$A$1:$I$89,3,0)*VLOOKUP('Données projet'!$B$10,Paramètres!$A$1:$I$89,5,0)</f>
        <v>34.02068656388662</v>
      </c>
      <c r="AK18" s="14">
        <f t="shared" si="35"/>
        <v>10.399207521197393</v>
      </c>
      <c r="AL18" s="22">
        <f t="shared" si="4"/>
        <v>77.364648864854644</v>
      </c>
      <c r="AM18" s="62">
        <f t="shared" si="5"/>
        <v>352.36464886485464</v>
      </c>
      <c r="AN18" s="62">
        <f ca="1">AVERAGE(OFFSET($AM$3,0,0,'Données projet'!$E$10+1,1))-AVERAGE(OFFSET($H$3,0,0,'Données projet'!$E$10+1,1))</f>
        <v>327.826081588335</v>
      </c>
      <c r="AO18" s="62">
        <f t="shared" si="36"/>
        <v>348.84706693879735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20.8</v>
      </c>
      <c r="BD18" s="13">
        <f>IF('Données projet'!$A$88&gt;35,BD17+BC18-BL17,IF(A18&lt;'Données projet'!$A$88,$BA$205^A18,IF(A18='Données projet'!$A$88,'Données projet'!$B$88,BD17+BC18-BL17)))</f>
        <v>134.4</v>
      </c>
      <c r="BE18" s="14">
        <f>BD18*VLOOKUP('Données projet'!$B$11,Paramètres!$A$1:$I$89,3,0)*VLOOKUP('Données projet'!$B$11,Paramètres!$A$1:$I$89,5,0)</f>
        <v>80.371200000000016</v>
      </c>
      <c r="BF18" s="14">
        <f t="shared" si="37"/>
        <v>22.227919990990831</v>
      </c>
      <c r="BG18" s="22">
        <f t="shared" si="7"/>
        <v>178.69346731764236</v>
      </c>
      <c r="BH18" s="62">
        <f t="shared" si="8"/>
        <v>453.69346731764233</v>
      </c>
      <c r="BI18" s="62">
        <f ca="1">AVERAGE(OFFSET($BH$3,0,0,'Données projet'!$E$11+1,1))-AVERAGE(OFFSET($H$3,0,0,'Données projet'!$E$11+1,1))</f>
        <v>187.13674266165236</v>
      </c>
      <c r="BJ18" s="62">
        <f t="shared" si="38"/>
        <v>439.28159165815276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8.1389924710801456</v>
      </c>
      <c r="BS18" s="24">
        <f t="shared" si="9"/>
        <v>8.1389924710801456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113</v>
      </c>
      <c r="BW18" s="13">
        <f>VLOOKUP(A18,'Données projet'!$A$113:$I$133,9,0)</f>
        <v>11</v>
      </c>
      <c r="BX18" s="13">
        <f t="array" ref="BX18">INDEX(BW:BW,MIN(IF(ISNUMBER(BW18:BW214),ROW(BW18:BW214),"")))</f>
        <v>11</v>
      </c>
      <c r="BY18" s="13">
        <f>IF('Données projet'!$A$114&gt;35,BY17+BX18-CG17,IF(A18&lt;'Données projet'!$A$114,$BV$205^A18,IF(A18='Données projet'!$A$114,'Données projet'!$B$114,BY17+BX18-CG17)))</f>
        <v>113</v>
      </c>
      <c r="BZ18" s="14">
        <f>BY18*VLOOKUP('Données projet'!$B$12,Paramètres!$A$1:$I$89,3,0)*VLOOKUP('Données projet'!$B$12,Paramètres!$A$1:$I$89,5,0)</f>
        <v>102.24239999999999</v>
      </c>
      <c r="CA18" s="14">
        <f t="shared" si="39"/>
        <v>27.495526976991481</v>
      </c>
      <c r="CB18" s="22">
        <f t="shared" si="10"/>
        <v>225.96022281826015</v>
      </c>
      <c r="CC18" s="62">
        <f t="shared" si="11"/>
        <v>500.96022281826015</v>
      </c>
      <c r="CD18" s="62">
        <f ca="1">AVERAGE(OFFSET($CC$3,0,0,'Données projet'!$E$12+1,1))-AVERAGE(OFFSET($H$3,0,0,'Données projet'!$E$12+1,1))</f>
        <v>302.6112905010138</v>
      </c>
      <c r="CE18" s="62">
        <f t="shared" si="40"/>
        <v>423.44006663873375</v>
      </c>
      <c r="CF18" s="16">
        <f>IF(ISNA(VLOOKUP(A18,'Données projet'!$A$113:$I$133,3,0)),0,VLOOKUP(A18,'Données projet'!$A$113:$I$133,3,0))</f>
        <v>3</v>
      </c>
      <c r="CG18" s="16">
        <f>IF(ISNA(VLOOKUP(A18,'Données projet'!$A$113:$I$133,4,0)),0,VLOOKUP(A18,'Données projet'!$A$113:$I$133,4,0))</f>
        <v>17</v>
      </c>
      <c r="CH18" s="17">
        <f>IF(ISNA(VLOOKUP(A18,'Données projet'!$A$113:$I$133,5,0)),0%,VLOOKUP(A18,'Données projet'!$A$113:$I$133,5,0)*VLOOKUP('Données projet'!$B$12,Paramètres!$A$1:$I$89,7,0))</f>
        <v>0.06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1.0202341913894415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1.0202341913894415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481.82808974199105</v>
      </c>
      <c r="S19" s="62">
        <f ca="1">AVERAGE(OFFSET($R$3,0,0,'Données projet'!$E$9+1,1))-AVERAGE(OFFSET($H$3,0,0,'Données projet'!$E$9+1,1))</f>
        <v>187.13674266165236</v>
      </c>
      <c r="T19" s="62">
        <f t="shared" si="34"/>
        <v>439.28159165815276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6.6</v>
      </c>
      <c r="AI19" s="14">
        <f>IF('Données projet'!$A$62&gt;35,AI18+AH19-AQ18,IF(A19&lt;'Données projet'!$A$62,$AF$205^A19,IF(A19='Données projet'!$A$62,'Données projet'!$B$62,AI18+AH19-AQ18)))</f>
        <v>49.711760658095955</v>
      </c>
      <c r="AJ19" s="14">
        <f>AI19*VLOOKUP('Données projet'!$B$10,Paramètres!$A$1:$I$89,3,0)*VLOOKUP('Données projet'!$B$10,Paramètres!$A$1:$I$89,5,0)</f>
        <v>43.428194110912635</v>
      </c>
      <c r="AK19" s="14">
        <f t="shared" si="35"/>
        <v>12.902896129065022</v>
      </c>
      <c r="AL19" s="22">
        <f t="shared" si="4"/>
        <v>98.109982167961064</v>
      </c>
      <c r="AM19" s="62">
        <f t="shared" si="5"/>
        <v>374.33220439018328</v>
      </c>
      <c r="AN19" s="62">
        <f ca="1">AVERAGE(OFFSET($AM$3,0,0,'Données projet'!$E$10+1,1))-AVERAGE(OFFSET($H$3,0,0,'Données projet'!$E$10+1,1))</f>
        <v>327.826081588335</v>
      </c>
      <c r="AO19" s="62">
        <f t="shared" si="36"/>
        <v>348.84706693879735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20.8</v>
      </c>
      <c r="BD19" s="13">
        <f>IF('Données projet'!$A$88&gt;35,BD18+BC19-BL18,IF(A19&lt;'Données projet'!$A$88,$BA$205^A19,IF(A19='Données projet'!$A$88,'Données projet'!$B$88,BD18+BC19-BL18)))</f>
        <v>155.20000000000002</v>
      </c>
      <c r="BE19" s="14">
        <f>BD19*VLOOKUP('Données projet'!$B$11,Paramètres!$A$1:$I$89,3,0)*VLOOKUP('Données projet'!$B$11,Paramètres!$A$1:$I$89,5,0)</f>
        <v>92.809600000000017</v>
      </c>
      <c r="BF19" s="14">
        <f t="shared" si="37"/>
        <v>25.241615800824192</v>
      </c>
      <c r="BG19" s="22">
        <f t="shared" si="7"/>
        <v>205.60586751976882</v>
      </c>
      <c r="BH19" s="62">
        <f t="shared" si="8"/>
        <v>481.82808974199105</v>
      </c>
      <c r="BI19" s="62">
        <f ca="1">AVERAGE(OFFSET($BH$3,0,0,'Données projet'!$E$11+1,1))-AVERAGE(OFFSET($H$3,0,0,'Données projet'!$E$11+1,1))</f>
        <v>187.13674266165236</v>
      </c>
      <c r="BJ19" s="62">
        <f t="shared" si="38"/>
        <v>439.28159165815276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5.7551367683270263</v>
      </c>
      <c r="BS19" s="24">
        <f t="shared" si="9"/>
        <v>5.7551367683270263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9.8000000000000007</v>
      </c>
      <c r="BY19" s="13">
        <f>IF('Données projet'!$A$114&gt;35,BY18+BX19-CG18,IF(A19&lt;'Données projet'!$A$114,$BV$205^A19,IF(A19='Données projet'!$A$114,'Données projet'!$B$114,BY18+BX19-CG18)))</f>
        <v>105.8</v>
      </c>
      <c r="BZ19" s="14">
        <f>BY19*VLOOKUP('Données projet'!$B$12,Paramètres!$A$1:$I$89,3,0)*VLOOKUP('Données projet'!$B$12,Paramètres!$A$1:$I$89,5,0)</f>
        <v>95.72784</v>
      </c>
      <c r="CA19" s="14">
        <f t="shared" si="39"/>
        <v>25.941642560384413</v>
      </c>
      <c r="CB19" s="22">
        <f t="shared" si="10"/>
        <v>211.90768212600287</v>
      </c>
      <c r="CC19" s="62">
        <f t="shared" si="11"/>
        <v>488.12990434822507</v>
      </c>
      <c r="CD19" s="62">
        <f ca="1">AVERAGE(OFFSET($CC$3,0,0,'Données projet'!$E$12+1,1))-AVERAGE(OFFSET($H$3,0,0,'Données projet'!$E$12+1,1))</f>
        <v>302.6112905010138</v>
      </c>
      <c r="CE19" s="62">
        <f t="shared" si="40"/>
        <v>423.44006663873375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1.0002280211777062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1.0002280211777062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509.88120811744579</v>
      </c>
      <c r="S20" s="62">
        <f ca="1">AVERAGE(OFFSET($R$3,0,0,'Données projet'!$E$9+1,1))-AVERAGE(OFFSET($H$3,0,0,'Données projet'!$E$9+1,1))</f>
        <v>187.13674266165236</v>
      </c>
      <c r="T20" s="62">
        <f t="shared" si="34"/>
        <v>439.28159165815276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6.6</v>
      </c>
      <c r="AI20" s="14">
        <f>IF('Données projet'!$A$62&gt;35,AI19+AH20-AQ19,IF(A20&lt;'Données projet'!$A$62,$AF$205^A20,IF(A20='Données projet'!$A$62,'Données projet'!$B$62,AI19+AH20-AQ19)))</f>
        <v>63.458213501978861</v>
      </c>
      <c r="AJ20" s="14">
        <f>AI20*VLOOKUP('Données projet'!$B$10,Paramètres!$A$1:$I$89,3,0)*VLOOKUP('Données projet'!$B$10,Paramètres!$A$1:$I$89,5,0)</f>
        <v>55.437095315328747</v>
      </c>
      <c r="AK20" s="14">
        <f t="shared" si="35"/>
        <v>16.009366884744278</v>
      </c>
      <c r="AL20" s="22">
        <f t="shared" si="4"/>
        <v>124.4359216651272</v>
      </c>
      <c r="AM20" s="62">
        <f t="shared" si="5"/>
        <v>401.88036610957164</v>
      </c>
      <c r="AN20" s="62">
        <f ca="1">AVERAGE(OFFSET($AM$3,0,0,'Données projet'!$E$10+1,1))-AVERAGE(OFFSET($H$3,0,0,'Données projet'!$E$10+1,1))</f>
        <v>327.826081588335</v>
      </c>
      <c r="AO20" s="62">
        <f t="shared" si="36"/>
        <v>348.84706693879735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>
        <f>VLOOKUP(A20,'Données projet'!$A$87:$I$107,2,0)</f>
        <v>176</v>
      </c>
      <c r="BB20" s="13">
        <f>VLOOKUP(A20,'Données projet'!$A$87:$I$107,9,0)</f>
        <v>20.8</v>
      </c>
      <c r="BC20" s="13">
        <f t="array" ref="BC20">INDEX(BB:BB,MIN(IF(ISNUMBER(BB20:BB216),ROW(BB20:BB216),"")))</f>
        <v>20.8</v>
      </c>
      <c r="BD20" s="13">
        <f>IF('Données projet'!$A$88&gt;35,BD19+BC20-BL19,IF(A20&lt;'Données projet'!$A$88,$BA$205^A20,IF(A20='Données projet'!$A$88,'Données projet'!$B$88,BD19+BC20-BL19)))</f>
        <v>176.00000000000003</v>
      </c>
      <c r="BE20" s="14">
        <f>BD20*VLOOKUP('Données projet'!$B$11,Paramètres!$A$1:$I$89,3,0)*VLOOKUP('Données projet'!$B$11,Paramètres!$A$1:$I$89,5,0)</f>
        <v>105.24800000000003</v>
      </c>
      <c r="BF20" s="14">
        <f t="shared" si="37"/>
        <v>28.208515027560551</v>
      </c>
      <c r="BG20" s="22">
        <f t="shared" si="7"/>
        <v>232.43676367300134</v>
      </c>
      <c r="BH20" s="62">
        <f t="shared" si="8"/>
        <v>509.88120811744579</v>
      </c>
      <c r="BI20" s="62">
        <f ca="1">AVERAGE(OFFSET($BH$3,0,0,'Données projet'!$E$11+1,1))-AVERAGE(OFFSET($H$3,0,0,'Données projet'!$E$11+1,1))</f>
        <v>187.13674266165236</v>
      </c>
      <c r="BJ20" s="62">
        <f t="shared" si="38"/>
        <v>439.28159165815276</v>
      </c>
      <c r="BK20" s="16">
        <f>IF(ISNA(VLOOKUP(A20,'Données projet'!$A$87:$I$107,3,0)),0,VLOOKUP(A20,'Données projet'!$A$87:$I$107,3,0))</f>
        <v>2</v>
      </c>
      <c r="BL20" s="16">
        <f>IF(ISNA(VLOOKUP(A20,'Données projet'!$A$87:$I$107,4,0)),0,VLOOKUP(A20,'Données projet'!$A$87:$I$107,4,0))</f>
        <v>43</v>
      </c>
      <c r="BM20" s="17">
        <f>IF(ISNA(VLOOKUP(A20,'Données projet'!$A$87:$I$107,5,0)),0%,VLOOKUP(A20,'Données projet'!$A$87:$I$107,5,0)*VLOOKUP('Données projet'!$B$11,Paramètres!$A$1:$I$89,7,0))</f>
        <v>9.0000000000000011E-2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0.8</v>
      </c>
      <c r="BP20" s="23">
        <f>EXP(-LN(2)/35)*BP19+(1-EXP(-LN(2)/35))/(LN(2)/35)*BL20*BM20*VLOOKUP('Données projet'!$B$11,Paramètres!$A$1:$I$89,3,0)*0.475*44/12</f>
        <v>3.0700150566455107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27.360873274416509</v>
      </c>
      <c r="BS20" s="24">
        <f t="shared" si="9"/>
        <v>30.430888331062018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9.8000000000000007</v>
      </c>
      <c r="BY20" s="13">
        <f>IF('Données projet'!$A$114&gt;35,BY19+BX20-CG19,IF(A20&lt;'Données projet'!$A$114,$BV$205^A20,IF(A20='Données projet'!$A$114,'Données projet'!$B$114,BY19+BX20-CG19)))</f>
        <v>115.6</v>
      </c>
      <c r="BZ20" s="14">
        <f>BY20*VLOOKUP('Données projet'!$B$12,Paramètres!$A$1:$I$89,3,0)*VLOOKUP('Données projet'!$B$12,Paramètres!$A$1:$I$89,5,0)</f>
        <v>104.59487999999999</v>
      </c>
      <c r="CA20" s="14">
        <f t="shared" si="39"/>
        <v>28.053785838854211</v>
      </c>
      <c r="CB20" s="22">
        <f t="shared" si="10"/>
        <v>231.02975966933766</v>
      </c>
      <c r="CC20" s="62">
        <f t="shared" si="11"/>
        <v>508.47420411378209</v>
      </c>
      <c r="CD20" s="62">
        <f ca="1">AVERAGE(OFFSET($CC$3,0,0,'Données projet'!$E$12+1,1))-AVERAGE(OFFSET($H$3,0,0,'Données projet'!$E$12+1,1))</f>
        <v>302.6112905010138</v>
      </c>
      <c r="CE20" s="62">
        <f t="shared" si="40"/>
        <v>423.44006663873375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0.98061415976126398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0.98061415976126398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481.1716507072569</v>
      </c>
      <c r="S21" s="62">
        <f ca="1">AVERAGE(OFFSET($R$3,0,0,'Données projet'!$E$9+1,1))-AVERAGE(OFFSET($H$3,0,0,'Données projet'!$E$9+1,1))</f>
        <v>187.13674266165236</v>
      </c>
      <c r="T21" s="62">
        <f t="shared" si="34"/>
        <v>439.28159165815276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6.6</v>
      </c>
      <c r="AI21" s="14">
        <f>IF('Données projet'!$A$62&gt;35,AI20+AH21-AQ20,IF(A21&lt;'Données projet'!$A$62,$AF$205^A21,IF(A21='Données projet'!$A$62,'Données projet'!$B$62,AI20+AH21-AQ20)))</f>
        <v>81.005878841406769</v>
      </c>
      <c r="AJ21" s="14">
        <f>AI21*VLOOKUP('Données projet'!$B$10,Paramètres!$A$1:$I$89,3,0)*VLOOKUP('Données projet'!$B$10,Paramètres!$A$1:$I$89,5,0)</f>
        <v>70.766735755852963</v>
      </c>
      <c r="AK21" s="14">
        <f t="shared" si="35"/>
        <v>19.863744192515547</v>
      </c>
      <c r="AL21" s="22">
        <f t="shared" si="4"/>
        <v>157.84808591007513</v>
      </c>
      <c r="AM21" s="62">
        <f t="shared" si="5"/>
        <v>436.51475257674178</v>
      </c>
      <c r="AN21" s="62">
        <f ca="1">AVERAGE(OFFSET($AM$3,0,0,'Données projet'!$E$10+1,1))-AVERAGE(OFFSET($H$3,0,0,'Données projet'!$E$10+1,1))</f>
        <v>327.826081588335</v>
      </c>
      <c r="AO21" s="62">
        <f t="shared" si="36"/>
        <v>348.84706693879735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19.8</v>
      </c>
      <c r="BD21" s="13">
        <f>IF('Données projet'!$A$88&gt;35,BD20+BC21-BL20,IF(A21&lt;'Données projet'!$A$88,$BA$205^A21,IF(A21='Données projet'!$A$88,'Données projet'!$B$88,BD20+BC21-BL20)))</f>
        <v>152.80000000000004</v>
      </c>
      <c r="BE21" s="14">
        <f>BD21*VLOOKUP('Données projet'!$B$11,Paramètres!$A$1:$I$89,3,0)*VLOOKUP('Données projet'!$B$11,Paramètres!$A$1:$I$89,5,0)</f>
        <v>91.374400000000037</v>
      </c>
      <c r="BF21" s="14">
        <f t="shared" si="37"/>
        <v>24.89640423383166</v>
      </c>
      <c r="BG21" s="22">
        <f t="shared" si="7"/>
        <v>202.50498404059022</v>
      </c>
      <c r="BH21" s="62">
        <f t="shared" si="8"/>
        <v>481.1716507072569</v>
      </c>
      <c r="BI21" s="62">
        <f ca="1">AVERAGE(OFFSET($BH$3,0,0,'Données projet'!$E$11+1,1))-AVERAGE(OFFSET($H$3,0,0,'Données projet'!$E$11+1,1))</f>
        <v>187.13674266165236</v>
      </c>
      <c r="BJ21" s="62">
        <f t="shared" si="38"/>
        <v>439.28159165815276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3.0098139339089802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19.347059031525692</v>
      </c>
      <c r="BS21" s="24">
        <f t="shared" si="9"/>
        <v>22.356872965434672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9.8000000000000007</v>
      </c>
      <c r="BY21" s="13">
        <f>IF('Données projet'!$A$114&gt;35,BY20+BX21-CG20,IF(A21&lt;'Données projet'!$A$114,$BV$205^A21,IF(A21='Données projet'!$A$114,'Données projet'!$B$114,BY20+BX21-CG20)))</f>
        <v>125.39999999999999</v>
      </c>
      <c r="BZ21" s="14">
        <f>BY21*VLOOKUP('Données projet'!$B$12,Paramètres!$A$1:$I$89,3,0)*VLOOKUP('Données projet'!$B$12,Paramètres!$A$1:$I$89,5,0)</f>
        <v>113.46191999999998</v>
      </c>
      <c r="CA21" s="14">
        <f t="shared" si="39"/>
        <v>30.145163126535493</v>
      </c>
      <c r="CB21" s="22">
        <f t="shared" si="10"/>
        <v>250.11566977871595</v>
      </c>
      <c r="CC21" s="62">
        <f t="shared" si="11"/>
        <v>528.78233644538261</v>
      </c>
      <c r="CD21" s="62">
        <f ca="1">AVERAGE(OFFSET($CC$3,0,0,'Données projet'!$E$12+1,1))-AVERAGE(OFFSET($H$3,0,0,'Données projet'!$E$12+1,1))</f>
        <v>302.6112905010138</v>
      </c>
      <c r="CE21" s="62">
        <f t="shared" si="40"/>
        <v>423.44006663873375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0.96138491420392402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0.96138491420392402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507.94492229456341</v>
      </c>
      <c r="S22" s="62">
        <f ca="1">AVERAGE(OFFSET($R$3,0,0,'Données projet'!$E$9+1,1))-AVERAGE(OFFSET($H$3,0,0,'Données projet'!$E$9+1,1))</f>
        <v>187.13674266165236</v>
      </c>
      <c r="T22" s="62">
        <f t="shared" si="34"/>
        <v>439.28159165815276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6.6</v>
      </c>
      <c r="AI22" s="14">
        <f>IF('Données projet'!$A$62&gt;35,AI21+AH22-AQ21,IF(A22&lt;'Données projet'!$A$62,$AF$205^A22,IF(A22='Données projet'!$A$62,'Données projet'!$B$62,AI21+AH22-AQ21)))</f>
        <v>103.40587994435182</v>
      </c>
      <c r="AJ22" s="14">
        <f>AI22*VLOOKUP('Données projet'!$B$10,Paramètres!$A$1:$I$89,3,0)*VLOOKUP('Données projet'!$B$10,Paramètres!$A$1:$I$89,5,0)</f>
        <v>90.335376719385764</v>
      </c>
      <c r="AK22" s="14">
        <f t="shared" si="35"/>
        <v>24.646092265003244</v>
      </c>
      <c r="AL22" s="22">
        <f t="shared" si="4"/>
        <v>200.25939181447754</v>
      </c>
      <c r="AM22" s="62">
        <f t="shared" si="5"/>
        <v>480.14828070336637</v>
      </c>
      <c r="AN22" s="62">
        <f ca="1">AVERAGE(OFFSET($AM$3,0,0,'Données projet'!$E$10+1,1))-AVERAGE(OFFSET($H$3,0,0,'Données projet'!$E$10+1,1))</f>
        <v>327.826081588335</v>
      </c>
      <c r="AO22" s="62">
        <f t="shared" si="36"/>
        <v>348.84706693879735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19.8</v>
      </c>
      <c r="BD22" s="13">
        <f>IF('Données projet'!$A$88&gt;35,BD21+BC22-BL21,IF(A22&lt;'Données projet'!$A$88,$BA$205^A22,IF(A22='Données projet'!$A$88,'Données projet'!$B$88,BD21+BC22-BL21)))</f>
        <v>172.60000000000005</v>
      </c>
      <c r="BE22" s="14">
        <f>BD22*VLOOKUP('Données projet'!$B$11,Paramètres!$A$1:$I$89,3,0)*VLOOKUP('Données projet'!$B$11,Paramètres!$A$1:$I$89,5,0)</f>
        <v>103.21480000000004</v>
      </c>
      <c r="BF22" s="14">
        <f t="shared" si="37"/>
        <v>27.726463199430338</v>
      </c>
      <c r="BG22" s="22">
        <f t="shared" si="7"/>
        <v>228.05603340567458</v>
      </c>
      <c r="BH22" s="62">
        <f t="shared" si="8"/>
        <v>507.94492229456341</v>
      </c>
      <c r="BI22" s="62">
        <f ca="1">AVERAGE(OFFSET($BH$3,0,0,'Données projet'!$E$11+1,1))-AVERAGE(OFFSET($H$3,0,0,'Données projet'!$E$11+1,1))</f>
        <v>187.13674266165236</v>
      </c>
      <c r="BJ22" s="62">
        <f t="shared" si="38"/>
        <v>439.28159165815276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2.9507933184702542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13.680436637208256</v>
      </c>
      <c r="BS22" s="24">
        <f t="shared" si="9"/>
        <v>16.63122995567851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9.8000000000000007</v>
      </c>
      <c r="BY22" s="13">
        <f>IF('Données projet'!$A$114&gt;35,BY21+BX22-CG21,IF(A22&lt;'Données projet'!$A$114,$BV$205^A22,IF(A22='Données projet'!$A$114,'Données projet'!$B$114,BY21+BX22-CG21)))</f>
        <v>135.19999999999999</v>
      </c>
      <c r="BZ22" s="14">
        <f>BY22*VLOOKUP('Données projet'!$B$12,Paramètres!$A$1:$I$89,3,0)*VLOOKUP('Données projet'!$B$12,Paramètres!$A$1:$I$89,5,0)</f>
        <v>122.32895999999998</v>
      </c>
      <c r="CA22" s="14">
        <f t="shared" si="39"/>
        <v>32.217581794883031</v>
      </c>
      <c r="CB22" s="22">
        <f t="shared" si="10"/>
        <v>269.16856029275453</v>
      </c>
      <c r="CC22" s="62">
        <f t="shared" si="11"/>
        <v>549.05744918164339</v>
      </c>
      <c r="CD22" s="62">
        <f ca="1">AVERAGE(OFFSET($CC$3,0,0,'Données projet'!$E$12+1,1))-AVERAGE(OFFSET($H$3,0,0,'Données projet'!$E$12+1,1))</f>
        <v>302.6112905010138</v>
      </c>
      <c r="CE22" s="62">
        <f t="shared" si="40"/>
        <v>423.44006663873375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0.94253274242328189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0.94253274242328189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534.65266281929757</v>
      </c>
      <c r="S23" s="62">
        <f ca="1">AVERAGE(OFFSET($R$3,0,0,'Données projet'!$E$9+1,1))-AVERAGE(OFFSET($H$3,0,0,'Données projet'!$E$9+1,1))</f>
        <v>187.13674266165236</v>
      </c>
      <c r="T23" s="62">
        <f t="shared" si="34"/>
        <v>439.28159165815276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132</v>
      </c>
      <c r="AG23" s="13">
        <f>VLOOKUP(A23,'Données projet'!$A$61:$I$81,9,0)</f>
        <v>6.6</v>
      </c>
      <c r="AH23" s="13">
        <f t="array" ref="AH23">INDEX(AG:AG,MIN(IF(ISNUMBER(AG23:AG219),ROW(AG23:AG219),"")))</f>
        <v>6.6</v>
      </c>
      <c r="AI23" s="14">
        <f>IF('Données projet'!$A$62&gt;35,AI22+AH23-AQ22,IF(A23&lt;'Données projet'!$A$62,$AF$205^A23,IF(A23='Données projet'!$A$62,'Données projet'!$B$62,AI22+AH23-AQ22)))</f>
        <v>132</v>
      </c>
      <c r="AJ23" s="14">
        <f>AI23*VLOOKUP('Données projet'!$B$10,Paramètres!$A$1:$I$89,3,0)*VLOOKUP('Données projet'!$B$10,Paramètres!$A$1:$I$89,5,0)</f>
        <v>115.3152</v>
      </c>
      <c r="AK23" s="14">
        <f t="shared" si="35"/>
        <v>30.579827148797317</v>
      </c>
      <c r="AL23" s="22">
        <f t="shared" si="4"/>
        <v>254.10050561748861</v>
      </c>
      <c r="AM23" s="62">
        <f t="shared" si="5"/>
        <v>535.21161672859978</v>
      </c>
      <c r="AN23" s="62">
        <f ca="1">AVERAGE(OFFSET($AM$3,0,0,'Données projet'!$E$10+1,1))-AVERAGE(OFFSET($H$3,0,0,'Données projet'!$E$10+1,1))</f>
        <v>327.826081588335</v>
      </c>
      <c r="AO23" s="62">
        <f t="shared" si="36"/>
        <v>348.84706693879735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50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19.8</v>
      </c>
      <c r="BD23" s="13">
        <f>IF('Données projet'!$A$88&gt;35,BD22+BC23-BL22,IF(A23&lt;'Données projet'!$A$88,$BA$205^A23,IF(A23='Données projet'!$A$88,'Données projet'!$B$88,BD22+BC23-BL22)))</f>
        <v>192.40000000000006</v>
      </c>
      <c r="BE23" s="14">
        <f>BD23*VLOOKUP('Données projet'!$B$11,Paramètres!$A$1:$I$89,3,0)*VLOOKUP('Données projet'!$B$11,Paramètres!$A$1:$I$89,5,0)</f>
        <v>115.05520000000004</v>
      </c>
      <c r="BF23" s="14">
        <f t="shared" si="37"/>
        <v>30.5188966745568</v>
      </c>
      <c r="BG23" s="22">
        <f t="shared" si="7"/>
        <v>253.54155170818649</v>
      </c>
      <c r="BH23" s="62">
        <f t="shared" si="8"/>
        <v>534.65266281929757</v>
      </c>
      <c r="BI23" s="62">
        <f ca="1">AVERAGE(OFFSET($BH$3,0,0,'Données projet'!$E$11+1,1))-AVERAGE(OFFSET($H$3,0,0,'Données projet'!$E$11+1,1))</f>
        <v>187.13674266165236</v>
      </c>
      <c r="BJ23" s="62">
        <f t="shared" si="38"/>
        <v>439.28159165815276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2.8929300613012607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9.6735295157628478</v>
      </c>
      <c r="BS23" s="24">
        <f t="shared" si="9"/>
        <v>12.566459577064109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145</v>
      </c>
      <c r="BW23" s="13">
        <f>VLOOKUP(A23,'Données projet'!$A$113:$I$133,9,0)</f>
        <v>9.8000000000000007</v>
      </c>
      <c r="BX23" s="13">
        <f t="array" ref="BX23">INDEX(BW:BW,MIN(IF(ISNUMBER(BW23:BW219),ROW(BW23:BW219),"")))</f>
        <v>9.8000000000000007</v>
      </c>
      <c r="BY23" s="13">
        <f>IF('Données projet'!$A$114&gt;35,BY22+BX23-CG22,IF(A23&lt;'Données projet'!$A$114,$BV$205^A23,IF(A23='Données projet'!$A$114,'Données projet'!$B$114,BY22+BX23-CG22)))</f>
        <v>145</v>
      </c>
      <c r="BZ23" s="14">
        <f>BY23*VLOOKUP('Données projet'!$B$12,Paramètres!$A$1:$I$89,3,0)*VLOOKUP('Données projet'!$B$12,Paramètres!$A$1:$I$89,5,0)</f>
        <v>131.196</v>
      </c>
      <c r="CA23" s="14">
        <f t="shared" si="39"/>
        <v>34.272572346624997</v>
      </c>
      <c r="CB23" s="22">
        <f t="shared" si="10"/>
        <v>288.19109683703851</v>
      </c>
      <c r="CC23" s="62">
        <f t="shared" si="11"/>
        <v>569.30220794814966</v>
      </c>
      <c r="CD23" s="62">
        <f ca="1">AVERAGE(OFFSET($CC$3,0,0,'Données projet'!$E$12+1,1))-AVERAGE(OFFSET($H$3,0,0,'Données projet'!$E$12+1,1))</f>
        <v>302.6112905010138</v>
      </c>
      <c r="CE23" s="62">
        <f t="shared" si="40"/>
        <v>423.44006663873375</v>
      </c>
      <c r="CF23" s="16">
        <f>IF(ISNA(VLOOKUP(A23,'Données projet'!$A$113:$I$133,3,0)),0,VLOOKUP(A23,'Données projet'!$A$113:$I$133,3,0))</f>
        <v>4</v>
      </c>
      <c r="CG23" s="16">
        <f>IF(ISNA(VLOOKUP(A23,'Données projet'!$A$113:$I$133,4,0)),0,VLOOKUP(A23,'Données projet'!$A$113:$I$133,4,0))</f>
        <v>14</v>
      </c>
      <c r="CH23" s="17">
        <f>IF(ISNA(VLOOKUP(A23,'Données projet'!$A$113:$I$133,5,0)),0%,VLOOKUP(A23,'Données projet'!$A$113:$I$133,5,0)*VLOOKUP('Données projet'!$B$12,Paramètres!$A$1:$I$89,7,0))</f>
        <v>0.24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4.2848217042213168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4.2848217042213168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561.30238416423026</v>
      </c>
      <c r="S24" s="62">
        <f ca="1">AVERAGE(OFFSET($R$3,0,0,'Données projet'!$E$9+1,1))-AVERAGE(OFFSET($H$3,0,0,'Données projet'!$E$9+1,1))</f>
        <v>187.13674266165236</v>
      </c>
      <c r="T24" s="62">
        <f t="shared" si="34"/>
        <v>439.28159165815276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12.2</v>
      </c>
      <c r="AI24" s="14">
        <f>IF('Données projet'!$A$62&gt;35,AI23+AH24-AQ23,IF(A24&lt;'Données projet'!$A$62,$AF$205^A24,IF(A24='Données projet'!$A$62,'Données projet'!$B$62,AI23+AH24-AQ23)))</f>
        <v>94.199999999999989</v>
      </c>
      <c r="AJ24" s="14">
        <f>AI24*VLOOKUP('Données projet'!$B$10,Paramètres!$A$1:$I$89,3,0)*VLOOKUP('Données projet'!$B$10,Paramètres!$A$1:$I$89,5,0)</f>
        <v>82.293120000000002</v>
      </c>
      <c r="AK24" s="14">
        <f t="shared" si="35"/>
        <v>22.696938367376966</v>
      </c>
      <c r="AL24" s="22">
        <f t="shared" si="4"/>
        <v>182.85768498984825</v>
      </c>
      <c r="AM24" s="62">
        <f t="shared" si="5"/>
        <v>465.19101832318154</v>
      </c>
      <c r="AN24" s="62">
        <f ca="1">AVERAGE(OFFSET($AM$3,0,0,'Données projet'!$E$10+1,1))-AVERAGE(OFFSET($H$3,0,0,'Données projet'!$E$10+1,1))</f>
        <v>327.826081588335</v>
      </c>
      <c r="AO24" s="62">
        <f t="shared" si="36"/>
        <v>348.84706693879735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19.8</v>
      </c>
      <c r="BD24" s="13">
        <f>IF('Données projet'!$A$88&gt;35,BD23+BC24-BL23,IF(A24&lt;'Données projet'!$A$88,$BA$205^A24,IF(A24='Données projet'!$A$88,'Données projet'!$B$88,BD23+BC24-BL23)))</f>
        <v>212.20000000000007</v>
      </c>
      <c r="BE24" s="14">
        <f>BD24*VLOOKUP('Données projet'!$B$11,Paramètres!$A$1:$I$89,3,0)*VLOOKUP('Données projet'!$B$11,Paramètres!$A$1:$I$89,5,0)</f>
        <v>126.89560000000006</v>
      </c>
      <c r="BF24" s="14">
        <f t="shared" si="37"/>
        <v>33.278017701950326</v>
      </c>
      <c r="BG24" s="22">
        <f t="shared" si="7"/>
        <v>278.96905083089689</v>
      </c>
      <c r="BH24" s="62">
        <f t="shared" si="8"/>
        <v>561.30238416423026</v>
      </c>
      <c r="BI24" s="62">
        <f ca="1">AVERAGE(OFFSET($BH$3,0,0,'Données projet'!$E$11+1,1))-AVERAGE(OFFSET($H$3,0,0,'Données projet'!$E$11+1,1))</f>
        <v>187.13674266165236</v>
      </c>
      <c r="BJ24" s="62">
        <f t="shared" si="38"/>
        <v>439.28159165815276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2.8362014673122493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6.8402183186041299</v>
      </c>
      <c r="BS24" s="24">
        <f t="shared" si="9"/>
        <v>9.6764197859163801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8.4</v>
      </c>
      <c r="BY24" s="13">
        <f>IF('Données projet'!$A$114&gt;35,BY23+BX24-CG23,IF(A24&lt;'Données projet'!$A$114,$BV$205^A24,IF(A24='Données projet'!$A$114,'Données projet'!$B$114,BY23+BX24-CG23)))</f>
        <v>139.4</v>
      </c>
      <c r="BZ24" s="14">
        <f>BY24*VLOOKUP('Données projet'!$B$12,Paramètres!$A$1:$I$89,3,0)*VLOOKUP('Données projet'!$B$12,Paramètres!$A$1:$I$89,5,0)</f>
        <v>126.12912000000001</v>
      </c>
      <c r="CA24" s="14">
        <f t="shared" si="39"/>
        <v>33.100345121748241</v>
      </c>
      <c r="CB24" s="22">
        <f t="shared" si="10"/>
        <v>277.32465175371152</v>
      </c>
      <c r="CC24" s="62">
        <f t="shared" si="11"/>
        <v>559.65798508704484</v>
      </c>
      <c r="CD24" s="62">
        <f ca="1">AVERAGE(OFFSET($CC$3,0,0,'Données projet'!$E$12+1,1))-AVERAGE(OFFSET($H$3,0,0,'Données projet'!$E$12+1,1))</f>
        <v>302.6112905010138</v>
      </c>
      <c r="CE24" s="62">
        <f t="shared" si="40"/>
        <v>423.44006663873375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4.2007989640847168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4.2007989640847168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587.9001157946177</v>
      </c>
      <c r="S25" s="62">
        <f ca="1">AVERAGE(OFFSET($R$3,0,0,'Données projet'!$E$9+1,1))-AVERAGE(OFFSET($H$3,0,0,'Données projet'!$E$9+1,1))</f>
        <v>187.13674266165236</v>
      </c>
      <c r="T25" s="62">
        <f t="shared" si="34"/>
        <v>439.28159165815276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12.2</v>
      </c>
      <c r="AI25" s="14">
        <f>IF('Données projet'!$A$62&gt;35,AI24+AH25-AQ24,IF(A25&lt;'Données projet'!$A$62,$AF$205^A25,IF(A25='Données projet'!$A$62,'Données projet'!$B$62,AI24+AH25-AQ24)))</f>
        <v>106.39999999999999</v>
      </c>
      <c r="AJ25" s="14">
        <f>AI25*VLOOKUP('Données projet'!$B$10,Paramètres!$A$1:$I$89,3,0)*VLOOKUP('Données projet'!$B$10,Paramètres!$A$1:$I$89,5,0)</f>
        <v>92.951040000000006</v>
      </c>
      <c r="AK25" s="14">
        <f t="shared" si="35"/>
        <v>25.275602869272223</v>
      </c>
      <c r="AL25" s="22">
        <f t="shared" si="4"/>
        <v>205.9114029973158</v>
      </c>
      <c r="AM25" s="62">
        <f t="shared" si="5"/>
        <v>489.46695855287135</v>
      </c>
      <c r="AN25" s="62">
        <f ca="1">AVERAGE(OFFSET($AM$3,0,0,'Données projet'!$E$10+1,1))-AVERAGE(OFFSET($H$3,0,0,'Données projet'!$E$10+1,1))</f>
        <v>327.826081588335</v>
      </c>
      <c r="AO25" s="62">
        <f t="shared" si="36"/>
        <v>348.84706693879735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>
        <f>VLOOKUP(A25,'Données projet'!$A$87:$I$107,2,0)</f>
        <v>232</v>
      </c>
      <c r="BB25" s="13">
        <f>VLOOKUP(A25,'Données projet'!$A$87:$I$107,9,0)</f>
        <v>19.8</v>
      </c>
      <c r="BC25" s="13">
        <f t="array" ref="BC25">INDEX(BB:BB,MIN(IF(ISNUMBER(BB25:BB221),ROW(BB25:BB221),"")))</f>
        <v>19.8</v>
      </c>
      <c r="BD25" s="13">
        <f>IF('Données projet'!$A$88&gt;35,BD24+BC25-BL24,IF(A25&lt;'Données projet'!$A$88,$BA$205^A25,IF(A25='Données projet'!$A$88,'Données projet'!$B$88,BD24+BC25-BL24)))</f>
        <v>232.00000000000009</v>
      </c>
      <c r="BE25" s="14">
        <f>BD25*VLOOKUP('Données projet'!$B$11,Paramètres!$A$1:$I$89,3,0)*VLOOKUP('Données projet'!$B$11,Paramètres!$A$1:$I$89,5,0)</f>
        <v>138.73600000000005</v>
      </c>
      <c r="BF25" s="14">
        <f t="shared" si="37"/>
        <v>36.007288175538072</v>
      </c>
      <c r="BG25" s="22">
        <f t="shared" si="7"/>
        <v>304.34456023906222</v>
      </c>
      <c r="BH25" s="62">
        <f t="shared" si="8"/>
        <v>587.9001157946177</v>
      </c>
      <c r="BI25" s="62">
        <f ca="1">AVERAGE(OFFSET($BH$3,0,0,'Données projet'!$E$11+1,1))-AVERAGE(OFFSET($H$3,0,0,'Données projet'!$E$11+1,1))</f>
        <v>187.13674266165236</v>
      </c>
      <c r="BJ25" s="62">
        <f t="shared" si="38"/>
        <v>439.28159165815276</v>
      </c>
      <c r="BK25" s="16">
        <f>IF(ISNA(VLOOKUP(A25,'Données projet'!$A$87:$I$107,3,0)),0,VLOOKUP(A25,'Données projet'!$A$87:$I$107,3,0))</f>
        <v>3</v>
      </c>
      <c r="BL25" s="16">
        <f>IF(ISNA(VLOOKUP(A25,'Données projet'!$A$87:$I$107,4,0)),0,VLOOKUP(A25,'Données projet'!$A$87:$I$107,4,0))</f>
        <v>56</v>
      </c>
      <c r="BM25" s="17">
        <f>IF(ISNA(VLOOKUP(A25,'Données projet'!$A$87:$I$107,5,0)),0%,VLOOKUP(A25,'Données projet'!$A$87:$I$107,5,0)*VLOOKUP('Données projet'!$B$11,Paramètres!$A$1:$I$89,7,0))</f>
        <v>0.18000000000000002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0.6</v>
      </c>
      <c r="BP25" s="23">
        <f>EXP(-LN(2)/35)*BP24+(1-EXP(-LN(2)/35))/(LN(2)/35)*BL25*BM25*VLOOKUP('Données projet'!$B$11,Paramètres!$A$1:$I$89,3,0)*0.475*44/12</f>
        <v>10.776903573527015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27.586481865621199</v>
      </c>
      <c r="BS25" s="24">
        <f t="shared" si="9"/>
        <v>38.363385439148217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8.4</v>
      </c>
      <c r="BY25" s="13">
        <f>IF('Données projet'!$A$114&gt;35,BY24+BX25-CG24,IF(A25&lt;'Données projet'!$A$114,$BV$205^A25,IF(A25='Données projet'!$A$114,'Données projet'!$B$114,BY24+BX25-CG24)))</f>
        <v>147.80000000000001</v>
      </c>
      <c r="BZ25" s="14">
        <f>BY25*VLOOKUP('Données projet'!$B$12,Paramètres!$A$1:$I$89,3,0)*VLOOKUP('Données projet'!$B$12,Paramètres!$A$1:$I$89,5,0)</f>
        <v>133.72944000000001</v>
      </c>
      <c r="CA25" s="14">
        <f t="shared" si="39"/>
        <v>34.856699711744326</v>
      </c>
      <c r="CB25" s="22">
        <f t="shared" si="10"/>
        <v>293.62085999795471</v>
      </c>
      <c r="CC25" s="62">
        <f t="shared" si="11"/>
        <v>577.1764155535102</v>
      </c>
      <c r="CD25" s="62">
        <f ca="1">AVERAGE(OFFSET($CC$3,0,0,'Données projet'!$E$12+1,1))-AVERAGE(OFFSET($H$3,0,0,'Données projet'!$E$12+1,1))</f>
        <v>302.6112905010138</v>
      </c>
      <c r="CE25" s="62">
        <f t="shared" si="40"/>
        <v>423.44006663873375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4.1184238586333839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4.1184238586333839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538.60859161500105</v>
      </c>
      <c r="S26" s="62">
        <f ca="1">AVERAGE(OFFSET($R$3,0,0,'Données projet'!$E$9+1,1))-AVERAGE(OFFSET($H$3,0,0,'Données projet'!$E$9+1,1))</f>
        <v>187.13674266165236</v>
      </c>
      <c r="T26" s="62">
        <f t="shared" si="34"/>
        <v>439.28159165815276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12.2</v>
      </c>
      <c r="AI26" s="14">
        <f>IF('Données projet'!$A$62&gt;35,AI25+AH26-AQ25,IF(A26&lt;'Données projet'!$A$62,$AF$205^A26,IF(A26='Données projet'!$A$62,'Données projet'!$B$62,AI25+AH26-AQ25)))</f>
        <v>118.6</v>
      </c>
      <c r="AJ26" s="14">
        <f>AI26*VLOOKUP('Données projet'!$B$10,Paramètres!$A$1:$I$89,3,0)*VLOOKUP('Données projet'!$B$10,Paramètres!$A$1:$I$89,5,0)</f>
        <v>103.60896</v>
      </c>
      <c r="AK26" s="14">
        <f t="shared" si="35"/>
        <v>27.820000397643376</v>
      </c>
      <c r="AL26" s="22">
        <f t="shared" si="4"/>
        <v>228.90543935922889</v>
      </c>
      <c r="AM26" s="62">
        <f t="shared" si="5"/>
        <v>513.68321713700664</v>
      </c>
      <c r="AN26" s="62">
        <f ca="1">AVERAGE(OFFSET($AM$3,0,0,'Données projet'!$E$10+1,1))-AVERAGE(OFFSET($H$3,0,0,'Données projet'!$E$10+1,1))</f>
        <v>327.826081588335</v>
      </c>
      <c r="AO26" s="62">
        <f t="shared" si="36"/>
        <v>348.84706693879735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16.625</v>
      </c>
      <c r="BD26" s="13">
        <f>IF('Données projet'!$A$88&gt;35,BD25+BC26-BL25,IF(A26&lt;'Données projet'!$A$88,$BA$205^A26,IF(A26='Données projet'!$A$88,'Données projet'!$B$88,BD25+BC26-BL25)))</f>
        <v>192.62500000000009</v>
      </c>
      <c r="BE26" s="14">
        <f>BD26*VLOOKUP('Données projet'!$B$11,Paramètres!$A$1:$I$89,3,0)*VLOOKUP('Données projet'!$B$11,Paramètres!$A$1:$I$89,5,0)</f>
        <v>115.18975000000006</v>
      </c>
      <c r="BF26" s="14">
        <f t="shared" si="37"/>
        <v>30.550430193620951</v>
      </c>
      <c r="BG26" s="22">
        <f t="shared" si="7"/>
        <v>253.83081383722325</v>
      </c>
      <c r="BH26" s="62">
        <f t="shared" si="8"/>
        <v>538.60859161500105</v>
      </c>
      <c r="BI26" s="62">
        <f ca="1">AVERAGE(OFFSET($BH$3,0,0,'Données projet'!$E$11+1,1))-AVERAGE(OFFSET($H$3,0,0,'Données projet'!$E$11+1,1))</f>
        <v>187.13674266165236</v>
      </c>
      <c r="BJ26" s="62">
        <f t="shared" si="38"/>
        <v>439.28159165815276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10.565575067712274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19.506588396260472</v>
      </c>
      <c r="BS26" s="24">
        <f t="shared" si="9"/>
        <v>30.072163463972746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8.4</v>
      </c>
      <c r="BY26" s="13">
        <f>IF('Données projet'!$A$114&gt;35,BY25+BX26-CG25,IF(A26&lt;'Données projet'!$A$114,$BV$205^A26,IF(A26='Données projet'!$A$114,'Données projet'!$B$114,BY25+BX26-CG25)))</f>
        <v>156.20000000000002</v>
      </c>
      <c r="BZ26" s="14">
        <f>BY26*VLOOKUP('Données projet'!$B$12,Paramètres!$A$1:$I$89,3,0)*VLOOKUP('Données projet'!$B$12,Paramètres!$A$1:$I$89,5,0)</f>
        <v>141.32976000000002</v>
      </c>
      <c r="CA26" s="14">
        <f t="shared" si="39"/>
        <v>36.601467030988793</v>
      </c>
      <c r="CB26" s="22">
        <f t="shared" si="10"/>
        <v>309.89688707897216</v>
      </c>
      <c r="CC26" s="62">
        <f t="shared" si="11"/>
        <v>594.67466485674993</v>
      </c>
      <c r="CD26" s="62">
        <f ca="1">AVERAGE(OFFSET($CC$3,0,0,'Données projet'!$E$12+1,1))-AVERAGE(OFFSET($H$3,0,0,'Données projet'!$E$12+1,1))</f>
        <v>302.6112905010138</v>
      </c>
      <c r="CE26" s="62">
        <f t="shared" si="40"/>
        <v>423.44006663873375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4.0376640787560989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4.0376640787560989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561.18403886927126</v>
      </c>
      <c r="S27" s="62">
        <f ca="1">AVERAGE(OFFSET($R$3,0,0,'Données projet'!$E$9+1,1))-AVERAGE(OFFSET($H$3,0,0,'Données projet'!$E$9+1,1))</f>
        <v>187.13674266165236</v>
      </c>
      <c r="T27" s="62">
        <f t="shared" si="34"/>
        <v>439.28159165815276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12.2</v>
      </c>
      <c r="AI27" s="14">
        <f>IF('Données projet'!$A$62&gt;35,AI26+AH27-AQ26,IF(A27&lt;'Données projet'!$A$62,$AF$205^A27,IF(A27='Données projet'!$A$62,'Données projet'!$B$62,AI26+AH27-AQ26)))</f>
        <v>130.79999999999998</v>
      </c>
      <c r="AJ27" s="14">
        <f>AI27*VLOOKUP('Données projet'!$B$10,Paramètres!$A$1:$I$89,3,0)*VLOOKUP('Données projet'!$B$10,Paramètres!$A$1:$I$89,5,0)</f>
        <v>114.26687999999999</v>
      </c>
      <c r="AK27" s="14">
        <f t="shared" si="35"/>
        <v>30.334057329879929</v>
      </c>
      <c r="AL27" s="22">
        <f t="shared" si="4"/>
        <v>251.84663251620748</v>
      </c>
      <c r="AM27" s="62">
        <f t="shared" si="5"/>
        <v>537.84663251620748</v>
      </c>
      <c r="AN27" s="62">
        <f ca="1">AVERAGE(OFFSET($AM$3,0,0,'Données projet'!$E$10+1,1))-AVERAGE(OFFSET($H$3,0,0,'Données projet'!$E$10+1,1))</f>
        <v>327.826081588335</v>
      </c>
      <c r="AO27" s="62">
        <f t="shared" si="36"/>
        <v>348.84706693879735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16.625</v>
      </c>
      <c r="BD27" s="13">
        <f>IF('Données projet'!$A$88&gt;35,BD26+BC27-BL26,IF(A27&lt;'Données projet'!$A$88,$BA$205^A27,IF(A27='Données projet'!$A$88,'Données projet'!$B$88,BD26+BC27-BL26)))</f>
        <v>209.25000000000009</v>
      </c>
      <c r="BE27" s="14">
        <f>BD27*VLOOKUP('Données projet'!$B$11,Paramètres!$A$1:$I$89,3,0)*VLOOKUP('Données projet'!$B$11,Paramètres!$A$1:$I$89,5,0)</f>
        <v>125.13150000000006</v>
      </c>
      <c r="BF27" s="14">
        <f t="shared" si="37"/>
        <v>32.868905092404546</v>
      </c>
      <c r="BG27" s="22">
        <f t="shared" si="7"/>
        <v>275.18403886927132</v>
      </c>
      <c r="BH27" s="62">
        <f t="shared" si="8"/>
        <v>561.18403886927126</v>
      </c>
      <c r="BI27" s="62">
        <f ca="1">AVERAGE(OFFSET($BH$3,0,0,'Données projet'!$E$11+1,1))-AVERAGE(OFFSET($H$3,0,0,'Données projet'!$E$11+1,1))</f>
        <v>187.13674266165236</v>
      </c>
      <c r="BJ27" s="62">
        <f t="shared" si="38"/>
        <v>439.28159165815276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10.358390584998899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13.793240932810601</v>
      </c>
      <c r="BS27" s="24">
        <f t="shared" si="9"/>
        <v>24.151631517809498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8.4</v>
      </c>
      <c r="BY27" s="13">
        <f>IF('Données projet'!$A$114&gt;35,BY26+BX27-CG26,IF(A27&lt;'Données projet'!$A$114,$BV$205^A27,IF(A27='Données projet'!$A$114,'Données projet'!$B$114,BY26+BX27-CG26)))</f>
        <v>164.60000000000002</v>
      </c>
      <c r="BZ27" s="14">
        <f>BY27*VLOOKUP('Données projet'!$B$12,Paramètres!$A$1:$I$89,3,0)*VLOOKUP('Données projet'!$B$12,Paramètres!$A$1:$I$89,5,0)</f>
        <v>148.93008</v>
      </c>
      <c r="CA27" s="14">
        <f t="shared" si="39"/>
        <v>38.335341256889777</v>
      </c>
      <c r="CB27" s="22">
        <f t="shared" si="10"/>
        <v>326.1539420224164</v>
      </c>
      <c r="CC27" s="62">
        <f t="shared" si="11"/>
        <v>612.15394202241646</v>
      </c>
      <c r="CD27" s="62">
        <f ca="1">AVERAGE(OFFSET($CC$3,0,0,'Données projet'!$E$12+1,1))-AVERAGE(OFFSET($H$3,0,0,'Données projet'!$E$12+1,1))</f>
        <v>302.6112905010138</v>
      </c>
      <c r="CE27" s="62">
        <f t="shared" si="40"/>
        <v>423.44006663873375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3.9584879489036053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3.9584879489036053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583.72227333286173</v>
      </c>
      <c r="S28" s="62">
        <f ca="1">AVERAGE(OFFSET($R$3,0,0,'Données projet'!$E$9+1,1))-AVERAGE(OFFSET($H$3,0,0,'Données projet'!$E$9+1,1))</f>
        <v>187.13674266165236</v>
      </c>
      <c r="T28" s="62">
        <f t="shared" si="34"/>
        <v>439.28159165815276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143</v>
      </c>
      <c r="AG28" s="13">
        <f>VLOOKUP(A28,'Données projet'!$A$61:$I$81,9,0)</f>
        <v>12.2</v>
      </c>
      <c r="AH28" s="13">
        <f t="array" ref="AH28">INDEX(AG:AG,MIN(IF(ISNUMBER(AG28:AG224),ROW(AG28:AG224),"")))</f>
        <v>12.2</v>
      </c>
      <c r="AI28" s="14">
        <f>IF('Données projet'!$A$62&gt;35,AI27+AH28-AQ27,IF(A28&lt;'Données projet'!$A$62,$AF$205^A28,IF(A28='Données projet'!$A$62,'Données projet'!$B$62,AI27+AH28-AQ27)))</f>
        <v>142.99999999999997</v>
      </c>
      <c r="AJ28" s="14">
        <f>AI28*VLOOKUP('Données projet'!$B$10,Paramètres!$A$1:$I$89,3,0)*VLOOKUP('Données projet'!$B$10,Paramètres!$A$1:$I$89,5,0)</f>
        <v>124.9248</v>
      </c>
      <c r="AK28" s="14">
        <f t="shared" si="35"/>
        <v>32.820925500842712</v>
      </c>
      <c r="AL28" s="22">
        <f t="shared" si="4"/>
        <v>274.74047191396772</v>
      </c>
      <c r="AM28" s="62">
        <f t="shared" si="5"/>
        <v>561.96269413618995</v>
      </c>
      <c r="AN28" s="62">
        <f ca="1">AVERAGE(OFFSET($AM$3,0,0,'Données projet'!$E$10+1,1))-AVERAGE(OFFSET($H$3,0,0,'Données projet'!$E$10+1,1))</f>
        <v>327.826081588335</v>
      </c>
      <c r="AO28" s="62">
        <f t="shared" si="36"/>
        <v>348.84706693879735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37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0.215</v>
      </c>
      <c r="AT28" s="17">
        <f>IF(ISNA(VLOOKUP(A28,'Données projet'!$A$61:$I$81,7,0)),0%,VLOOKUP(A28,'Données projet'!$A$61:$I$81,7,0))</f>
        <v>0.5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7.6522043916754932</v>
      </c>
      <c r="AW28" s="23">
        <f>EXP(-LN(2)/2)*AW27+(1-EXP(-LN(2)/2))/(LN(2)/2)*AQ28*AT28*VLOOKUP('Données projet'!$B$10,Paramètres!$A$1:$I$89,3,0)*0.475*44/12</f>
        <v>15.248904583086444</v>
      </c>
      <c r="AX28" s="23">
        <f t="shared" si="6"/>
        <v>22.901108974761939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16.625</v>
      </c>
      <c r="BD28" s="13">
        <f>IF('Données projet'!$A$88&gt;35,BD27+BC28-BL27,IF(A28&lt;'Données projet'!$A$88,$BA$205^A28,IF(A28='Données projet'!$A$88,'Données projet'!$B$88,BD27+BC28-BL27)))</f>
        <v>225.87500000000009</v>
      </c>
      <c r="BE28" s="14">
        <f>BD28*VLOOKUP('Données projet'!$B$11,Paramètres!$A$1:$I$89,3,0)*VLOOKUP('Données projet'!$B$11,Paramètres!$A$1:$I$89,5,0)</f>
        <v>135.07325000000006</v>
      </c>
      <c r="BF28" s="14">
        <f t="shared" si="37"/>
        <v>35.166013795582487</v>
      </c>
      <c r="BG28" s="22">
        <f t="shared" si="7"/>
        <v>296.50005111063956</v>
      </c>
      <c r="BH28" s="62">
        <f t="shared" si="8"/>
        <v>583.72227333286173</v>
      </c>
      <c r="BI28" s="62">
        <f ca="1">AVERAGE(OFFSET($BH$3,0,0,'Données projet'!$E$11+1,1))-AVERAGE(OFFSET($H$3,0,0,'Données projet'!$E$11+1,1))</f>
        <v>187.13674266165236</v>
      </c>
      <c r="BJ28" s="62">
        <f t="shared" si="38"/>
        <v>439.28159165815276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10.155268863621478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9.7532941981302379</v>
      </c>
      <c r="BS28" s="24">
        <f t="shared" si="9"/>
        <v>19.908563061751714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173</v>
      </c>
      <c r="BW28" s="13">
        <f>VLOOKUP(A28,'Données projet'!$A$113:$I$133,9,0)</f>
        <v>8.4</v>
      </c>
      <c r="BX28" s="13">
        <f t="array" ref="BX28">INDEX(BW:BW,MIN(IF(ISNUMBER(BW28:BW224),ROW(BW28:BW224),"")))</f>
        <v>8.4</v>
      </c>
      <c r="BY28" s="13">
        <f>IF('Données projet'!$A$114&gt;35,BY27+BX28-CG27,IF(A28&lt;'Données projet'!$A$114,$BV$205^A28,IF(A28='Données projet'!$A$114,'Données projet'!$B$114,BY27+BX28-CG27)))</f>
        <v>173.00000000000003</v>
      </c>
      <c r="BZ28" s="14">
        <f>BY28*VLOOKUP('Données projet'!$B$12,Paramètres!$A$1:$I$89,3,0)*VLOOKUP('Données projet'!$B$12,Paramètres!$A$1:$I$89,5,0)</f>
        <v>156.53040000000001</v>
      </c>
      <c r="CA28" s="14">
        <f t="shared" si="39"/>
        <v>40.058941713182037</v>
      </c>
      <c r="CB28" s="22">
        <f t="shared" si="10"/>
        <v>342.39310348379212</v>
      </c>
      <c r="CC28" s="62">
        <f t="shared" si="11"/>
        <v>629.61532570601435</v>
      </c>
      <c r="CD28" s="62">
        <f ca="1">AVERAGE(OFFSET($CC$3,0,0,'Données projet'!$E$12+1,1))-AVERAGE(OFFSET($H$3,0,0,'Données projet'!$E$12+1,1))</f>
        <v>302.6112905010138</v>
      </c>
      <c r="CE28" s="62">
        <f t="shared" si="40"/>
        <v>423.44006663873375</v>
      </c>
      <c r="CF28" s="16">
        <f>IF(ISNA(VLOOKUP(A28,'Données projet'!$A$113:$I$133,3,0)),0,VLOOKUP(A28,'Données projet'!$A$113:$I$133,3,0))</f>
        <v>5</v>
      </c>
      <c r="CG28" s="16">
        <f>IF(ISNA(VLOOKUP(A28,'Données projet'!$A$113:$I$133,4,0)),0,VLOOKUP(A28,'Données projet'!$A$113:$I$133,4,0))</f>
        <v>11</v>
      </c>
      <c r="CH28" s="17">
        <f>IF(ISNA(VLOOKUP(A28,'Données projet'!$A$113:$I$133,5,0)),0%,VLOOKUP(A28,'Données projet'!$A$113:$I$133,5,0)*VLOOKUP('Données projet'!$B$12,Paramètres!$A$1:$I$89,7,0))</f>
        <v>0.24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6.5214705570845792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6.5214705570845792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606.22634543239269</v>
      </c>
      <c r="S29" s="62">
        <f ca="1">AVERAGE(OFFSET($R$3,0,0,'Données projet'!$E$9+1,1))-AVERAGE(OFFSET($H$3,0,0,'Données projet'!$E$9+1,1))</f>
        <v>187.13674266165236</v>
      </c>
      <c r="T29" s="62">
        <f t="shared" si="34"/>
        <v>439.28159165815276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11.4</v>
      </c>
      <c r="AI29" s="14">
        <f>IF('Données projet'!$A$62&gt;35,AI28+AH29-AQ28,IF(A29&lt;'Données projet'!$A$62,$AF$205^A29,IF(A29='Données projet'!$A$62,'Données projet'!$B$62,AI28+AH29-AQ28)))</f>
        <v>117.39999999999998</v>
      </c>
      <c r="AJ29" s="14">
        <f>AI29*VLOOKUP('Données projet'!$B$10,Paramètres!$A$1:$I$89,3,0)*VLOOKUP('Données projet'!$B$10,Paramètres!$A$1:$I$89,5,0)</f>
        <v>102.56064000000001</v>
      </c>
      <c r="AK29" s="14">
        <f t="shared" si="35"/>
        <v>27.571134131783779</v>
      </c>
      <c r="AL29" s="22">
        <f t="shared" si="4"/>
        <v>226.64617327952342</v>
      </c>
      <c r="AM29" s="62">
        <f t="shared" si="5"/>
        <v>515.09061772396785</v>
      </c>
      <c r="AN29" s="62">
        <f ca="1">AVERAGE(OFFSET($AM$3,0,0,'Données projet'!$E$10+1,1))-AVERAGE(OFFSET($H$3,0,0,'Données projet'!$E$10+1,1))</f>
        <v>327.826081588335</v>
      </c>
      <c r="AO29" s="62">
        <f t="shared" si="36"/>
        <v>348.84706693879735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7.442954460173187</v>
      </c>
      <c r="AW29" s="23">
        <f>EXP(-LN(2)/2)*AW28+(1-EXP(-LN(2)/2))/(LN(2)/2)*AQ29*AT29*VLOOKUP('Données projet'!$B$10,Paramètres!$A$1:$I$89,3,0)*0.475*44/12</f>
        <v>10.782603836367048</v>
      </c>
      <c r="AX29" s="23">
        <f t="shared" si="6"/>
        <v>18.225558296540235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16.625</v>
      </c>
      <c r="BD29" s="13">
        <f>IF('Données projet'!$A$88&gt;35,BD28+BC29-BL28,IF(A29&lt;'Données projet'!$A$88,$BA$205^A29,IF(A29='Données projet'!$A$88,'Données projet'!$B$88,BD28+BC29-BL28)))</f>
        <v>242.50000000000009</v>
      </c>
      <c r="BE29" s="14">
        <f>BD29*VLOOKUP('Données projet'!$B$11,Paramètres!$A$1:$I$89,3,0)*VLOOKUP('Données projet'!$B$11,Paramètres!$A$1:$I$89,5,0)</f>
        <v>145.01500000000004</v>
      </c>
      <c r="BF29" s="14">
        <f t="shared" si="37"/>
        <v>37.443507744276459</v>
      </c>
      <c r="BG29" s="22">
        <f t="shared" si="7"/>
        <v>317.78190098794829</v>
      </c>
      <c r="BH29" s="62">
        <f t="shared" si="8"/>
        <v>606.22634543239269</v>
      </c>
      <c r="BI29" s="62">
        <f ca="1">AVERAGE(OFFSET($BH$3,0,0,'Données projet'!$E$11+1,1))-AVERAGE(OFFSET($H$3,0,0,'Données projet'!$E$11+1,1))</f>
        <v>187.13674266165236</v>
      </c>
      <c r="BJ29" s="62">
        <f t="shared" si="38"/>
        <v>439.28159165815276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9.956130235308251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6.8966204664053024</v>
      </c>
      <c r="BS29" s="24">
        <f t="shared" si="9"/>
        <v>16.852750701713553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6.8</v>
      </c>
      <c r="BY29" s="13">
        <f>IF('Données projet'!$A$114&gt;35,BY28+BX29-CG28,IF(A29&lt;'Données projet'!$A$114,$BV$205^A29,IF(A29='Données projet'!$A$114,'Données projet'!$B$114,BY28+BX29-CG28)))</f>
        <v>168.80000000000004</v>
      </c>
      <c r="BZ29" s="14">
        <f>BY29*VLOOKUP('Données projet'!$B$12,Paramètres!$A$1:$I$89,3,0)*VLOOKUP('Données projet'!$B$12,Paramètres!$A$1:$I$89,5,0)</f>
        <v>152.73024000000001</v>
      </c>
      <c r="CA29" s="14">
        <f t="shared" si="39"/>
        <v>39.198389597047516</v>
      </c>
      <c r="CB29" s="22">
        <f t="shared" si="10"/>
        <v>334.27569654819109</v>
      </c>
      <c r="CC29" s="62">
        <f t="shared" si="11"/>
        <v>622.72014099263561</v>
      </c>
      <c r="CD29" s="62">
        <f ca="1">AVERAGE(OFFSET($CC$3,0,0,'Données projet'!$E$12+1,1))-AVERAGE(OFFSET($H$3,0,0,'Données projet'!$E$12+1,1))</f>
        <v>302.6112905010138</v>
      </c>
      <c r="CE29" s="62">
        <f t="shared" si="40"/>
        <v>423.44006663873375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6.3935884971644246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6.3935884971644246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628.69886366407695</v>
      </c>
      <c r="S30" s="62">
        <f ca="1">AVERAGE(OFFSET($R$3,0,0,'Données projet'!$E$9+1,1))-AVERAGE(OFFSET($H$3,0,0,'Données projet'!$E$9+1,1))</f>
        <v>187.13674266165236</v>
      </c>
      <c r="T30" s="62">
        <f t="shared" si="34"/>
        <v>439.28159165815276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11.4</v>
      </c>
      <c r="AI30" s="14">
        <f>IF('Données projet'!$A$62&gt;35,AI29+AH30-AQ29,IF(A30&lt;'Données projet'!$A$62,$AF$205^A30,IF(A30='Données projet'!$A$62,'Données projet'!$B$62,AI29+AH30-AQ29)))</f>
        <v>128.79999999999998</v>
      </c>
      <c r="AJ30" s="14">
        <f>AI30*VLOOKUP('Données projet'!$B$10,Paramètres!$A$1:$I$89,3,0)*VLOOKUP('Données projet'!$B$10,Paramètres!$A$1:$I$89,5,0)</f>
        <v>112.51968000000001</v>
      </c>
      <c r="AK30" s="14">
        <f t="shared" si="35"/>
        <v>29.923856072189899</v>
      </c>
      <c r="AL30" s="22">
        <f t="shared" si="4"/>
        <v>248.08915865906408</v>
      </c>
      <c r="AM30" s="62">
        <f t="shared" si="5"/>
        <v>537.75582532573071</v>
      </c>
      <c r="AN30" s="62">
        <f ca="1">AVERAGE(OFFSET($AM$3,0,0,'Données projet'!$E$10+1,1))-AVERAGE(OFFSET($H$3,0,0,'Données projet'!$E$10+1,1))</f>
        <v>327.826081588335</v>
      </c>
      <c r="AO30" s="62">
        <f t="shared" si="36"/>
        <v>348.84706693879735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7.2394264790517875</v>
      </c>
      <c r="AW30" s="23">
        <f>EXP(-LN(2)/2)*AW29+(1-EXP(-LN(2)/2))/(LN(2)/2)*AQ30*AT30*VLOOKUP('Données projet'!$B$10,Paramètres!$A$1:$I$89,3,0)*0.475*44/12</f>
        <v>7.6244522915432231</v>
      </c>
      <c r="AX30" s="23">
        <f t="shared" si="6"/>
        <v>14.863878770595012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16.625</v>
      </c>
      <c r="BD30" s="13">
        <f>IF('Données projet'!$A$88&gt;35,BD29+BC30-BL29,IF(A30&lt;'Données projet'!$A$88,$BA$205^A30,IF(A30='Données projet'!$A$88,'Données projet'!$B$88,BD29+BC30-BL29)))</f>
        <v>259.12500000000011</v>
      </c>
      <c r="BE30" s="14">
        <f>BD30*VLOOKUP('Données projet'!$B$11,Paramètres!$A$1:$I$89,3,0)*VLOOKUP('Données projet'!$B$11,Paramètres!$A$1:$I$89,5,0)</f>
        <v>154.95675000000008</v>
      </c>
      <c r="BF30" s="14">
        <f t="shared" si="37"/>
        <v>39.702884639661342</v>
      </c>
      <c r="BG30" s="22">
        <f t="shared" si="7"/>
        <v>339.03219699741027</v>
      </c>
      <c r="BH30" s="62">
        <f t="shared" si="8"/>
        <v>628.69886366407695</v>
      </c>
      <c r="BI30" s="62">
        <f ca="1">AVERAGE(OFFSET($BH$3,0,0,'Données projet'!$E$11+1,1))-AVERAGE(OFFSET($H$3,0,0,'Données projet'!$E$11+1,1))</f>
        <v>187.13674266165236</v>
      </c>
      <c r="BJ30" s="62">
        <f t="shared" si="38"/>
        <v>439.28159165815276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9.7608965940336763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4.8766470990651198</v>
      </c>
      <c r="BS30" s="24">
        <f t="shared" si="9"/>
        <v>14.637543693098795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6.8</v>
      </c>
      <c r="BY30" s="13">
        <f>IF('Données projet'!$A$114&gt;35,BY29+BX30-CG29,IF(A30&lt;'Données projet'!$A$114,$BV$205^A30,IF(A30='Données projet'!$A$114,'Données projet'!$B$114,BY29+BX30-CG29)))</f>
        <v>175.60000000000005</v>
      </c>
      <c r="BZ30" s="14">
        <f>BY30*VLOOKUP('Données projet'!$B$12,Paramètres!$A$1:$I$89,3,0)*VLOOKUP('Données projet'!$B$12,Paramètres!$A$1:$I$89,5,0)</f>
        <v>158.88288000000006</v>
      </c>
      <c r="CA30" s="14">
        <f t="shared" si="39"/>
        <v>40.590443217000178</v>
      </c>
      <c r="CB30" s="22">
        <f t="shared" si="10"/>
        <v>347.41603793627536</v>
      </c>
      <c r="CC30" s="62">
        <f t="shared" si="11"/>
        <v>637.08270460294204</v>
      </c>
      <c r="CD30" s="62">
        <f ca="1">AVERAGE(OFFSET($CC$3,0,0,'Données projet'!$E$12+1,1))-AVERAGE(OFFSET($H$3,0,0,'Données projet'!$E$12+1,1))</f>
        <v>302.6112905010138</v>
      </c>
      <c r="CE30" s="62">
        <f t="shared" si="40"/>
        <v>423.44006663873375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6.2682141264389495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6.2682141264389495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651.14208288676889</v>
      </c>
      <c r="S31" s="62">
        <f ca="1">AVERAGE(OFFSET($R$3,0,0,'Données projet'!$E$9+1,1))-AVERAGE(OFFSET($H$3,0,0,'Données projet'!$E$9+1,1))</f>
        <v>187.13674266165236</v>
      </c>
      <c r="T31" s="62">
        <f t="shared" si="34"/>
        <v>439.28159165815276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11.4</v>
      </c>
      <c r="AI31" s="14">
        <f>IF('Données projet'!$A$62&gt;35,AI30+AH31-AQ30,IF(A31&lt;'Données projet'!$A$62,$AF$205^A31,IF(A31='Données projet'!$A$62,'Données projet'!$B$62,AI30+AH31-AQ30)))</f>
        <v>140.19999999999999</v>
      </c>
      <c r="AJ31" s="14">
        <f>AI31*VLOOKUP('Données projet'!$B$10,Paramètres!$A$1:$I$89,3,0)*VLOOKUP('Données projet'!$B$10,Paramètres!$A$1:$I$89,5,0)</f>
        <v>122.47872000000001</v>
      </c>
      <c r="AK31" s="14">
        <f t="shared" si="35"/>
        <v>32.252430308904003</v>
      </c>
      <c r="AL31" s="22">
        <f t="shared" si="4"/>
        <v>269.49008678800777</v>
      </c>
      <c r="AM31" s="62">
        <f t="shared" si="5"/>
        <v>560.37897567689663</v>
      </c>
      <c r="AN31" s="62">
        <f ca="1">AVERAGE(OFFSET($AM$3,0,0,'Données projet'!$E$10+1,1))-AVERAGE(OFFSET($H$3,0,0,'Données projet'!$E$10+1,1))</f>
        <v>327.826081588335</v>
      </c>
      <c r="AO31" s="62">
        <f t="shared" si="36"/>
        <v>348.84706693879735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7.0414639812772242</v>
      </c>
      <c r="AW31" s="23">
        <f>EXP(-LN(2)/2)*AW30+(1-EXP(-LN(2)/2))/(LN(2)/2)*AQ31*AT31*VLOOKUP('Données projet'!$B$10,Paramètres!$A$1:$I$89,3,0)*0.475*44/12</f>
        <v>5.3913019181835251</v>
      </c>
      <c r="AX31" s="23">
        <f t="shared" si="6"/>
        <v>12.432765899460749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16.625</v>
      </c>
      <c r="BD31" s="13">
        <f>IF('Données projet'!$A$88&gt;35,BD30+BC31-BL30,IF(A31&lt;'Données projet'!$A$88,$BA$205^A31,IF(A31='Données projet'!$A$88,'Données projet'!$B$88,BD30+BC31-BL30)))</f>
        <v>275.75000000000011</v>
      </c>
      <c r="BE31" s="14">
        <f>BD31*VLOOKUP('Données projet'!$B$11,Paramètres!$A$1:$I$89,3,0)*VLOOKUP('Données projet'!$B$11,Paramètres!$A$1:$I$89,5,0)</f>
        <v>164.89850000000007</v>
      </c>
      <c r="BF31" s="14">
        <f t="shared" si="37"/>
        <v>41.94543913753872</v>
      </c>
      <c r="BG31" s="22">
        <f t="shared" si="7"/>
        <v>360.25319399788003</v>
      </c>
      <c r="BH31" s="62">
        <f t="shared" si="8"/>
        <v>651.14208288676889</v>
      </c>
      <c r="BI31" s="62">
        <f ca="1">AVERAGE(OFFSET($BH$3,0,0,'Données projet'!$E$11+1,1))-AVERAGE(OFFSET($H$3,0,0,'Données projet'!$E$11+1,1))</f>
        <v>187.13674266165236</v>
      </c>
      <c r="BJ31" s="62">
        <f t="shared" si="38"/>
        <v>439.28159165815276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9.5694913653837332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3.4483102332026516</v>
      </c>
      <c r="BS31" s="24">
        <f t="shared" si="9"/>
        <v>13.017801598586384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6.8</v>
      </c>
      <c r="BY31" s="13">
        <f>IF('Données projet'!$A$114&gt;35,BY30+BX31-CG30,IF(A31&lt;'Données projet'!$A$114,$BV$205^A31,IF(A31='Données projet'!$A$114,'Données projet'!$B$114,BY30+BX31-CG30)))</f>
        <v>182.40000000000006</v>
      </c>
      <c r="BZ31" s="14">
        <f>BY31*VLOOKUP('Données projet'!$B$12,Paramètres!$A$1:$I$89,3,0)*VLOOKUP('Données projet'!$B$12,Paramètres!$A$1:$I$89,5,0)</f>
        <v>165.03552000000005</v>
      </c>
      <c r="CA31" s="14">
        <f t="shared" si="39"/>
        <v>41.976234598846517</v>
      </c>
      <c r="CB31" s="22">
        <f t="shared" si="10"/>
        <v>360.54547259299108</v>
      </c>
      <c r="CC31" s="62">
        <f t="shared" si="11"/>
        <v>651.43436148187993</v>
      </c>
      <c r="CD31" s="62">
        <f ca="1">AVERAGE(OFFSET($CC$3,0,0,'Données projet'!$E$12+1,1))-AVERAGE(OFFSET($H$3,0,0,'Données projet'!$E$12+1,1))</f>
        <v>302.6112905010138</v>
      </c>
      <c r="CE31" s="62">
        <f t="shared" si="40"/>
        <v>423.44006663873375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6.145298270652586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6.145298270652586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673.55797070593519</v>
      </c>
      <c r="S32" s="62">
        <f ca="1">AVERAGE(OFFSET($R$3,0,0,'Données projet'!$E$9+1,1))-AVERAGE(OFFSET($H$3,0,0,'Données projet'!$E$9+1,1))</f>
        <v>187.13674266165236</v>
      </c>
      <c r="T32" s="62">
        <f t="shared" si="34"/>
        <v>439.28159165815276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11.4</v>
      </c>
      <c r="AI32" s="14">
        <f>IF('Données projet'!$A$62&gt;35,AI31+AH32-AQ31,IF(A32&lt;'Données projet'!$A$62,$AF$205^A32,IF(A32='Données projet'!$A$62,'Données projet'!$B$62,AI31+AH32-AQ31)))</f>
        <v>151.6</v>
      </c>
      <c r="AJ32" s="14">
        <f>AI32*VLOOKUP('Données projet'!$B$10,Paramètres!$A$1:$I$89,3,0)*VLOOKUP('Données projet'!$B$10,Paramètres!$A$1:$I$89,5,0)</f>
        <v>132.43776</v>
      </c>
      <c r="AK32" s="14">
        <f t="shared" si="35"/>
        <v>34.559043580858436</v>
      </c>
      <c r="AL32" s="22">
        <f t="shared" si="4"/>
        <v>290.85276623666175</v>
      </c>
      <c r="AM32" s="62">
        <f t="shared" si="5"/>
        <v>582.96387734777295</v>
      </c>
      <c r="AN32" s="62">
        <f ca="1">AVERAGE(OFFSET($AM$3,0,0,'Données projet'!$E$10+1,1))-AVERAGE(OFFSET($H$3,0,0,'Données projet'!$E$10+1,1))</f>
        <v>327.826081588335</v>
      </c>
      <c r="AO32" s="62">
        <f t="shared" si="36"/>
        <v>348.84706693879735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6.8489147784147013</v>
      </c>
      <c r="AW32" s="23">
        <f>EXP(-LN(2)/2)*AW31+(1-EXP(-LN(2)/2))/(LN(2)/2)*AQ32*AT32*VLOOKUP('Données projet'!$B$10,Paramètres!$A$1:$I$89,3,0)*0.475*44/12</f>
        <v>3.812226145771612</v>
      </c>
      <c r="AX32" s="23">
        <f t="shared" si="6"/>
        <v>10.661140924186313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16.625</v>
      </c>
      <c r="BD32" s="13">
        <f>IF('Données projet'!$A$88&gt;35,BD31+BC32-BL31,IF(A32&lt;'Données projet'!$A$88,$BA$205^A32,IF(A32='Données projet'!$A$88,'Données projet'!$B$88,BD31+BC32-BL31)))</f>
        <v>292.37500000000011</v>
      </c>
      <c r="BE32" s="14">
        <f>BD32*VLOOKUP('Données projet'!$B$11,Paramètres!$A$1:$I$89,3,0)*VLOOKUP('Données projet'!$B$11,Paramètres!$A$1:$I$89,5,0)</f>
        <v>174.84025000000008</v>
      </c>
      <c r="BF32" s="14">
        <f t="shared" si="37"/>
        <v>44.172300963535264</v>
      </c>
      <c r="BG32" s="22">
        <f t="shared" si="7"/>
        <v>381.44685959482405</v>
      </c>
      <c r="BH32" s="62">
        <f t="shared" si="8"/>
        <v>673.55797070593519</v>
      </c>
      <c r="BI32" s="62">
        <f ca="1">AVERAGE(OFFSET($BH$3,0,0,'Données projet'!$E$11+1,1))-AVERAGE(OFFSET($H$3,0,0,'Données projet'!$E$11+1,1))</f>
        <v>187.13674266165236</v>
      </c>
      <c r="BJ32" s="62">
        <f t="shared" si="38"/>
        <v>439.28159165815276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9.3818394765219537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2.4383235495325604</v>
      </c>
      <c r="BS32" s="24">
        <f t="shared" si="9"/>
        <v>11.820163026054514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6.8</v>
      </c>
      <c r="BY32" s="13">
        <f>IF('Données projet'!$A$114&gt;35,BY31+BX32-CG31,IF(A32&lt;'Données projet'!$A$114,$BV$205^A32,IF(A32='Données projet'!$A$114,'Données projet'!$B$114,BY31+BX32-CG31)))</f>
        <v>189.20000000000007</v>
      </c>
      <c r="BZ32" s="14">
        <f>BY32*VLOOKUP('Données projet'!$B$12,Paramètres!$A$1:$I$89,3,0)*VLOOKUP('Données projet'!$B$12,Paramètres!$A$1:$I$89,5,0)</f>
        <v>171.18816000000007</v>
      </c>
      <c r="CA32" s="14">
        <f t="shared" si="39"/>
        <v>43.356023936000852</v>
      </c>
      <c r="CB32" s="22">
        <f t="shared" si="10"/>
        <v>373.66445368853493</v>
      </c>
      <c r="CC32" s="62">
        <f t="shared" si="11"/>
        <v>665.77556479964608</v>
      </c>
      <c r="CD32" s="62">
        <f ca="1">AVERAGE(OFFSET($CC$3,0,0,'Données projet'!$E$12+1,1))-AVERAGE(OFFSET($H$3,0,0,'Données projet'!$E$12+1,1))</f>
        <v>302.6112905010138</v>
      </c>
      <c r="CE32" s="62">
        <f t="shared" si="40"/>
        <v>423.44006663873375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6.024792719826924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6.024792719826924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187.13674266165236</v>
      </c>
      <c r="T33" s="62">
        <f t="shared" si="34"/>
        <v>439.28159165815276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163</v>
      </c>
      <c r="AG33" s="13">
        <f>VLOOKUP(A33,'Données projet'!$A$61:$I$81,9,0)</f>
        <v>11.4</v>
      </c>
      <c r="AH33" s="13">
        <f t="array" ref="AH33">INDEX(AG:AG,MIN(IF(ISNUMBER(AG33:AG229),ROW(AG33:AG229),"")))</f>
        <v>11.4</v>
      </c>
      <c r="AI33" s="14">
        <f>IF('Données projet'!$A$62&gt;35,AI32+AH33-AQ32,IF(A33&lt;'Données projet'!$A$62,$AF$205^A33,IF(A33='Données projet'!$A$62,'Données projet'!$B$62,AI32+AH33-AQ32)))</f>
        <v>163</v>
      </c>
      <c r="AJ33" s="14">
        <f>AI33*VLOOKUP('Données projet'!$B$10,Paramètres!$A$1:$I$89,3,0)*VLOOKUP('Données projet'!$B$10,Paramètres!$A$1:$I$89,5,0)</f>
        <v>142.39680000000004</v>
      </c>
      <c r="AK33" s="14">
        <f t="shared" si="35"/>
        <v>36.845535084476985</v>
      </c>
      <c r="AL33" s="22">
        <f t="shared" si="4"/>
        <v>312.18040027213078</v>
      </c>
      <c r="AM33" s="62">
        <f t="shared" si="5"/>
        <v>605.51373360546404</v>
      </c>
      <c r="AN33" s="62">
        <f ca="1">AVERAGE(OFFSET($AM$3,0,0,'Données projet'!$E$10+1,1))-AVERAGE(OFFSET($H$3,0,0,'Données projet'!$E$10+1,1))</f>
        <v>327.826081588335</v>
      </c>
      <c r="AO33" s="62">
        <f t="shared" si="36"/>
        <v>348.84706693879735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37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0.25800000000000001</v>
      </c>
      <c r="AT33" s="17">
        <f>IF(ISNA(VLOOKUP(A33,'Données projet'!$A$61:$I$81,7,0)),0%,VLOOKUP(A33,'Données projet'!$A$61:$I$81,7,0))</f>
        <v>0.4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15.844276113640767</v>
      </c>
      <c r="AW33" s="23">
        <f>EXP(-LN(2)/2)*AW32+(1-EXP(-LN(2)/2))/(LN(2)/2)*AQ33*AT33*VLOOKUP('Données projet'!$B$10,Paramètres!$A$1:$I$89,3,0)*0.475*44/12</f>
        <v>14.894774625560919</v>
      </c>
      <c r="AX33" s="23">
        <f t="shared" si="6"/>
        <v>30.739050739201687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309</v>
      </c>
      <c r="BB33" s="13">
        <f>VLOOKUP(A33,'Données projet'!$A$87:$I$107,9,0)</f>
        <v>16.625</v>
      </c>
      <c r="BC33" s="13">
        <f t="array" ref="BC33">INDEX(BB:BB,MIN(IF(ISNUMBER(BB33:BB229),ROW(BB33:BB229),"")))</f>
        <v>16.625</v>
      </c>
      <c r="BD33" s="13">
        <f>IF('Données projet'!$A$88&gt;35,BD32+BC33-BL32,IF(A33&lt;'Données projet'!$A$88,$BA$205^A33,IF(A33='Données projet'!$A$88,'Données projet'!$B$88,BD32+BC33-BL32)))</f>
        <v>309.00000000000011</v>
      </c>
      <c r="BE33" s="14">
        <f>BD33*VLOOKUP('Données projet'!$B$11,Paramètres!$A$1:$I$89,3,0)*VLOOKUP('Données projet'!$B$11,Paramètres!$A$1:$I$89,5,0)</f>
        <v>184.7820000000001</v>
      </c>
      <c r="BF33" s="14">
        <f t="shared" si="37"/>
        <v>46.384464109944147</v>
      </c>
      <c r="BG33" s="22">
        <f t="shared" si="7"/>
        <v>402.61492499148613</v>
      </c>
      <c r="BH33" s="62">
        <f t="shared" si="8"/>
        <v>695.94825832481945</v>
      </c>
      <c r="BI33" s="62">
        <f ca="1">AVERAGE(OFFSET($BH$3,0,0,'Données projet'!$E$11+1,1))-AVERAGE(OFFSET($H$3,0,0,'Données projet'!$E$11+1,1))</f>
        <v>187.13674266165236</v>
      </c>
      <c r="BJ33" s="62">
        <f t="shared" si="38"/>
        <v>439.28159165815276</v>
      </c>
      <c r="BK33" s="16">
        <f>IF(ISNA(VLOOKUP(A33,'Données projet'!$A$87:$I$107,3,0)),0,VLOOKUP(A33,'Données projet'!$A$87:$I$107,3,0))</f>
        <v>4</v>
      </c>
      <c r="BL33" s="16">
        <f>IF(ISNA(VLOOKUP(A33,'Données projet'!$A$87:$I$107,4,0)),0,VLOOKUP(A33,'Données projet'!$A$87:$I$107,4,0))</f>
        <v>309</v>
      </c>
      <c r="BM33" s="17">
        <f>IF(ISNA(VLOOKUP(A33,'Données projet'!$A$87:$I$107,5,0)),0%,VLOOKUP(A33,'Données projet'!$A$87:$I$107,5,0)*VLOOKUP('Données projet'!$B$11,Paramètres!$A$1:$I$89,7,0))</f>
        <v>0.18000000000000002</v>
      </c>
      <c r="BN33" s="17">
        <f>IF(ISNA(VLOOKUP(A33,'Données projet'!$A$87:$I$107,6,0)),0%,VLOOKUP(A33,'Données projet'!$A$87:$I$107,6,0)*VLOOKUP('Données projet'!$B$11,Paramètres!$A$1:$I$89,7,0))</f>
        <v>0.18000000000000002</v>
      </c>
      <c r="BO33" s="17">
        <f>IF(ISNA(VLOOKUP(A33,'Données projet'!$A$87:$I$107,7,0)),0%,VLOOKUP(A33,'Données projet'!$A$87:$I$107,7,0))</f>
        <v>0.2</v>
      </c>
      <c r="BP33" s="23">
        <f>EXP(-LN(2)/35)*BP32+(1-EXP(-LN(2)/35))/(LN(2)/35)*BL33*BM33*VLOOKUP('Données projet'!$B$11,Paramètres!$A$1:$I$89,3,0)*0.475*44/12</f>
        <v>53.320409303649647</v>
      </c>
      <c r="BQ33" s="23">
        <f>EXP(-LN(2)/25)*BQ32+(1-EXP(-LN(2)/25))/(LN(2)/25)*Calculateur!BL33*Calculateur!BN33*VLOOKUP('Données projet'!$B$11,Paramètres!$A$1:$I$89,3,0)*0.475*44/12</f>
        <v>43.948814717135633</v>
      </c>
      <c r="BR33" s="23">
        <f>EXP(-LN(2)/2)*BR32+(1-EXP(-LN(2)/2))/(LN(2)/2)*BL33*BO33*VLOOKUP('Données projet'!$B$11,Paramètres!$A$1:$I$89,3,0)*0.475*44/12</f>
        <v>43.567384796908406</v>
      </c>
      <c r="BS33" s="24">
        <f t="shared" si="9"/>
        <v>140.8366088176937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196</v>
      </c>
      <c r="BW33" s="13">
        <f>VLOOKUP(A33,'Données projet'!$A$113:$I$133,9,0)</f>
        <v>6.8</v>
      </c>
      <c r="BX33" s="13">
        <f t="array" ref="BX33">INDEX(BW:BW,MIN(IF(ISNUMBER(BW33:BW229),ROW(BW33:BW229),"")))</f>
        <v>6.8</v>
      </c>
      <c r="BY33" s="13">
        <f>IF('Données projet'!$A$114&gt;35,BY32+BX33-CG32,IF(A33&lt;'Données projet'!$A$114,$BV$205^A33,IF(A33='Données projet'!$A$114,'Données projet'!$B$114,BY32+BX33-CG32)))</f>
        <v>196.00000000000009</v>
      </c>
      <c r="BZ33" s="14">
        <f>BY33*VLOOKUP('Données projet'!$B$12,Paramètres!$A$1:$I$89,3,0)*VLOOKUP('Données projet'!$B$12,Paramètres!$A$1:$I$89,5,0)</f>
        <v>177.34080000000006</v>
      </c>
      <c r="CA33" s="14">
        <f t="shared" si="39"/>
        <v>44.730051658603102</v>
      </c>
      <c r="CB33" s="22">
        <f t="shared" si="10"/>
        <v>386.77339997206712</v>
      </c>
      <c r="CC33" s="62">
        <f t="shared" si="11"/>
        <v>680.10673330540044</v>
      </c>
      <c r="CD33" s="62">
        <f ca="1">AVERAGE(OFFSET($CC$3,0,0,'Données projet'!$E$12+1,1))-AVERAGE(OFFSET($H$3,0,0,'Données projet'!$E$12+1,1))</f>
        <v>302.6112905010138</v>
      </c>
      <c r="CE33" s="62">
        <f t="shared" si="40"/>
        <v>423.44006663873375</v>
      </c>
      <c r="CF33" s="16">
        <f>IF(ISNA(VLOOKUP(A33,'Données projet'!$A$113:$I$133,3,0)),0,VLOOKUP(A33,'Données projet'!$A$113:$I$133,3,0))</f>
        <v>6</v>
      </c>
      <c r="CG33" s="16">
        <f>IF(ISNA(VLOOKUP(A33,'Données projet'!$A$113:$I$133,4,0)),0,VLOOKUP(A33,'Données projet'!$A$113:$I$133,4,0))</f>
        <v>9</v>
      </c>
      <c r="CH33" s="17">
        <f>IF(ISNA(VLOOKUP(A33,'Données projet'!$A$113:$I$133,5,0)),0%,VLOOKUP(A33,'Données projet'!$A$113:$I$133,5,0)*VLOOKUP('Données projet'!$B$12,Paramètres!$A$1:$I$89,7,0))</f>
        <v>0.27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8.3372081358972583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8.3372081358972583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187.13674266165236</v>
      </c>
      <c r="T34" s="62">
        <f t="shared" si="34"/>
        <v>439.28159165815276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10.6</v>
      </c>
      <c r="AI34" s="14">
        <f>IF('Données projet'!$A$62&gt;35,AI33+AH34-AQ33,IF(A34&lt;'Données projet'!$A$62,$AF$205^A34,IF(A34='Données projet'!$A$62,'Données projet'!$B$62,AI33+AH34-AQ33)))</f>
        <v>136.6</v>
      </c>
      <c r="AJ34" s="14">
        <f>AI34*VLOOKUP('Données projet'!$B$10,Paramètres!$A$1:$I$89,3,0)*VLOOKUP('Données projet'!$B$10,Paramètres!$A$1:$I$89,5,0)</f>
        <v>119.33376000000001</v>
      </c>
      <c r="AK34" s="14">
        <f t="shared" si="35"/>
        <v>31.519559440518702</v>
      </c>
      <c r="AL34" s="22">
        <f t="shared" si="4"/>
        <v>262.7361980255701</v>
      </c>
      <c r="AM34" s="62">
        <f t="shared" si="5"/>
        <v>556.06953135890342</v>
      </c>
      <c r="AN34" s="62">
        <f ca="1">AVERAGE(OFFSET($AM$3,0,0,'Données projet'!$E$10+1,1))-AVERAGE(OFFSET($H$3,0,0,'Données projet'!$E$10+1,1))</f>
        <v>327.826081588335</v>
      </c>
      <c r="AO34" s="62">
        <f t="shared" si="36"/>
        <v>348.84706693879735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15.411013550098993</v>
      </c>
      <c r="AW34" s="23">
        <f>EXP(-LN(2)/2)*AW33+(1-EXP(-LN(2)/2))/(LN(2)/2)*AQ34*AT34*VLOOKUP('Données projet'!$B$10,Paramètres!$A$1:$I$89,3,0)*0.475*44/12</f>
        <v>10.532196141979446</v>
      </c>
      <c r="AX34" s="23">
        <f t="shared" si="6"/>
        <v>25.94320969207844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1.1368683772161603E-13</v>
      </c>
      <c r="BE34" s="14">
        <f>BD34*VLOOKUP('Données projet'!$B$11,Paramètres!$A$1:$I$89,3,0)*VLOOKUP('Données projet'!$B$11,Paramètres!$A$1:$I$89,5,0)</f>
        <v>6.7984728957526396E-14</v>
      </c>
      <c r="BF34" s="14">
        <f t="shared" si="37"/>
        <v>1.0682447123141398E-12</v>
      </c>
      <c r="BG34" s="22">
        <f t="shared" si="7"/>
        <v>1.978932943548152E-12</v>
      </c>
      <c r="BH34" s="62">
        <f t="shared" si="8"/>
        <v>293.3333333333353</v>
      </c>
      <c r="BI34" s="62">
        <f ca="1">AVERAGE(OFFSET($BH$3,0,0,'Données projet'!$E$11+1,1))-AVERAGE(OFFSET($H$3,0,0,'Données projet'!$E$11+1,1))</f>
        <v>187.13674266165236</v>
      </c>
      <c r="BJ34" s="62">
        <f t="shared" si="38"/>
        <v>439.28159165815276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52.274828599443445</v>
      </c>
      <c r="BQ34" s="23">
        <f>EXP(-LN(2)/25)*BQ33+(1-EXP(-LN(2)/25))/(LN(2)/25)*Calculateur!BL34*Calculateur!BN34*VLOOKUP('Données projet'!$B$11,Paramètres!$A$1:$I$89,3,0)*0.475*44/12</f>
        <v>42.74703206752784</v>
      </c>
      <c r="BR34" s="23">
        <f>EXP(-LN(2)/2)*BR33+(1-EXP(-LN(2)/2))/(LN(2)/2)*BL34*BO34*VLOOKUP('Données projet'!$B$11,Paramètres!$A$1:$I$89,3,0)*0.475*44/12</f>
        <v>30.806793228457632</v>
      </c>
      <c r="BS34" s="24">
        <f t="shared" si="9"/>
        <v>125.82865389542893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5.8</v>
      </c>
      <c r="BY34" s="13">
        <f>IF('Données projet'!$A$114&gt;35,BY33+BX34-CG33,IF(A34&lt;'Données projet'!$A$114,$BV$205^A34,IF(A34='Données projet'!$A$114,'Données projet'!$B$114,BY33+BX34-CG33)))</f>
        <v>192.8000000000001</v>
      </c>
      <c r="BZ34" s="14">
        <f>BY34*VLOOKUP('Données projet'!$B$12,Paramètres!$A$1:$I$89,3,0)*VLOOKUP('Données projet'!$B$12,Paramètres!$A$1:$I$89,5,0)</f>
        <v>174.4454400000001</v>
      </c>
      <c r="CA34" s="14">
        <f t="shared" si="39"/>
        <v>44.084153549607706</v>
      </c>
      <c r="CB34" s="22">
        <f t="shared" si="10"/>
        <v>380.60570876556693</v>
      </c>
      <c r="CC34" s="62">
        <f t="shared" si="11"/>
        <v>673.93904209890025</v>
      </c>
      <c r="CD34" s="62">
        <f ca="1">AVERAGE(OFFSET($CC$3,0,0,'Données projet'!$E$12+1,1))-AVERAGE(OFFSET($H$3,0,0,'Données projet'!$E$12+1,1))</f>
        <v>302.6112905010138</v>
      </c>
      <c r="CE34" s="62">
        <f t="shared" si="40"/>
        <v>423.44006663873375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8.1737205695471555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8.1737205695471555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187.13674266165236</v>
      </c>
      <c r="T35" s="62">
        <f t="shared" si="34"/>
        <v>439.28159165815276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10.6</v>
      </c>
      <c r="AI35" s="14">
        <f>IF('Données projet'!$A$62&gt;35,AI34+AH35-AQ34,IF(A35&lt;'Données projet'!$A$62,$AF$205^A35,IF(A35='Données projet'!$A$62,'Données projet'!$B$62,AI34+AH35-AQ34)))</f>
        <v>147.19999999999999</v>
      </c>
      <c r="AJ35" s="14">
        <f>AI35*VLOOKUP('Données projet'!$B$10,Paramètres!$A$1:$I$89,3,0)*VLOOKUP('Données projet'!$B$10,Paramètres!$A$1:$I$89,5,0)</f>
        <v>128.59392</v>
      </c>
      <c r="AK35" s="14">
        <f t="shared" si="35"/>
        <v>33.671250175837564</v>
      </c>
      <c r="AL35" s="22">
        <f t="shared" si="4"/>
        <v>282.61183805625041</v>
      </c>
      <c r="AM35" s="62">
        <f t="shared" si="5"/>
        <v>575.94517138958372</v>
      </c>
      <c r="AN35" s="62">
        <f ca="1">AVERAGE(OFFSET($AM$3,0,0,'Données projet'!$E$10+1,1))-AVERAGE(OFFSET($H$3,0,0,'Données projet'!$E$10+1,1))</f>
        <v>327.826081588335</v>
      </c>
      <c r="AO35" s="62">
        <f t="shared" si="36"/>
        <v>348.84706693879735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14.989598574141555</v>
      </c>
      <c r="AW35" s="23">
        <f>EXP(-LN(2)/2)*AW34+(1-EXP(-LN(2)/2))/(LN(2)/2)*AQ35*AT35*VLOOKUP('Données projet'!$B$10,Paramètres!$A$1:$I$89,3,0)*0.475*44/12</f>
        <v>7.4473873127804602</v>
      </c>
      <c r="AX35" s="23">
        <f t="shared" si="6"/>
        <v>22.436985886922017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1.1368683772161603E-13</v>
      </c>
      <c r="BE35" s="14">
        <f>BD35*VLOOKUP('Données projet'!$B$11,Paramètres!$A$1:$I$89,3,0)*VLOOKUP('Données projet'!$B$11,Paramètres!$A$1:$I$89,5,0)</f>
        <v>6.7984728957526396E-14</v>
      </c>
      <c r="BF35" s="14">
        <f t="shared" si="37"/>
        <v>1.0682447123141398E-12</v>
      </c>
      <c r="BG35" s="22">
        <f t="shared" si="7"/>
        <v>1.978932943548152E-12</v>
      </c>
      <c r="BH35" s="62">
        <f t="shared" si="8"/>
        <v>293.3333333333353</v>
      </c>
      <c r="BI35" s="62">
        <f ca="1">AVERAGE(OFFSET($BH$3,0,0,'Données projet'!$E$11+1,1))-AVERAGE(OFFSET($H$3,0,0,'Données projet'!$E$11+1,1))</f>
        <v>187.13674266165236</v>
      </c>
      <c r="BJ35" s="62">
        <f t="shared" si="38"/>
        <v>439.28159165815276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51.249751095105474</v>
      </c>
      <c r="BQ35" s="23">
        <f>EXP(-LN(2)/25)*BQ34+(1-EXP(-LN(2)/25))/(LN(2)/25)*Calculateur!BL35*Calculateur!BN35*VLOOKUP('Données projet'!$B$11,Paramètres!$A$1:$I$89,3,0)*0.475*44/12</f>
        <v>41.578112227672577</v>
      </c>
      <c r="BR35" s="23">
        <f>EXP(-LN(2)/2)*BR34+(1-EXP(-LN(2)/2))/(LN(2)/2)*BL35*BO35*VLOOKUP('Données projet'!$B$11,Paramètres!$A$1:$I$89,3,0)*0.475*44/12</f>
        <v>21.783692398454207</v>
      </c>
      <c r="BS35" s="24">
        <f t="shared" si="9"/>
        <v>114.61155572123226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5.8</v>
      </c>
      <c r="BY35" s="13">
        <f>IF('Données projet'!$A$114&gt;35,BY34+BX35-CG34,IF(A35&lt;'Données projet'!$A$114,$BV$205^A35,IF(A35='Données projet'!$A$114,'Données projet'!$B$114,BY34+BX35-CG34)))</f>
        <v>198.60000000000011</v>
      </c>
      <c r="BZ35" s="14">
        <f>BY35*VLOOKUP('Données projet'!$B$12,Paramètres!$A$1:$I$89,3,0)*VLOOKUP('Données projet'!$B$12,Paramètres!$A$1:$I$89,5,0)</f>
        <v>179.6932800000001</v>
      </c>
      <c r="CA35" s="14">
        <f t="shared" si="39"/>
        <v>45.253939845742352</v>
      </c>
      <c r="CB35" s="22">
        <f t="shared" si="10"/>
        <v>391.78307456466808</v>
      </c>
      <c r="CC35" s="62">
        <f t="shared" si="11"/>
        <v>685.1164078980014</v>
      </c>
      <c r="CD35" s="62">
        <f ca="1">AVERAGE(OFFSET($CC$3,0,0,'Données projet'!$E$12+1,1))-AVERAGE(OFFSET($H$3,0,0,'Données projet'!$E$12+1,1))</f>
        <v>302.6112905010138</v>
      </c>
      <c r="CE35" s="62">
        <f t="shared" si="40"/>
        <v>423.44006663873375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8.013438894655609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8.013438894655609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187.13674266165236</v>
      </c>
      <c r="T36" s="62">
        <f t="shared" si="34"/>
        <v>439.28159165815276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10.6</v>
      </c>
      <c r="AI36" s="14">
        <f>IF('Données projet'!$A$62&gt;35,AI35+AH36-AQ35,IF(A36&lt;'Données projet'!$A$62,$AF$205^A36,IF(A36='Données projet'!$A$62,'Données projet'!$B$62,AI35+AH36-AQ35)))</f>
        <v>157.79999999999998</v>
      </c>
      <c r="AJ36" s="14">
        <f>AI36*VLOOKUP('Données projet'!$B$10,Paramètres!$A$1:$I$89,3,0)*VLOOKUP('Données projet'!$B$10,Paramètres!$A$1:$I$89,5,0)</f>
        <v>137.85408000000001</v>
      </c>
      <c r="AK36" s="14">
        <f t="shared" si="35"/>
        <v>35.804964283629964</v>
      </c>
      <c r="AL36" s="22">
        <f t="shared" si="4"/>
        <v>302.45616879398887</v>
      </c>
      <c r="AM36" s="62">
        <f t="shared" si="5"/>
        <v>595.78950212732218</v>
      </c>
      <c r="AN36" s="62">
        <f ca="1">AVERAGE(OFFSET($AM$3,0,0,'Données projet'!$E$10+1,1))-AVERAGE(OFFSET($H$3,0,0,'Données projet'!$E$10+1,1))</f>
        <v>327.826081588335</v>
      </c>
      <c r="AO36" s="62">
        <f t="shared" si="36"/>
        <v>348.84706693879735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14.579707212862925</v>
      </c>
      <c r="AW36" s="23">
        <f>EXP(-LN(2)/2)*AW35+(1-EXP(-LN(2)/2))/(LN(2)/2)*AQ36*AT36*VLOOKUP('Données projet'!$B$10,Paramètres!$A$1:$I$89,3,0)*0.475*44/12</f>
        <v>5.2660980709897238</v>
      </c>
      <c r="AX36" s="23">
        <f t="shared" si="6"/>
        <v>19.845805283852648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1.1368683772161603E-13</v>
      </c>
      <c r="BE36" s="14">
        <f>BD36*VLOOKUP('Données projet'!$B$11,Paramètres!$A$1:$I$89,3,0)*VLOOKUP('Données projet'!$B$11,Paramètres!$A$1:$I$89,5,0)</f>
        <v>6.7984728957526396E-14</v>
      </c>
      <c r="BF36" s="14">
        <f t="shared" si="37"/>
        <v>1.0682447123141398E-12</v>
      </c>
      <c r="BG36" s="22">
        <f t="shared" si="7"/>
        <v>1.978932943548152E-12</v>
      </c>
      <c r="BH36" s="62">
        <f t="shared" si="8"/>
        <v>293.3333333333353</v>
      </c>
      <c r="BI36" s="62">
        <f ca="1">AVERAGE(OFFSET($BH$3,0,0,'Données projet'!$E$11+1,1))-AVERAGE(OFFSET($H$3,0,0,'Données projet'!$E$11+1,1))</f>
        <v>187.13674266165236</v>
      </c>
      <c r="BJ36" s="62">
        <f t="shared" si="38"/>
        <v>439.28159165815276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50.244774735392028</v>
      </c>
      <c r="BQ36" s="23">
        <f>EXP(-LN(2)/25)*BQ35+(1-EXP(-LN(2)/25))/(LN(2)/25)*Calculateur!BL36*Calculateur!BN36*VLOOKUP('Données projet'!$B$11,Paramètres!$A$1:$I$89,3,0)*0.475*44/12</f>
        <v>40.441156562308976</v>
      </c>
      <c r="BR36" s="23">
        <f>EXP(-LN(2)/2)*BR35+(1-EXP(-LN(2)/2))/(LN(2)/2)*BL36*BO36*VLOOKUP('Données projet'!$B$11,Paramètres!$A$1:$I$89,3,0)*0.475*44/12</f>
        <v>15.403396614228818</v>
      </c>
      <c r="BS36" s="24">
        <f t="shared" si="9"/>
        <v>106.08932791192981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5.8</v>
      </c>
      <c r="BY36" s="13">
        <f>IF('Données projet'!$A$114&gt;35,BY35+BX36-CG35,IF(A36&lt;'Données projet'!$A$114,$BV$205^A36,IF(A36='Données projet'!$A$114,'Données projet'!$B$114,BY35+BX36-CG35)))</f>
        <v>204.40000000000012</v>
      </c>
      <c r="BZ36" s="14">
        <f>BY36*VLOOKUP('Données projet'!$B$12,Paramètres!$A$1:$I$89,3,0)*VLOOKUP('Données projet'!$B$12,Paramètres!$A$1:$I$89,5,0)</f>
        <v>184.9411200000001</v>
      </c>
      <c r="CA36" s="14">
        <f t="shared" si="39"/>
        <v>46.419755730249477</v>
      </c>
      <c r="CB36" s="22">
        <f t="shared" si="10"/>
        <v>402.95352523018465</v>
      </c>
      <c r="CC36" s="62">
        <f t="shared" si="11"/>
        <v>696.28685856351797</v>
      </c>
      <c r="CD36" s="62">
        <f ca="1">AVERAGE(OFFSET($CC$3,0,0,'Données projet'!$E$12+1,1))-AVERAGE(OFFSET($H$3,0,0,'Données projet'!$E$12+1,1))</f>
        <v>302.6112905010138</v>
      </c>
      <c r="CE36" s="62">
        <f t="shared" si="40"/>
        <v>423.44006663873375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7.8563002456465165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7.8563002456465165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187.13674266165236</v>
      </c>
      <c r="T37" s="62">
        <f t="shared" si="34"/>
        <v>439.28159165815276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10.6</v>
      </c>
      <c r="AI37" s="14">
        <f>IF('Données projet'!$A$62&gt;35,AI36+AH37-AQ36,IF(A37&lt;'Données projet'!$A$62,$AF$205^A37,IF(A37='Données projet'!$A$62,'Données projet'!$B$62,AI36+AH37-AQ36)))</f>
        <v>168.39999999999998</v>
      </c>
      <c r="AJ37" s="14">
        <f>AI37*VLOOKUP('Données projet'!$B$10,Paramètres!$A$1:$I$89,3,0)*VLOOKUP('Données projet'!$B$10,Paramètres!$A$1:$I$89,5,0)</f>
        <v>147.11424</v>
      </c>
      <c r="AK37" s="14">
        <f t="shared" si="35"/>
        <v>37.922046712608186</v>
      </c>
      <c r="AL37" s="22">
        <f t="shared" si="4"/>
        <v>322.27153269112591</v>
      </c>
      <c r="AM37" s="62">
        <f t="shared" si="5"/>
        <v>615.60486602445917</v>
      </c>
      <c r="AN37" s="62">
        <f ca="1">AVERAGE(OFFSET($AM$3,0,0,'Données projet'!$E$10+1,1))-AVERAGE(OFFSET($H$3,0,0,'Données projet'!$E$10+1,1))</f>
        <v>327.826081588335</v>
      </c>
      <c r="AO37" s="62">
        <f t="shared" si="36"/>
        <v>348.84706693879735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14.181024352413708</v>
      </c>
      <c r="AW37" s="23">
        <f>EXP(-LN(2)/2)*AW36+(1-EXP(-LN(2)/2))/(LN(2)/2)*AQ37*AT37*VLOOKUP('Données projet'!$B$10,Paramètres!$A$1:$I$89,3,0)*0.475*44/12</f>
        <v>3.723693656390231</v>
      </c>
      <c r="AX37" s="23">
        <f t="shared" si="6"/>
        <v>17.90471800880394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1.1368683772161603E-13</v>
      </c>
      <c r="BE37" s="14">
        <f>BD37*VLOOKUP('Données projet'!$B$11,Paramètres!$A$1:$I$89,3,0)*VLOOKUP('Données projet'!$B$11,Paramètres!$A$1:$I$89,5,0)</f>
        <v>6.7984728957526396E-14</v>
      </c>
      <c r="BF37" s="14">
        <f t="shared" si="37"/>
        <v>1.0682447123141398E-12</v>
      </c>
      <c r="BG37" s="22">
        <f t="shared" si="7"/>
        <v>1.978932943548152E-12</v>
      </c>
      <c r="BH37" s="62">
        <f t="shared" si="8"/>
        <v>293.3333333333353</v>
      </c>
      <c r="BI37" s="62">
        <f ca="1">AVERAGE(OFFSET($BH$3,0,0,'Données projet'!$E$11+1,1))-AVERAGE(OFFSET($H$3,0,0,'Données projet'!$E$11+1,1))</f>
        <v>187.13674266165236</v>
      </c>
      <c r="BJ37" s="62">
        <f t="shared" si="38"/>
        <v>439.28159165815276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49.259505349117511</v>
      </c>
      <c r="BQ37" s="23">
        <f>EXP(-LN(2)/25)*BQ36+(1-EXP(-LN(2)/25))/(LN(2)/25)*Calculateur!BL37*Calculateur!BN37*VLOOKUP('Données projet'!$B$11,Paramètres!$A$1:$I$89,3,0)*0.475*44/12</f>
        <v>39.335291009404642</v>
      </c>
      <c r="BR37" s="23">
        <f>EXP(-LN(2)/2)*BR36+(1-EXP(-LN(2)/2))/(LN(2)/2)*BL37*BO37*VLOOKUP('Données projet'!$B$11,Paramètres!$A$1:$I$89,3,0)*0.475*44/12</f>
        <v>10.891846199227105</v>
      </c>
      <c r="BS37" s="24">
        <f t="shared" si="9"/>
        <v>99.486642557749263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5.8</v>
      </c>
      <c r="BY37" s="13">
        <f>IF('Données projet'!$A$114&gt;35,BY36+BX37-CG36,IF(A37&lt;'Données projet'!$A$114,$BV$205^A37,IF(A37='Données projet'!$A$114,'Données projet'!$B$114,BY36+BX37-CG36)))</f>
        <v>210.20000000000013</v>
      </c>
      <c r="BZ37" s="14">
        <f>BY37*VLOOKUP('Données projet'!$B$12,Paramètres!$A$1:$I$89,3,0)*VLOOKUP('Données projet'!$B$12,Paramètres!$A$1:$I$89,5,0)</f>
        <v>190.18896000000012</v>
      </c>
      <c r="CA37" s="14">
        <f t="shared" si="39"/>
        <v>47.581726807151739</v>
      </c>
      <c r="CB37" s="22">
        <f t="shared" si="10"/>
        <v>414.1172795224561</v>
      </c>
      <c r="CC37" s="62">
        <f t="shared" si="11"/>
        <v>707.45061285578936</v>
      </c>
      <c r="CD37" s="62">
        <f ca="1">AVERAGE(OFFSET($CC$3,0,0,'Données projet'!$E$12+1,1))-AVERAGE(OFFSET($H$3,0,0,'Données projet'!$E$12+1,1))</f>
        <v>302.6112905010138</v>
      </c>
      <c r="CE37" s="62">
        <f t="shared" si="40"/>
        <v>423.44006663873375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7.7022429896993803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7.7022429896993803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187.13674266165236</v>
      </c>
      <c r="T38" s="62">
        <f t="shared" si="34"/>
        <v>439.28159165815276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179</v>
      </c>
      <c r="AG38" s="13">
        <f>VLOOKUP(A38,'Données projet'!$A$61:$I$81,9,0)</f>
        <v>10.6</v>
      </c>
      <c r="AH38" s="13">
        <f t="array" ref="AH38">INDEX(AG:AG,MIN(IF(ISNUMBER(AG38:AG234),ROW(AG38:AG234),"")))</f>
        <v>10.6</v>
      </c>
      <c r="AI38" s="14">
        <f>IF('Données projet'!$A$62&gt;35,AI37+AH38-AQ37,IF(A38&lt;'Données projet'!$A$62,$AF$205^A38,IF(A38='Données projet'!$A$62,'Données projet'!$B$62,AI37+AH38-AQ37)))</f>
        <v>178.99999999999997</v>
      </c>
      <c r="AJ38" s="14">
        <f>AI38*VLOOKUP('Données projet'!$B$10,Paramètres!$A$1:$I$89,3,0)*VLOOKUP('Données projet'!$B$10,Paramètres!$A$1:$I$89,5,0)</f>
        <v>156.37440000000001</v>
      </c>
      <c r="AK38" s="14">
        <f t="shared" si="35"/>
        <v>40.023663524293205</v>
      </c>
      <c r="AL38" s="22">
        <f t="shared" si="4"/>
        <v>342.05996063814399</v>
      </c>
      <c r="AM38" s="62">
        <f t="shared" si="5"/>
        <v>635.39329397147731</v>
      </c>
      <c r="AN38" s="62">
        <f ca="1">AVERAGE(OFFSET($AM$3,0,0,'Données projet'!$E$10+1,1))-AVERAGE(OFFSET($H$3,0,0,'Données projet'!$E$10+1,1))</f>
        <v>327.826081588335</v>
      </c>
      <c r="AO38" s="62">
        <f t="shared" si="36"/>
        <v>348.84706693879735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36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13.793243495749296</v>
      </c>
      <c r="AW38" s="23">
        <f>EXP(-LN(2)/2)*AW37+(1-EXP(-LN(2)/2))/(LN(2)/2)*AQ38*AT38*VLOOKUP('Données projet'!$B$10,Paramètres!$A$1:$I$89,3,0)*0.475*44/12</f>
        <v>2.6330490354948624</v>
      </c>
      <c r="AX38" s="23">
        <f t="shared" si="6"/>
        <v>16.426292531244158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1.1368683772161603E-13</v>
      </c>
      <c r="BE38" s="14">
        <f>BD38*VLOOKUP('Données projet'!$B$11,Paramètres!$A$1:$I$89,3,0)*VLOOKUP('Données projet'!$B$11,Paramètres!$A$1:$I$89,5,0)</f>
        <v>6.7984728957526396E-14</v>
      </c>
      <c r="BF38" s="14">
        <f t="shared" si="37"/>
        <v>1.0682447123141398E-12</v>
      </c>
      <c r="BG38" s="22">
        <f t="shared" si="7"/>
        <v>1.978932943548152E-12</v>
      </c>
      <c r="BH38" s="62">
        <f t="shared" si="8"/>
        <v>293.3333333333353</v>
      </c>
      <c r="BI38" s="62">
        <f ca="1">AVERAGE(OFFSET($BH$3,0,0,'Données projet'!$E$11+1,1))-AVERAGE(OFFSET($H$3,0,0,'Données projet'!$E$11+1,1))</f>
        <v>187.13674266165236</v>
      </c>
      <c r="BJ38" s="62">
        <f t="shared" si="38"/>
        <v>439.28159165815276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48.293556494552853</v>
      </c>
      <c r="BQ38" s="23">
        <f>EXP(-LN(2)/25)*BQ37+(1-EXP(-LN(2)/25))/(LN(2)/25)*Calculateur!BL38*Calculateur!BN38*VLOOKUP('Données projet'!$B$11,Paramètres!$A$1:$I$89,3,0)*0.475*44/12</f>
        <v>38.259665408199417</v>
      </c>
      <c r="BR38" s="23">
        <f>EXP(-LN(2)/2)*BR37+(1-EXP(-LN(2)/2))/(LN(2)/2)*BL38*BO38*VLOOKUP('Données projet'!$B$11,Paramètres!$A$1:$I$89,3,0)*0.475*44/12</f>
        <v>7.7016983071144107</v>
      </c>
      <c r="BS38" s="24">
        <f t="shared" si="9"/>
        <v>94.254920209866683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216</v>
      </c>
      <c r="BW38" s="13">
        <f>VLOOKUP(A38,'Données projet'!$A$113:$I$133,9,0)</f>
        <v>5.8</v>
      </c>
      <c r="BX38" s="13">
        <f t="array" ref="BX38">INDEX(BW:BW,MIN(IF(ISNUMBER(BW38:BW234),ROW(BW38:BW234),"")))</f>
        <v>5.8</v>
      </c>
      <c r="BY38" s="13">
        <f>IF('Données projet'!$A$114&gt;35,BY37+BX38-CG37,IF(A38&lt;'Données projet'!$A$114,$BV$205^A38,IF(A38='Données projet'!$A$114,'Données projet'!$B$114,BY37+BX38-CG37)))</f>
        <v>216.00000000000014</v>
      </c>
      <c r="BZ38" s="14">
        <f>BY38*VLOOKUP('Données projet'!$B$12,Paramètres!$A$1:$I$89,3,0)*VLOOKUP('Données projet'!$B$12,Paramètres!$A$1:$I$89,5,0)</f>
        <v>195.43680000000012</v>
      </c>
      <c r="CA38" s="14">
        <f t="shared" si="39"/>
        <v>48.739971354487892</v>
      </c>
      <c r="CB38" s="22">
        <f t="shared" si="10"/>
        <v>425.27454344239999</v>
      </c>
      <c r="CC38" s="62">
        <f t="shared" si="11"/>
        <v>718.6078767757333</v>
      </c>
      <c r="CD38" s="62">
        <f ca="1">AVERAGE(OFFSET($CC$3,0,0,'Données projet'!$E$12+1,1))-AVERAGE(OFFSET($H$3,0,0,'Données projet'!$E$12+1,1))</f>
        <v>302.6112905010138</v>
      </c>
      <c r="CE38" s="62">
        <f t="shared" si="40"/>
        <v>423.44006663873375</v>
      </c>
      <c r="CF38" s="16">
        <f>IF(ISNA(VLOOKUP(A38,'Données projet'!$A$113:$I$133,3,0)),0,VLOOKUP(A38,'Données projet'!$A$113:$I$133,3,0))</f>
        <v>7</v>
      </c>
      <c r="CG38" s="16">
        <f>IF(ISNA(VLOOKUP(A38,'Données projet'!$A$113:$I$133,4,0)),0,VLOOKUP(A38,'Données projet'!$A$113:$I$133,4,0))</f>
        <v>7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7.5512067025757199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7.5512067025757199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187.13674266165236</v>
      </c>
      <c r="T39" s="62">
        <f t="shared" si="34"/>
        <v>439.28159165815276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9.6</v>
      </c>
      <c r="AI39" s="14">
        <f>IF('Données projet'!$A$62&gt;35,AI38+AH39-AQ38,IF(A39&lt;'Données projet'!$A$62,$AF$205^A39,IF(A39='Données projet'!$A$62,'Données projet'!$B$62,AI38+AH39-AQ38)))</f>
        <v>152.59999999999997</v>
      </c>
      <c r="AJ39" s="14">
        <f>AI39*VLOOKUP('Données projet'!$B$10,Paramètres!$A$1:$I$89,3,0)*VLOOKUP('Données projet'!$B$10,Paramètres!$A$1:$I$89,5,0)</f>
        <v>133.31135999999998</v>
      </c>
      <c r="AK39" s="14">
        <f t="shared" si="35"/>
        <v>34.760393689821633</v>
      </c>
      <c r="AL39" s="22">
        <f t="shared" si="4"/>
        <v>292.72497100977256</v>
      </c>
      <c r="AM39" s="62">
        <f t="shared" si="5"/>
        <v>586.05830434310587</v>
      </c>
      <c r="AN39" s="62">
        <f ca="1">AVERAGE(OFFSET($AM$3,0,0,'Données projet'!$E$10+1,1))-AVERAGE(OFFSET($H$3,0,0,'Données projet'!$E$10+1,1))</f>
        <v>327.826081588335</v>
      </c>
      <c r="AO39" s="62">
        <f t="shared" si="36"/>
        <v>348.84706693879735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13.416066527002881</v>
      </c>
      <c r="AW39" s="23">
        <f>EXP(-LN(2)/2)*AW38+(1-EXP(-LN(2)/2))/(LN(2)/2)*AQ39*AT39*VLOOKUP('Données projet'!$B$10,Paramètres!$A$1:$I$89,3,0)*0.475*44/12</f>
        <v>1.8618468281951157</v>
      </c>
      <c r="AX39" s="23">
        <f t="shared" si="6"/>
        <v>15.277913355197997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1.1368683772161603E-13</v>
      </c>
      <c r="BE39" s="14">
        <f>BD39*VLOOKUP('Données projet'!$B$11,Paramètres!$A$1:$I$89,3,0)*VLOOKUP('Données projet'!$B$11,Paramètres!$A$1:$I$89,5,0)</f>
        <v>6.7984728957526396E-14</v>
      </c>
      <c r="BF39" s="14">
        <f t="shared" si="37"/>
        <v>1.0682447123141398E-12</v>
      </c>
      <c r="BG39" s="22">
        <f t="shared" si="7"/>
        <v>1.978932943548152E-12</v>
      </c>
      <c r="BH39" s="62">
        <f t="shared" si="8"/>
        <v>293.3333333333353</v>
      </c>
      <c r="BI39" s="62">
        <f ca="1">AVERAGE(OFFSET($BH$3,0,0,'Données projet'!$E$11+1,1))-AVERAGE(OFFSET($H$3,0,0,'Données projet'!$E$11+1,1))</f>
        <v>187.13674266165236</v>
      </c>
      <c r="BJ39" s="62">
        <f t="shared" si="38"/>
        <v>439.28159165815276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47.346549307855575</v>
      </c>
      <c r="BQ39" s="23">
        <f>EXP(-LN(2)/25)*BQ38+(1-EXP(-LN(2)/25))/(LN(2)/25)*Calculateur!BL39*Calculateur!BN39*VLOOKUP('Données projet'!$B$11,Paramètres!$A$1:$I$89,3,0)*0.475*44/12</f>
        <v>37.213452845623841</v>
      </c>
      <c r="BR39" s="23">
        <f>EXP(-LN(2)/2)*BR38+(1-EXP(-LN(2)/2))/(LN(2)/2)*BL39*BO39*VLOOKUP('Données projet'!$B$11,Paramètres!$A$1:$I$89,3,0)*0.475*44/12</f>
        <v>5.4459230996135535</v>
      </c>
      <c r="BS39" s="24">
        <f t="shared" si="9"/>
        <v>90.005925253092968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4.8</v>
      </c>
      <c r="BY39" s="13">
        <f>IF('Données projet'!$A$114&gt;35,BY38+BX39-CG38,IF(A39&lt;'Données projet'!$A$114,$BV$205^A39,IF(A39='Données projet'!$A$114,'Données projet'!$B$114,BY38+BX39-CG38)))</f>
        <v>213.80000000000015</v>
      </c>
      <c r="BZ39" s="14">
        <f>BY39*VLOOKUP('Données projet'!$B$12,Paramètres!$A$1:$I$89,3,0)*VLOOKUP('Données projet'!$B$12,Paramètres!$A$1:$I$89,5,0)</f>
        <v>193.44624000000013</v>
      </c>
      <c r="CA39" s="14">
        <f t="shared" si="39"/>
        <v>48.301068656218547</v>
      </c>
      <c r="CB39" s="22">
        <f t="shared" si="10"/>
        <v>421.04322924291415</v>
      </c>
      <c r="CC39" s="62">
        <f t="shared" si="11"/>
        <v>714.37656257624747</v>
      </c>
      <c r="CD39" s="62">
        <f ca="1">AVERAGE(OFFSET($CC$3,0,0,'Données projet'!$E$12+1,1))-AVERAGE(OFFSET($H$3,0,0,'Données projet'!$E$12+1,1))</f>
        <v>302.6112905010138</v>
      </c>
      <c r="CE39" s="62">
        <f t="shared" si="40"/>
        <v>423.44006663873375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7.4031321449195158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7.4031321449195158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187.13674266165236</v>
      </c>
      <c r="T40" s="62">
        <f t="shared" si="34"/>
        <v>439.28159165815276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9.6</v>
      </c>
      <c r="AI40" s="14">
        <f>IF('Données projet'!$A$62&gt;35,AI39+AH40-AQ39,IF(A40&lt;'Données projet'!$A$62,$AF$205^A40,IF(A40='Données projet'!$A$62,'Données projet'!$B$62,AI39+AH40-AQ39)))</f>
        <v>162.19999999999996</v>
      </c>
      <c r="AJ40" s="14">
        <f>AI40*VLOOKUP('Données projet'!$B$10,Paramètres!$A$1:$I$89,3,0)*VLOOKUP('Données projet'!$B$10,Paramètres!$A$1:$I$89,5,0)</f>
        <v>141.69791999999998</v>
      </c>
      <c r="AK40" s="14">
        <f t="shared" si="35"/>
        <v>36.685701801209362</v>
      </c>
      <c r="AL40" s="22">
        <f t="shared" si="4"/>
        <v>310.68480797043964</v>
      </c>
      <c r="AM40" s="62">
        <f t="shared" si="5"/>
        <v>604.01814130377295</v>
      </c>
      <c r="AN40" s="62">
        <f ca="1">AVERAGE(OFFSET($AM$3,0,0,'Données projet'!$E$10+1,1))-AVERAGE(OFFSET($H$3,0,0,'Données projet'!$E$10+1,1))</f>
        <v>327.826081588335</v>
      </c>
      <c r="AO40" s="62">
        <f t="shared" si="36"/>
        <v>348.84706693879735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13.049203482301712</v>
      </c>
      <c r="AW40" s="23">
        <f>EXP(-LN(2)/2)*AW39+(1-EXP(-LN(2)/2))/(LN(2)/2)*AQ40*AT40*VLOOKUP('Données projet'!$B$10,Paramètres!$A$1:$I$89,3,0)*0.475*44/12</f>
        <v>1.3165245177474314</v>
      </c>
      <c r="AX40" s="23">
        <f t="shared" si="6"/>
        <v>14.365728000049144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1.1368683772161603E-13</v>
      </c>
      <c r="BE40" s="14">
        <f>BD40*VLOOKUP('Données projet'!$B$11,Paramètres!$A$1:$I$89,3,0)*VLOOKUP('Données projet'!$B$11,Paramètres!$A$1:$I$89,5,0)</f>
        <v>6.7984728957526396E-14</v>
      </c>
      <c r="BF40" s="14">
        <f t="shared" si="37"/>
        <v>1.0682447123141398E-12</v>
      </c>
      <c r="BG40" s="22">
        <f t="shared" si="7"/>
        <v>1.978932943548152E-12</v>
      </c>
      <c r="BH40" s="62">
        <f t="shared" si="8"/>
        <v>293.3333333333353</v>
      </c>
      <c r="BI40" s="62">
        <f ca="1">AVERAGE(OFFSET($BH$3,0,0,'Données projet'!$E$11+1,1))-AVERAGE(OFFSET($H$3,0,0,'Données projet'!$E$11+1,1))</f>
        <v>187.13674266165236</v>
      </c>
      <c r="BJ40" s="62">
        <f t="shared" si="38"/>
        <v>439.28159165815276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46.418112354472086</v>
      </c>
      <c r="BQ40" s="23">
        <f>EXP(-LN(2)/25)*BQ39+(1-EXP(-LN(2)/25))/(LN(2)/25)*Calculateur!BL40*Calculateur!BN40*VLOOKUP('Données projet'!$B$11,Paramètres!$A$1:$I$89,3,0)*0.475*44/12</f>
        <v>36.195849020589826</v>
      </c>
      <c r="BR40" s="23">
        <f>EXP(-LN(2)/2)*BR39+(1-EXP(-LN(2)/2))/(LN(2)/2)*BL40*BO40*VLOOKUP('Données projet'!$B$11,Paramètres!$A$1:$I$89,3,0)*0.475*44/12</f>
        <v>3.8508491535572058</v>
      </c>
      <c r="BS40" s="24">
        <f t="shared" si="9"/>
        <v>86.464810528619111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4.8</v>
      </c>
      <c r="BY40" s="13">
        <f>IF('Données projet'!$A$114&gt;35,BY39+BX40-CG39,IF(A40&lt;'Données projet'!$A$114,$BV$205^A40,IF(A40='Données projet'!$A$114,'Données projet'!$B$114,BY39+BX40-CG39)))</f>
        <v>218.60000000000016</v>
      </c>
      <c r="BZ40" s="14">
        <f>BY40*VLOOKUP('Données projet'!$B$12,Paramètres!$A$1:$I$89,3,0)*VLOOKUP('Données projet'!$B$12,Paramètres!$A$1:$I$89,5,0)</f>
        <v>197.78928000000013</v>
      </c>
      <c r="CA40" s="14">
        <f t="shared" si="39"/>
        <v>49.258004531609984</v>
      </c>
      <c r="CB40" s="22">
        <f t="shared" si="10"/>
        <v>430.2740205592209</v>
      </c>
      <c r="CC40" s="62">
        <f t="shared" si="11"/>
        <v>723.60735389255422</v>
      </c>
      <c r="CD40" s="62">
        <f ca="1">AVERAGE(OFFSET($CC$3,0,0,'Données projet'!$E$12+1,1))-AVERAGE(OFFSET($H$3,0,0,'Données projet'!$E$12+1,1))</f>
        <v>302.6112905010138</v>
      </c>
      <c r="CE40" s="62">
        <f t="shared" si="40"/>
        <v>423.44006663873375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7.2579612390223875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7.2579612390223875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187.13674266165236</v>
      </c>
      <c r="T41" s="62">
        <f t="shared" si="34"/>
        <v>439.28159165815276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9.6</v>
      </c>
      <c r="AI41" s="14">
        <f>IF('Données projet'!$A$62&gt;35,AI40+AH41-AQ40,IF(A41&lt;'Données projet'!$A$62,$AF$205^A41,IF(A41='Données projet'!$A$62,'Données projet'!$B$62,AI40+AH41-AQ40)))</f>
        <v>171.79999999999995</v>
      </c>
      <c r="AJ41" s="14">
        <f>AI41*VLOOKUP('Données projet'!$B$10,Paramètres!$A$1:$I$89,3,0)*VLOOKUP('Données projet'!$B$10,Paramètres!$A$1:$I$89,5,0)</f>
        <v>150.08447999999999</v>
      </c>
      <c r="AK41" s="14">
        <f t="shared" si="35"/>
        <v>38.597783374841299</v>
      </c>
      <c r="AL41" s="22">
        <f t="shared" si="4"/>
        <v>328.62160871118186</v>
      </c>
      <c r="AM41" s="62">
        <f t="shared" si="5"/>
        <v>621.95494204451518</v>
      </c>
      <c r="AN41" s="62">
        <f ca="1">AVERAGE(OFFSET($AM$3,0,0,'Données projet'!$E$10+1,1))-AVERAGE(OFFSET($H$3,0,0,'Données projet'!$E$10+1,1))</f>
        <v>327.826081588335</v>
      </c>
      <c r="AO41" s="62">
        <f t="shared" si="36"/>
        <v>348.84706693879735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12.692372326850384</v>
      </c>
      <c r="AW41" s="23">
        <f>EXP(-LN(2)/2)*AW40+(1-EXP(-LN(2)/2))/(LN(2)/2)*AQ41*AT41*VLOOKUP('Données projet'!$B$10,Paramètres!$A$1:$I$89,3,0)*0.475*44/12</f>
        <v>0.93092341409755808</v>
      </c>
      <c r="AX41" s="23">
        <f t="shared" si="6"/>
        <v>13.623295740947942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1.1368683772161603E-13</v>
      </c>
      <c r="BE41" s="14">
        <f>BD41*VLOOKUP('Données projet'!$B$11,Paramètres!$A$1:$I$89,3,0)*VLOOKUP('Données projet'!$B$11,Paramètres!$A$1:$I$89,5,0)</f>
        <v>6.7984728957526396E-14</v>
      </c>
      <c r="BF41" s="14">
        <f t="shared" si="37"/>
        <v>1.0682447123141398E-12</v>
      </c>
      <c r="BG41" s="22">
        <f t="shared" si="7"/>
        <v>1.978932943548152E-12</v>
      </c>
      <c r="BH41" s="62">
        <f t="shared" si="8"/>
        <v>293.3333333333353</v>
      </c>
      <c r="BI41" s="62">
        <f ca="1">AVERAGE(OFFSET($BH$3,0,0,'Données projet'!$E$11+1,1))-AVERAGE(OFFSET($H$3,0,0,'Données projet'!$E$11+1,1))</f>
        <v>187.13674266165236</v>
      </c>
      <c r="BJ41" s="62">
        <f t="shared" si="38"/>
        <v>439.28159165815276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45.507881483453822</v>
      </c>
      <c r="BQ41" s="23">
        <f>EXP(-LN(2)/25)*BQ40+(1-EXP(-LN(2)/25))/(LN(2)/25)*Calculateur!BL41*Calculateur!BN41*VLOOKUP('Données projet'!$B$11,Paramètres!$A$1:$I$89,3,0)*0.475*44/12</f>
        <v>35.206071625664826</v>
      </c>
      <c r="BR41" s="23">
        <f>EXP(-LN(2)/2)*BR40+(1-EXP(-LN(2)/2))/(LN(2)/2)*BL41*BO41*VLOOKUP('Données projet'!$B$11,Paramètres!$A$1:$I$89,3,0)*0.475*44/12</f>
        <v>2.7229615498067772</v>
      </c>
      <c r="BS41" s="24">
        <f t="shared" si="9"/>
        <v>83.436914658925431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4.8</v>
      </c>
      <c r="BY41" s="13">
        <f>IF('Données projet'!$A$114&gt;35,BY40+BX41-CG40,IF(A41&lt;'Données projet'!$A$114,$BV$205^A41,IF(A41='Données projet'!$A$114,'Données projet'!$B$114,BY40+BX41-CG40)))</f>
        <v>223.40000000000018</v>
      </c>
      <c r="BZ41" s="14">
        <f>BY41*VLOOKUP('Données projet'!$B$12,Paramètres!$A$1:$I$89,3,0)*VLOOKUP('Données projet'!$B$12,Paramètres!$A$1:$I$89,5,0)</f>
        <v>202.13232000000013</v>
      </c>
      <c r="CA41" s="14">
        <f t="shared" si="39"/>
        <v>50.21249748895967</v>
      </c>
      <c r="CB41" s="22">
        <f t="shared" si="10"/>
        <v>439.50055712660497</v>
      </c>
      <c r="CC41" s="62">
        <f t="shared" si="11"/>
        <v>732.83389045993829</v>
      </c>
      <c r="CD41" s="62">
        <f ca="1">AVERAGE(OFFSET($CC$3,0,0,'Données projet'!$E$12+1,1))-AVERAGE(OFFSET($H$3,0,0,'Données projet'!$E$12+1,1))</f>
        <v>302.6112905010138</v>
      </c>
      <c r="CE41" s="62">
        <f t="shared" si="40"/>
        <v>423.44006663873375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7.1156370460443927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7.1156370460443927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187.13674266165236</v>
      </c>
      <c r="T42" s="62">
        <f t="shared" si="34"/>
        <v>439.28159165815276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9.6</v>
      </c>
      <c r="AI42" s="14">
        <f>IF('Données projet'!$A$62&gt;35,AI41+AH42-AQ41,IF(A42&lt;'Données projet'!$A$62,$AF$205^A42,IF(A42='Données projet'!$A$62,'Données projet'!$B$62,AI41+AH42-AQ41)))</f>
        <v>181.39999999999995</v>
      </c>
      <c r="AJ42" s="14">
        <f>AI42*VLOOKUP('Données projet'!$B$10,Paramètres!$A$1:$I$89,3,0)*VLOOKUP('Données projet'!$B$10,Paramètres!$A$1:$I$89,5,0)</f>
        <v>158.47103999999996</v>
      </c>
      <c r="AK42" s="14">
        <f t="shared" si="35"/>
        <v>40.497461727609561</v>
      </c>
      <c r="AL42" s="22">
        <f t="shared" si="4"/>
        <v>346.53680717558655</v>
      </c>
      <c r="AM42" s="62">
        <f t="shared" si="5"/>
        <v>639.8701405089198</v>
      </c>
      <c r="AN42" s="62">
        <f ca="1">AVERAGE(OFFSET($AM$3,0,0,'Données projet'!$E$10+1,1))-AVERAGE(OFFSET($H$3,0,0,'Données projet'!$E$10+1,1))</f>
        <v>327.826081588335</v>
      </c>
      <c r="AO42" s="62">
        <f t="shared" si="36"/>
        <v>348.84706693879735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12.345298738109808</v>
      </c>
      <c r="AW42" s="23">
        <f>EXP(-LN(2)/2)*AW41+(1-EXP(-LN(2)/2))/(LN(2)/2)*AQ42*AT42*VLOOKUP('Données projet'!$B$10,Paramètres!$A$1:$I$89,3,0)*0.475*44/12</f>
        <v>0.65826225887371581</v>
      </c>
      <c r="AX42" s="23">
        <f t="shared" si="6"/>
        <v>13.003560996983524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1.1368683772161603E-13</v>
      </c>
      <c r="BE42" s="14">
        <f>BD42*VLOOKUP('Données projet'!$B$11,Paramètres!$A$1:$I$89,3,0)*VLOOKUP('Données projet'!$B$11,Paramètres!$A$1:$I$89,5,0)</f>
        <v>6.7984728957526396E-14</v>
      </c>
      <c r="BF42" s="14">
        <f t="shared" si="37"/>
        <v>1.0682447123141398E-12</v>
      </c>
      <c r="BG42" s="22">
        <f t="shared" si="7"/>
        <v>1.978932943548152E-12</v>
      </c>
      <c r="BH42" s="62">
        <f t="shared" si="8"/>
        <v>293.3333333333353</v>
      </c>
      <c r="BI42" s="62">
        <f ca="1">AVERAGE(OFFSET($BH$3,0,0,'Données projet'!$E$11+1,1))-AVERAGE(OFFSET($H$3,0,0,'Données projet'!$E$11+1,1))</f>
        <v>187.13674266165236</v>
      </c>
      <c r="BJ42" s="62">
        <f t="shared" si="38"/>
        <v>439.28159165815276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44.615499684630215</v>
      </c>
      <c r="BQ42" s="23">
        <f>EXP(-LN(2)/25)*BQ41+(1-EXP(-LN(2)/25))/(LN(2)/25)*Calculateur!BL42*Calculateur!BN42*VLOOKUP('Données projet'!$B$11,Paramètres!$A$1:$I$89,3,0)*0.475*44/12</f>
        <v>34.243359745654182</v>
      </c>
      <c r="BR42" s="23">
        <f>EXP(-LN(2)/2)*BR41+(1-EXP(-LN(2)/2))/(LN(2)/2)*BL42*BO42*VLOOKUP('Données projet'!$B$11,Paramètres!$A$1:$I$89,3,0)*0.475*44/12</f>
        <v>1.9254245767786033</v>
      </c>
      <c r="BS42" s="24">
        <f t="shared" si="9"/>
        <v>80.784284007063007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4.8</v>
      </c>
      <c r="BY42" s="13">
        <f>IF('Données projet'!$A$114&gt;35,BY41+BX42-CG41,IF(A42&lt;'Données projet'!$A$114,$BV$205^A42,IF(A42='Données projet'!$A$114,'Données projet'!$B$114,BY41+BX42-CG41)))</f>
        <v>228.20000000000019</v>
      </c>
      <c r="BZ42" s="14">
        <f>BY42*VLOOKUP('Données projet'!$B$12,Paramètres!$A$1:$I$89,3,0)*VLOOKUP('Données projet'!$B$12,Paramètres!$A$1:$I$89,5,0)</f>
        <v>206.47536000000017</v>
      </c>
      <c r="CA42" s="14">
        <f t="shared" si="39"/>
        <v>51.164606062687312</v>
      </c>
      <c r="CB42" s="22">
        <f t="shared" si="10"/>
        <v>448.72294089251392</v>
      </c>
      <c r="CC42" s="62">
        <f t="shared" si="11"/>
        <v>742.05627422584723</v>
      </c>
      <c r="CD42" s="62">
        <f ca="1">AVERAGE(OFFSET($CC$3,0,0,'Données projet'!$E$12+1,1))-AVERAGE(OFFSET($H$3,0,0,'Données projet'!$E$12+1,1))</f>
        <v>302.6112905010138</v>
      </c>
      <c r="CE42" s="62">
        <f t="shared" si="40"/>
        <v>423.44006663873375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6.9761037436815103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6.9761037436815103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187.13674266165236</v>
      </c>
      <c r="T43" s="62">
        <f t="shared" si="34"/>
        <v>439.28159165815276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191</v>
      </c>
      <c r="AG43" s="13">
        <f>VLOOKUP(A43,'Données projet'!$A$61:$I$81,9,0)</f>
        <v>9.6</v>
      </c>
      <c r="AH43" s="13">
        <f t="array" ref="AH43">INDEX(AG:AG,MIN(IF(ISNUMBER(AG43:AG239),ROW(AG43:AG239),"")))</f>
        <v>9.6</v>
      </c>
      <c r="AI43" s="14">
        <f>IF('Données projet'!$A$62&gt;35,AI42+AH43-AQ42,IF(A43&lt;'Données projet'!$A$62,$AF$205^A43,IF(A43='Données projet'!$A$62,'Données projet'!$B$62,AI42+AH43-AQ42)))</f>
        <v>190.99999999999994</v>
      </c>
      <c r="AJ43" s="14">
        <f>AI43*VLOOKUP('Données projet'!$B$10,Paramètres!$A$1:$I$89,3,0)*VLOOKUP('Données projet'!$B$10,Paramètres!$A$1:$I$89,5,0)</f>
        <v>166.85759999999996</v>
      </c>
      <c r="AK43" s="14">
        <f t="shared" si="35"/>
        <v>42.385468111966098</v>
      </c>
      <c r="AL43" s="22">
        <f t="shared" si="4"/>
        <v>364.43167696167421</v>
      </c>
      <c r="AM43" s="62">
        <f t="shared" si="5"/>
        <v>657.76501029500753</v>
      </c>
      <c r="AN43" s="62">
        <f ca="1">AVERAGE(OFFSET($AM$3,0,0,'Données projet'!$E$10+1,1))-AVERAGE(OFFSET($H$3,0,0,'Données projet'!$E$10+1,1))</f>
        <v>327.826081588335</v>
      </c>
      <c r="AO43" s="62">
        <f t="shared" si="36"/>
        <v>348.84706693879735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33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12.00771589490515</v>
      </c>
      <c r="AW43" s="23">
        <f>EXP(-LN(2)/2)*AW42+(1-EXP(-LN(2)/2))/(LN(2)/2)*AQ43*AT43*VLOOKUP('Données projet'!$B$10,Paramètres!$A$1:$I$89,3,0)*0.475*44/12</f>
        <v>0.46546170704877909</v>
      </c>
      <c r="AX43" s="23">
        <f t="shared" si="6"/>
        <v>12.47317760195393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1.1368683772161603E-13</v>
      </c>
      <c r="BE43" s="14">
        <f>BD43*VLOOKUP('Données projet'!$B$11,Paramètres!$A$1:$I$89,3,0)*VLOOKUP('Données projet'!$B$11,Paramètres!$A$1:$I$89,5,0)</f>
        <v>6.7984728957526396E-14</v>
      </c>
      <c r="BF43" s="14">
        <f t="shared" si="37"/>
        <v>1.0682447123141398E-12</v>
      </c>
      <c r="BG43" s="22">
        <f t="shared" si="7"/>
        <v>1.978932943548152E-12</v>
      </c>
      <c r="BH43" s="62">
        <f t="shared" si="8"/>
        <v>293.3333333333353</v>
      </c>
      <c r="BI43" s="62">
        <f ca="1">AVERAGE(OFFSET($BH$3,0,0,'Données projet'!$E$11+1,1))-AVERAGE(OFFSET($H$3,0,0,'Données projet'!$E$11+1,1))</f>
        <v>187.13674266165236</v>
      </c>
      <c r="BJ43" s="62">
        <f t="shared" si="38"/>
        <v>439.28159165815276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43.740616948582385</v>
      </c>
      <c r="BQ43" s="23">
        <f>EXP(-LN(2)/25)*BQ42+(1-EXP(-LN(2)/25))/(LN(2)/25)*Calculateur!BL43*Calculateur!BN43*VLOOKUP('Données projet'!$B$11,Paramètres!$A$1:$I$89,3,0)*0.475*44/12</f>
        <v>33.306973272629243</v>
      </c>
      <c r="BR43" s="23">
        <f>EXP(-LN(2)/2)*BR42+(1-EXP(-LN(2)/2))/(LN(2)/2)*BL43*BO43*VLOOKUP('Données projet'!$B$11,Paramètres!$A$1:$I$89,3,0)*0.475*44/12</f>
        <v>1.3614807749033888</v>
      </c>
      <c r="BS43" s="24">
        <f t="shared" si="9"/>
        <v>78.40907099611502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233</v>
      </c>
      <c r="BW43" s="13">
        <f>VLOOKUP(A43,'Données projet'!$A$113:$I$133,9,0)</f>
        <v>4.8</v>
      </c>
      <c r="BX43" s="13">
        <f t="array" ref="BX43">INDEX(BW:BW,MIN(IF(ISNUMBER(BW43:BW239),ROW(BW43:BW239),"")))</f>
        <v>4.8</v>
      </c>
      <c r="BY43" s="13">
        <f>IF('Données projet'!$A$114&gt;35,BY42+BX43-CG42,IF(A43&lt;'Données projet'!$A$114,$BV$205^A43,IF(A43='Données projet'!$A$114,'Données projet'!$B$114,BY42+BX43-CG42)))</f>
        <v>233.0000000000002</v>
      </c>
      <c r="BZ43" s="14">
        <f>BY43*VLOOKUP('Données projet'!$B$12,Paramètres!$A$1:$I$89,3,0)*VLOOKUP('Données projet'!$B$12,Paramètres!$A$1:$I$89,5,0)</f>
        <v>210.81840000000017</v>
      </c>
      <c r="CA43" s="14">
        <f t="shared" si="39"/>
        <v>52.114386184062248</v>
      </c>
      <c r="CB43" s="22">
        <f t="shared" si="10"/>
        <v>457.94126927057533</v>
      </c>
      <c r="CC43" s="62">
        <f t="shared" si="11"/>
        <v>751.27460260390865</v>
      </c>
      <c r="CD43" s="62">
        <f ca="1">AVERAGE(OFFSET($CC$3,0,0,'Données projet'!$E$12+1,1))-AVERAGE(OFFSET($H$3,0,0,'Données projet'!$E$12+1,1))</f>
        <v>302.6112905010138</v>
      </c>
      <c r="CE43" s="62">
        <f t="shared" si="40"/>
        <v>423.44006663873375</v>
      </c>
      <c r="CF43" s="16">
        <f>IF(ISNA(VLOOKUP(A43,'Données projet'!$A$113:$I$133,3,0)),0,VLOOKUP(A43,'Données projet'!$A$113:$I$133,3,0))</f>
        <v>8</v>
      </c>
      <c r="CG43" s="16">
        <f>IF(ISNA(VLOOKUP(A43,'Données projet'!$A$113:$I$133,4,0)),0,VLOOKUP(A43,'Données projet'!$A$113:$I$133,4,0))</f>
        <v>6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6.8393066042710533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6.8393066042710533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187.13674266165236</v>
      </c>
      <c r="T44" s="62">
        <f t="shared" si="34"/>
        <v>439.28159165815276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8.6</v>
      </c>
      <c r="AI44" s="14">
        <f>IF('Données projet'!$A$62&gt;35,AI43+AH44-AQ43,IF(A44&lt;'Données projet'!$A$62,$AF$205^A44,IF(A44='Données projet'!$A$62,'Données projet'!$B$62,AI43+AH44-AQ43)))</f>
        <v>166.59999999999994</v>
      </c>
      <c r="AJ44" s="14">
        <f>AI44*VLOOKUP('Données projet'!$B$10,Paramètres!$A$1:$I$89,3,0)*VLOOKUP('Données projet'!$B$10,Paramètres!$A$1:$I$89,5,0)</f>
        <v>145.54175999999998</v>
      </c>
      <c r="AK44" s="14">
        <f t="shared" si="35"/>
        <v>37.563662342876064</v>
      </c>
      <c r="AL44" s="22">
        <f t="shared" si="4"/>
        <v>318.90861058050911</v>
      </c>
      <c r="AM44" s="62">
        <f t="shared" si="5"/>
        <v>612.24194391384242</v>
      </c>
      <c r="AN44" s="62">
        <f ca="1">AVERAGE(OFFSET($AM$3,0,0,'Données projet'!$E$10+1,1))-AVERAGE(OFFSET($H$3,0,0,'Données projet'!$E$10+1,1))</f>
        <v>327.826081588335</v>
      </c>
      <c r="AO44" s="62">
        <f t="shared" si="36"/>
        <v>348.84706693879735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11.679364272300633</v>
      </c>
      <c r="AW44" s="23">
        <f>EXP(-LN(2)/2)*AW43+(1-EXP(-LN(2)/2))/(LN(2)/2)*AQ44*AT44*VLOOKUP('Données projet'!$B$10,Paramètres!$A$1:$I$89,3,0)*0.475*44/12</f>
        <v>0.32913112943685796</v>
      </c>
      <c r="AX44" s="23">
        <f t="shared" si="6"/>
        <v>12.008495401737491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1.1368683772161603E-13</v>
      </c>
      <c r="BE44" s="14">
        <f>BD44*VLOOKUP('Données projet'!$B$11,Paramètres!$A$1:$I$89,3,0)*VLOOKUP('Données projet'!$B$11,Paramètres!$A$1:$I$89,5,0)</f>
        <v>6.7984728957526396E-14</v>
      </c>
      <c r="BF44" s="14">
        <f t="shared" si="37"/>
        <v>1.0682447123141398E-12</v>
      </c>
      <c r="BG44" s="22">
        <f t="shared" si="7"/>
        <v>1.978932943548152E-12</v>
      </c>
      <c r="BH44" s="62">
        <f t="shared" si="8"/>
        <v>293.3333333333353</v>
      </c>
      <c r="BI44" s="62">
        <f ca="1">AVERAGE(OFFSET($BH$3,0,0,'Données projet'!$E$11+1,1))-AVERAGE(OFFSET($H$3,0,0,'Données projet'!$E$11+1,1))</f>
        <v>187.13674266165236</v>
      </c>
      <c r="BJ44" s="62">
        <f t="shared" si="38"/>
        <v>439.28159165815276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42.882890129362679</v>
      </c>
      <c r="BQ44" s="23">
        <f>EXP(-LN(2)/25)*BQ43+(1-EXP(-LN(2)/25))/(LN(2)/25)*Calculateur!BL44*Calculateur!BN44*VLOOKUP('Données projet'!$B$11,Paramètres!$A$1:$I$89,3,0)*0.475*44/12</f>
        <v>32.396192336951593</v>
      </c>
      <c r="BR44" s="23">
        <f>EXP(-LN(2)/2)*BR43+(1-EXP(-LN(2)/2))/(LN(2)/2)*BL44*BO44*VLOOKUP('Données projet'!$B$11,Paramètres!$A$1:$I$89,3,0)*0.475*44/12</f>
        <v>0.96271228838930178</v>
      </c>
      <c r="BS44" s="24">
        <f t="shared" si="9"/>
        <v>76.241794754703562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5</v>
      </c>
      <c r="BY44" s="13">
        <f>IF('Données projet'!$A$114&gt;35,BY43+BX44-CG43,IF(A44&lt;'Données projet'!$A$114,$BV$205^A44,IF(A44='Données projet'!$A$114,'Données projet'!$B$114,BY43+BX44-CG43)))</f>
        <v>232.0000000000002</v>
      </c>
      <c r="BZ44" s="14">
        <f>BY44*VLOOKUP('Données projet'!$B$12,Paramètres!$A$1:$I$89,3,0)*VLOOKUP('Données projet'!$B$12,Paramètres!$A$1:$I$89,5,0)</f>
        <v>209.9136000000002</v>
      </c>
      <c r="CA44" s="14">
        <f t="shared" si="39"/>
        <v>51.916704672341361</v>
      </c>
      <c r="CB44" s="22">
        <f t="shared" si="10"/>
        <v>456.02111397099492</v>
      </c>
      <c r="CC44" s="62">
        <f t="shared" si="11"/>
        <v>749.35444730432823</v>
      </c>
      <c r="CD44" s="62">
        <f ca="1">AVERAGE(OFFSET($CC$3,0,0,'Données projet'!$E$12+1,1))-AVERAGE(OFFSET($H$3,0,0,'Données projet'!$E$12+1,1))</f>
        <v>302.6112905010138</v>
      </c>
      <c r="CE44" s="62">
        <f t="shared" si="40"/>
        <v>423.44006663873375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6.7051919733264187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6.7051919733264187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187.13674266165236</v>
      </c>
      <c r="T45" s="62">
        <f t="shared" si="34"/>
        <v>439.28159165815276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8.6</v>
      </c>
      <c r="AI45" s="14">
        <f>IF('Données projet'!$A$62&gt;35,AI44+AH45-AQ44,IF(A45&lt;'Données projet'!$A$62,$AF$205^A45,IF(A45='Données projet'!$A$62,'Données projet'!$B$62,AI44+AH45-AQ44)))</f>
        <v>175.19999999999993</v>
      </c>
      <c r="AJ45" s="14">
        <f>AI45*VLOOKUP('Données projet'!$B$10,Paramètres!$A$1:$I$89,3,0)*VLOOKUP('Données projet'!$B$10,Paramètres!$A$1:$I$89,5,0)</f>
        <v>153.05471999999995</v>
      </c>
      <c r="AK45" s="14">
        <f t="shared" si="35"/>
        <v>39.271965088385166</v>
      </c>
      <c r="AL45" s="22">
        <f t="shared" si="4"/>
        <v>334.96897652893739</v>
      </c>
      <c r="AM45" s="62">
        <f t="shared" si="5"/>
        <v>628.3023098622707</v>
      </c>
      <c r="AN45" s="62">
        <f ca="1">AVERAGE(OFFSET($AM$3,0,0,'Données projet'!$E$10+1,1))-AVERAGE(OFFSET($H$3,0,0,'Données projet'!$E$10+1,1))</f>
        <v>327.826081588335</v>
      </c>
      <c r="AO45" s="62">
        <f t="shared" si="36"/>
        <v>348.84706693879735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11.3599914420835</v>
      </c>
      <c r="AW45" s="23">
        <f>EXP(-LN(2)/2)*AW44+(1-EXP(-LN(2)/2))/(LN(2)/2)*AQ45*AT45*VLOOKUP('Données projet'!$B$10,Paramètres!$A$1:$I$89,3,0)*0.475*44/12</f>
        <v>0.2327308535243896</v>
      </c>
      <c r="AX45" s="23">
        <f t="shared" si="6"/>
        <v>11.592722295607889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1.1368683772161603E-13</v>
      </c>
      <c r="BE45" s="14">
        <f>BD45*VLOOKUP('Données projet'!$B$11,Paramètres!$A$1:$I$89,3,0)*VLOOKUP('Données projet'!$B$11,Paramètres!$A$1:$I$89,5,0)</f>
        <v>6.7984728957526396E-14</v>
      </c>
      <c r="BF45" s="14">
        <f t="shared" si="37"/>
        <v>1.0682447123141398E-12</v>
      </c>
      <c r="BG45" s="22">
        <f t="shared" si="7"/>
        <v>1.978932943548152E-12</v>
      </c>
      <c r="BH45" s="62">
        <f t="shared" si="8"/>
        <v>293.3333333333353</v>
      </c>
      <c r="BI45" s="62">
        <f ca="1">AVERAGE(OFFSET($BH$3,0,0,'Données projet'!$E$11+1,1))-AVERAGE(OFFSET($H$3,0,0,'Données projet'!$E$11+1,1))</f>
        <v>187.13674266165236</v>
      </c>
      <c r="BJ45" s="62">
        <f t="shared" si="38"/>
        <v>439.28159165815276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42.041982809906166</v>
      </c>
      <c r="BQ45" s="23">
        <f>EXP(-LN(2)/25)*BQ44+(1-EXP(-LN(2)/25))/(LN(2)/25)*Calculateur!BL45*Calculateur!BN45*VLOOKUP('Données projet'!$B$11,Paramètres!$A$1:$I$89,3,0)*0.475*44/12</f>
        <v>31.510316753855939</v>
      </c>
      <c r="BR45" s="23">
        <f>EXP(-LN(2)/2)*BR44+(1-EXP(-LN(2)/2))/(LN(2)/2)*BL45*BO45*VLOOKUP('Données projet'!$B$11,Paramètres!$A$1:$I$89,3,0)*0.475*44/12</f>
        <v>0.68074038745169452</v>
      </c>
      <c r="BS45" s="24">
        <f t="shared" si="9"/>
        <v>74.233039951213797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5</v>
      </c>
      <c r="BY45" s="13">
        <f>IF('Données projet'!$A$114&gt;35,BY44+BX45-CG44,IF(A45&lt;'Données projet'!$A$114,$BV$205^A45,IF(A45='Données projet'!$A$114,'Données projet'!$B$114,BY44+BX45-CG44)))</f>
        <v>237.0000000000002</v>
      </c>
      <c r="BZ45" s="14">
        <f>BY45*VLOOKUP('Données projet'!$B$12,Paramètres!$A$1:$I$89,3,0)*VLOOKUP('Données projet'!$B$12,Paramètres!$A$1:$I$89,5,0)</f>
        <v>214.43760000000015</v>
      </c>
      <c r="CA45" s="14">
        <f t="shared" si="39"/>
        <v>52.904129603372425</v>
      </c>
      <c r="CB45" s="22">
        <f t="shared" si="10"/>
        <v>465.6201790592072</v>
      </c>
      <c r="CC45" s="62">
        <f t="shared" si="11"/>
        <v>758.95351239254046</v>
      </c>
      <c r="CD45" s="62">
        <f ca="1">AVERAGE(OFFSET($CC$3,0,0,'Données projet'!$E$12+1,1))-AVERAGE(OFFSET($H$3,0,0,'Données projet'!$E$12+1,1))</f>
        <v>302.6112905010138</v>
      </c>
      <c r="CE45" s="62">
        <f t="shared" si="40"/>
        <v>423.44006663873375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6.5737072484927603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6.5737072484927603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187.13674266165236</v>
      </c>
      <c r="T46" s="62">
        <f t="shared" si="34"/>
        <v>439.28159165815276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8.6</v>
      </c>
      <c r="AI46" s="14">
        <f>IF('Données projet'!$A$62&gt;35,AI45+AH46-AQ45,IF(A46&lt;'Données projet'!$A$62,$AF$205^A46,IF(A46='Données projet'!$A$62,'Données projet'!$B$62,AI45+AH46-AQ45)))</f>
        <v>183.79999999999993</v>
      </c>
      <c r="AJ46" s="14">
        <f>AI46*VLOOKUP('Données projet'!$B$10,Paramètres!$A$1:$I$89,3,0)*VLOOKUP('Données projet'!$B$10,Paramètres!$A$1:$I$89,5,0)</f>
        <v>160.56767999999997</v>
      </c>
      <c r="AK46" s="14">
        <f t="shared" si="35"/>
        <v>40.970530810309882</v>
      </c>
      <c r="AL46" s="22">
        <f t="shared" si="4"/>
        <v>351.01238382795628</v>
      </c>
      <c r="AM46" s="62">
        <f t="shared" si="5"/>
        <v>644.3457171612896</v>
      </c>
      <c r="AN46" s="62">
        <f ca="1">AVERAGE(OFFSET($AM$3,0,0,'Données projet'!$E$10+1,1))-AVERAGE(OFFSET($H$3,0,0,'Données projet'!$E$10+1,1))</f>
        <v>327.826081588335</v>
      </c>
      <c r="AO46" s="62">
        <f t="shared" si="36"/>
        <v>348.84706693879735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11.049351878703741</v>
      </c>
      <c r="AW46" s="23">
        <f>EXP(-LN(2)/2)*AW45+(1-EXP(-LN(2)/2))/(LN(2)/2)*AQ46*AT46*VLOOKUP('Données projet'!$B$10,Paramètres!$A$1:$I$89,3,0)*0.475*44/12</f>
        <v>0.16456556471842901</v>
      </c>
      <c r="AX46" s="23">
        <f t="shared" si="6"/>
        <v>11.21391744342217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1.1368683772161603E-13</v>
      </c>
      <c r="BE46" s="14">
        <f>BD46*VLOOKUP('Données projet'!$B$11,Paramètres!$A$1:$I$89,3,0)*VLOOKUP('Données projet'!$B$11,Paramètres!$A$1:$I$89,5,0)</f>
        <v>6.7984728957526396E-14</v>
      </c>
      <c r="BF46" s="14">
        <f t="shared" si="37"/>
        <v>1.0682447123141398E-12</v>
      </c>
      <c r="BG46" s="22">
        <f t="shared" si="7"/>
        <v>1.978932943548152E-12</v>
      </c>
      <c r="BH46" s="62">
        <f t="shared" si="8"/>
        <v>293.3333333333353</v>
      </c>
      <c r="BI46" s="62">
        <f ca="1">AVERAGE(OFFSET($BH$3,0,0,'Données projet'!$E$11+1,1))-AVERAGE(OFFSET($H$3,0,0,'Données projet'!$E$11+1,1))</f>
        <v>187.13674266165236</v>
      </c>
      <c r="BJ46" s="62">
        <f t="shared" si="38"/>
        <v>439.28159165815276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41.217565170081379</v>
      </c>
      <c r="BQ46" s="23">
        <f>EXP(-LN(2)/25)*BQ45+(1-EXP(-LN(2)/25))/(LN(2)/25)*Calculateur!BL46*Calculateur!BN46*VLOOKUP('Données projet'!$B$11,Paramètres!$A$1:$I$89,3,0)*0.475*44/12</f>
        <v>30.648665485166209</v>
      </c>
      <c r="BR46" s="23">
        <f>EXP(-LN(2)/2)*BR45+(1-EXP(-LN(2)/2))/(LN(2)/2)*BL46*BO46*VLOOKUP('Données projet'!$B$11,Paramètres!$A$1:$I$89,3,0)*0.475*44/12</f>
        <v>0.48135614419465095</v>
      </c>
      <c r="BS46" s="24">
        <f t="shared" si="9"/>
        <v>72.34758679944224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5</v>
      </c>
      <c r="BY46" s="13">
        <f>IF('Données projet'!$A$114&gt;35,BY45+BX46-CG45,IF(A46&lt;'Données projet'!$A$114,$BV$205^A46,IF(A46='Données projet'!$A$114,'Données projet'!$B$114,BY45+BX46-CG45)))</f>
        <v>242.0000000000002</v>
      </c>
      <c r="BZ46" s="14">
        <f>BY46*VLOOKUP('Données projet'!$B$12,Paramètres!$A$1:$I$89,3,0)*VLOOKUP('Données projet'!$B$12,Paramètres!$A$1:$I$89,5,0)</f>
        <v>218.96160000000017</v>
      </c>
      <c r="CA46" s="14">
        <f t="shared" si="39"/>
        <v>53.889132503707479</v>
      </c>
      <c r="CB46" s="22">
        <f t="shared" si="10"/>
        <v>475.2150257772908</v>
      </c>
      <c r="CC46" s="62">
        <f t="shared" si="11"/>
        <v>768.54835911062412</v>
      </c>
      <c r="CD46" s="62">
        <f ca="1">AVERAGE(OFFSET($CC$3,0,0,'Données projet'!$E$12+1,1))-AVERAGE(OFFSET($H$3,0,0,'Données projet'!$E$12+1,1))</f>
        <v>302.6112905010138</v>
      </c>
      <c r="CE46" s="62">
        <f t="shared" si="40"/>
        <v>423.44006663873375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6.4448008589153272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6.4448008589153272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187.13674266165236</v>
      </c>
      <c r="T47" s="62">
        <f t="shared" si="34"/>
        <v>439.28159165815276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8.6</v>
      </c>
      <c r="AI47" s="14">
        <f>IF('Données projet'!$A$62&gt;35,AI46+AH47-AQ46,IF(A47&lt;'Données projet'!$A$62,$AF$205^A47,IF(A47='Données projet'!$A$62,'Données projet'!$B$62,AI46+AH47-AQ46)))</f>
        <v>192.39999999999992</v>
      </c>
      <c r="AJ47" s="14">
        <f>AI47*VLOOKUP('Données projet'!$B$10,Paramètres!$A$1:$I$89,3,0)*VLOOKUP('Données projet'!$B$10,Paramètres!$A$1:$I$89,5,0)</f>
        <v>168.08063999999996</v>
      </c>
      <c r="AK47" s="14">
        <f t="shared" si="35"/>
        <v>42.659867131343425</v>
      </c>
      <c r="AL47" s="22">
        <f t="shared" si="4"/>
        <v>367.03971658708974</v>
      </c>
      <c r="AM47" s="62">
        <f t="shared" si="5"/>
        <v>660.373049920423</v>
      </c>
      <c r="AN47" s="62">
        <f ca="1">AVERAGE(OFFSET($AM$3,0,0,'Données projet'!$E$10+1,1))-AVERAGE(OFFSET($H$3,0,0,'Données projet'!$E$10+1,1))</f>
        <v>327.826081588335</v>
      </c>
      <c r="AO47" s="62">
        <f t="shared" si="36"/>
        <v>348.84706693879735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10.747206770520425</v>
      </c>
      <c r="AW47" s="23">
        <f>EXP(-LN(2)/2)*AW46+(1-EXP(-LN(2)/2))/(LN(2)/2)*AQ47*AT47*VLOOKUP('Données projet'!$B$10,Paramètres!$A$1:$I$89,3,0)*0.475*44/12</f>
        <v>0.11636542676219482</v>
      </c>
      <c r="AX47" s="23">
        <f t="shared" si="6"/>
        <v>10.86357219728262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1.1368683772161603E-13</v>
      </c>
      <c r="BE47" s="14">
        <f>BD47*VLOOKUP('Données projet'!$B$11,Paramètres!$A$1:$I$89,3,0)*VLOOKUP('Données projet'!$B$11,Paramètres!$A$1:$I$89,5,0)</f>
        <v>6.7984728957526396E-14</v>
      </c>
      <c r="BF47" s="14">
        <f t="shared" si="37"/>
        <v>1.0682447123141398E-12</v>
      </c>
      <c r="BG47" s="22">
        <f t="shared" si="7"/>
        <v>1.978932943548152E-12</v>
      </c>
      <c r="BH47" s="62">
        <f t="shared" si="8"/>
        <v>293.3333333333353</v>
      </c>
      <c r="BI47" s="62">
        <f ca="1">AVERAGE(OFFSET($BH$3,0,0,'Données projet'!$E$11+1,1))-AVERAGE(OFFSET($H$3,0,0,'Données projet'!$E$11+1,1))</f>
        <v>187.13674266165236</v>
      </c>
      <c r="BJ47" s="62">
        <f t="shared" si="38"/>
        <v>439.28159165815276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40.409313857328442</v>
      </c>
      <c r="BQ47" s="23">
        <f>EXP(-LN(2)/25)*BQ46+(1-EXP(-LN(2)/25))/(LN(2)/25)*Calculateur!BL47*Calculateur!BN47*VLOOKUP('Données projet'!$B$11,Paramètres!$A$1:$I$89,3,0)*0.475*44/12</f>
        <v>29.81057611573107</v>
      </c>
      <c r="BR47" s="23">
        <f>EXP(-LN(2)/2)*BR46+(1-EXP(-LN(2)/2))/(LN(2)/2)*BL47*BO47*VLOOKUP('Données projet'!$B$11,Paramètres!$A$1:$I$89,3,0)*0.475*44/12</f>
        <v>0.34037019372584731</v>
      </c>
      <c r="BS47" s="24">
        <f t="shared" si="9"/>
        <v>70.560260166785355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5</v>
      </c>
      <c r="BY47" s="13">
        <f>IF('Données projet'!$A$114&gt;35,BY46+BX47-CG46,IF(A47&lt;'Données projet'!$A$114,$BV$205^A47,IF(A47='Données projet'!$A$114,'Données projet'!$B$114,BY46+BX47-CG46)))</f>
        <v>247.0000000000002</v>
      </c>
      <c r="BZ47" s="14">
        <f>BY47*VLOOKUP('Données projet'!$B$12,Paramètres!$A$1:$I$89,3,0)*VLOOKUP('Données projet'!$B$12,Paramètres!$A$1:$I$89,5,0)</f>
        <v>223.48560000000018</v>
      </c>
      <c r="CA47" s="14">
        <f t="shared" si="39"/>
        <v>54.87176918107798</v>
      </c>
      <c r="CB47" s="22">
        <f t="shared" si="10"/>
        <v>484.80575132371115</v>
      </c>
      <c r="CC47" s="62">
        <f t="shared" si="11"/>
        <v>778.13908465704446</v>
      </c>
      <c r="CD47" s="62">
        <f ca="1">AVERAGE(OFFSET($CC$3,0,0,'Données projet'!$E$12+1,1))-AVERAGE(OFFSET($H$3,0,0,'Données projet'!$E$12+1,1))</f>
        <v>302.6112905010138</v>
      </c>
      <c r="CE47" s="62">
        <f t="shared" si="40"/>
        <v>423.44006663873375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6.318422245012373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6.318422245012373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187.13674266165236</v>
      </c>
      <c r="T48" s="62">
        <f t="shared" si="34"/>
        <v>439.28159165815276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201</v>
      </c>
      <c r="AG48" s="13">
        <f>VLOOKUP(A48,'Données projet'!$A$61:$I$81,9,0)</f>
        <v>8.6</v>
      </c>
      <c r="AH48" s="13">
        <f t="array" ref="AH48">INDEX(AG:AG,MIN(IF(ISNUMBER(AG48:AG244),ROW(AG48:AG244),"")))</f>
        <v>8.6</v>
      </c>
      <c r="AI48" s="14">
        <f>IF('Données projet'!$A$62&gt;35,AI47+AH48-AQ47,IF(A48&lt;'Données projet'!$A$62,$AF$205^A48,IF(A48='Données projet'!$A$62,'Données projet'!$B$62,AI47+AH48-AQ47)))</f>
        <v>200.99999999999991</v>
      </c>
      <c r="AJ48" s="14">
        <f>AI48*VLOOKUP('Données projet'!$B$10,Paramètres!$A$1:$I$89,3,0)*VLOOKUP('Données projet'!$B$10,Paramètres!$A$1:$I$89,5,0)</f>
        <v>175.59359999999995</v>
      </c>
      <c r="AK48" s="14">
        <f t="shared" si="35"/>
        <v>44.340433728638573</v>
      </c>
      <c r="AL48" s="22">
        <f t="shared" si="4"/>
        <v>383.05177541071203</v>
      </c>
      <c r="AM48" s="62">
        <f t="shared" si="5"/>
        <v>676.38510874404528</v>
      </c>
      <c r="AN48" s="62">
        <f ca="1">AVERAGE(OFFSET($AM$3,0,0,'Données projet'!$E$10+1,1))-AVERAGE(OFFSET($H$3,0,0,'Données projet'!$E$10+1,1))</f>
        <v>327.826081588335</v>
      </c>
      <c r="AO48" s="62">
        <f t="shared" si="36"/>
        <v>348.84706693879735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31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10.453323836209503</v>
      </c>
      <c r="AW48" s="23">
        <f>EXP(-LN(2)/2)*AW47+(1-EXP(-LN(2)/2))/(LN(2)/2)*AQ48*AT48*VLOOKUP('Données projet'!$B$10,Paramètres!$A$1:$I$89,3,0)*0.475*44/12</f>
        <v>8.2282782359214518E-2</v>
      </c>
      <c r="AX48" s="23">
        <f t="shared" si="6"/>
        <v>10.535606618568718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1.1368683772161603E-13</v>
      </c>
      <c r="BE48" s="14">
        <f>BD48*VLOOKUP('Données projet'!$B$11,Paramètres!$A$1:$I$89,3,0)*VLOOKUP('Données projet'!$B$11,Paramètres!$A$1:$I$89,5,0)</f>
        <v>6.7984728957526396E-14</v>
      </c>
      <c r="BF48" s="14">
        <f t="shared" si="37"/>
        <v>1.0682447123141398E-12</v>
      </c>
      <c r="BG48" s="22">
        <f t="shared" si="7"/>
        <v>1.978932943548152E-12</v>
      </c>
      <c r="BH48" s="62">
        <f t="shared" si="8"/>
        <v>293.3333333333353</v>
      </c>
      <c r="BI48" s="62">
        <f ca="1">AVERAGE(OFFSET($BH$3,0,0,'Données projet'!$E$11+1,1))-AVERAGE(OFFSET($H$3,0,0,'Données projet'!$E$11+1,1))</f>
        <v>187.13674266165236</v>
      </c>
      <c r="BJ48" s="62">
        <f t="shared" si="38"/>
        <v>439.28159165815276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39.616911859833969</v>
      </c>
      <c r="BQ48" s="23">
        <f>EXP(-LN(2)/25)*BQ47+(1-EXP(-LN(2)/25))/(LN(2)/25)*Calculateur!BL48*Calculateur!BN48*VLOOKUP('Données projet'!$B$11,Paramètres!$A$1:$I$89,3,0)*0.475*44/12</f>
        <v>28.99540434417634</v>
      </c>
      <c r="BR48" s="23">
        <f>EXP(-LN(2)/2)*BR47+(1-EXP(-LN(2)/2))/(LN(2)/2)*BL48*BO48*VLOOKUP('Données projet'!$B$11,Paramètres!$A$1:$I$89,3,0)*0.475*44/12</f>
        <v>0.24067807209732553</v>
      </c>
      <c r="BS48" s="24">
        <f t="shared" si="9"/>
        <v>68.852994276107637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252</v>
      </c>
      <c r="BW48" s="13">
        <f>VLOOKUP(A48,'Données projet'!$A$113:$I$133,9,0)</f>
        <v>5</v>
      </c>
      <c r="BX48" s="13">
        <f t="array" ref="BX48">INDEX(BW:BW,MIN(IF(ISNUMBER(BW48:BW244),ROW(BW48:BW244),"")))</f>
        <v>5</v>
      </c>
      <c r="BY48" s="13">
        <f>IF('Données projet'!$A$114&gt;35,BY47+BX48-CG47,IF(A48&lt;'Données projet'!$A$114,$BV$205^A48,IF(A48='Données projet'!$A$114,'Données projet'!$B$114,BY47+BX48-CG47)))</f>
        <v>252.0000000000002</v>
      </c>
      <c r="BZ48" s="14">
        <f>BY48*VLOOKUP('Données projet'!$B$12,Paramètres!$A$1:$I$89,3,0)*VLOOKUP('Données projet'!$B$12,Paramètres!$A$1:$I$89,5,0)</f>
        <v>228.00960000000018</v>
      </c>
      <c r="CA48" s="14">
        <f t="shared" si="39"/>
        <v>55.852093054619878</v>
      </c>
      <c r="CB48" s="22">
        <f t="shared" si="10"/>
        <v>494.39244873679655</v>
      </c>
      <c r="CC48" s="62">
        <f t="shared" si="11"/>
        <v>787.72578207012987</v>
      </c>
      <c r="CD48" s="62">
        <f ca="1">AVERAGE(OFFSET($CC$3,0,0,'Données projet'!$E$12+1,1))-AVERAGE(OFFSET($H$3,0,0,'Données projet'!$E$12+1,1))</f>
        <v>302.6112905010138</v>
      </c>
      <c r="CE48" s="62">
        <f t="shared" si="40"/>
        <v>423.44006663873375</v>
      </c>
      <c r="CF48" s="16">
        <f>IF(ISNA(VLOOKUP(A48,'Données projet'!$A$113:$I$133,3,0)),0,VLOOKUP(A48,'Données projet'!$A$113:$I$133,3,0))</f>
        <v>9</v>
      </c>
      <c r="CG48" s="16">
        <f>IF(ISNA(VLOOKUP(A48,'Données projet'!$A$113:$I$133,4,0)),0,VLOOKUP(A48,'Données projet'!$A$113:$I$133,4,0))</f>
        <v>252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6.1945218386447127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6.1945218386447127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187.13674266165236</v>
      </c>
      <c r="T49" s="62">
        <f t="shared" si="34"/>
        <v>439.28159165815276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7.8</v>
      </c>
      <c r="AI49" s="14">
        <f>IF('Données projet'!$A$62&gt;35,AI48+AH49-AQ48,IF(A49&lt;'Données projet'!$A$62,$AF$205^A49,IF(A49='Données projet'!$A$62,'Données projet'!$B$62,AI48+AH49-AQ48)))</f>
        <v>177.79999999999993</v>
      </c>
      <c r="AJ49" s="14">
        <f>AI49*VLOOKUP('Données projet'!$B$10,Paramètres!$A$1:$I$89,3,0)*VLOOKUP('Données projet'!$B$10,Paramètres!$A$1:$I$89,5,0)</f>
        <v>155.32607999999996</v>
      </c>
      <c r="AK49" s="14">
        <f t="shared" si="35"/>
        <v>39.786487601092411</v>
      </c>
      <c r="AL49" s="22">
        <f t="shared" si="4"/>
        <v>339.82105523856922</v>
      </c>
      <c r="AM49" s="62">
        <f t="shared" si="5"/>
        <v>633.15438857190247</v>
      </c>
      <c r="AN49" s="62">
        <f ca="1">AVERAGE(OFFSET($AM$3,0,0,'Données projet'!$E$10+1,1))-AVERAGE(OFFSET($H$3,0,0,'Données projet'!$E$10+1,1))</f>
        <v>327.826081588335</v>
      </c>
      <c r="AO49" s="62">
        <f t="shared" si="36"/>
        <v>348.84706693879735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10.167477146191946</v>
      </c>
      <c r="AW49" s="23">
        <f>EXP(-LN(2)/2)*AW48+(1-EXP(-LN(2)/2))/(LN(2)/2)*AQ49*AT49*VLOOKUP('Données projet'!$B$10,Paramètres!$A$1:$I$89,3,0)*0.475*44/12</f>
        <v>5.8182713381097415E-2</v>
      </c>
      <c r="AX49" s="23">
        <f t="shared" si="6"/>
        <v>10.225659859573042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1.1368683772161603E-13</v>
      </c>
      <c r="BE49" s="14">
        <f>BD49*VLOOKUP('Données projet'!$B$11,Paramètres!$A$1:$I$89,3,0)*VLOOKUP('Données projet'!$B$11,Paramètres!$A$1:$I$89,5,0)</f>
        <v>6.7984728957526396E-14</v>
      </c>
      <c r="BF49" s="14">
        <f t="shared" si="37"/>
        <v>1.0682447123141398E-12</v>
      </c>
      <c r="BG49" s="22">
        <f t="shared" si="7"/>
        <v>1.978932943548152E-12</v>
      </c>
      <c r="BH49" s="62">
        <f t="shared" si="8"/>
        <v>293.3333333333353</v>
      </c>
      <c r="BI49" s="62">
        <f ca="1">AVERAGE(OFFSET($BH$3,0,0,'Données projet'!$E$11+1,1))-AVERAGE(OFFSET($H$3,0,0,'Données projet'!$E$11+1,1))</f>
        <v>187.13674266165236</v>
      </c>
      <c r="BJ49" s="62">
        <f t="shared" si="38"/>
        <v>439.28159165815276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38.840048382192869</v>
      </c>
      <c r="BQ49" s="23">
        <f>EXP(-LN(2)/25)*BQ48+(1-EXP(-LN(2)/25))/(LN(2)/25)*Calculateur!BL49*Calculateur!BN49*VLOOKUP('Données projet'!$B$11,Paramètres!$A$1:$I$89,3,0)*0.475*44/12</f>
        <v>28.202523487582791</v>
      </c>
      <c r="BR49" s="23">
        <f>EXP(-LN(2)/2)*BR48+(1-EXP(-LN(2)/2))/(LN(2)/2)*BL49*BO49*VLOOKUP('Données projet'!$B$11,Paramètres!$A$1:$I$89,3,0)*0.475*44/12</f>
        <v>0.17018509686292368</v>
      </c>
      <c r="BS49" s="24">
        <f t="shared" si="9"/>
        <v>67.21275696663858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1.9895196601282805E-13</v>
      </c>
      <c r="BZ49" s="14">
        <f>BY49*VLOOKUP('Données projet'!$B$12,Paramètres!$A$1:$I$89,3,0)*VLOOKUP('Données projet'!$B$12,Paramètres!$A$1:$I$89,5,0)</f>
        <v>1.8001173884840681E-13</v>
      </c>
      <c r="CA49" s="14">
        <f t="shared" si="39"/>
        <v>2.5254331426407198E-12</v>
      </c>
      <c r="CB49" s="22">
        <f t="shared" si="10"/>
        <v>4.7119831685935622E-12</v>
      </c>
      <c r="CC49" s="62">
        <f t="shared" si="11"/>
        <v>293.33333333333803</v>
      </c>
      <c r="CD49" s="62">
        <f ca="1">AVERAGE(OFFSET($CC$3,0,0,'Données projet'!$E$12+1,1))-AVERAGE(OFFSET($H$3,0,0,'Données projet'!$E$12+1,1))</f>
        <v>302.6112905010138</v>
      </c>
      <c r="CE49" s="62">
        <f t="shared" si="40"/>
        <v>423.44006663873375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6.0730510436741367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6.0730510436741367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187.13674266165236</v>
      </c>
      <c r="T50" s="62">
        <f t="shared" si="34"/>
        <v>439.28159165815276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7.8</v>
      </c>
      <c r="AI50" s="14">
        <f>IF('Données projet'!$A$62&gt;35,AI49+AH50-AQ49,IF(A50&lt;'Données projet'!$A$62,$AF$205^A50,IF(A50='Données projet'!$A$62,'Données projet'!$B$62,AI49+AH50-AQ49)))</f>
        <v>185.59999999999994</v>
      </c>
      <c r="AJ50" s="14">
        <f>AI50*VLOOKUP('Données projet'!$B$10,Paramètres!$A$1:$I$89,3,0)*VLOOKUP('Données projet'!$B$10,Paramètres!$A$1:$I$89,5,0)</f>
        <v>162.14015999999998</v>
      </c>
      <c r="AK50" s="14">
        <f t="shared" si="35"/>
        <v>41.324860537333677</v>
      </c>
      <c r="AL50" s="22">
        <f t="shared" si="4"/>
        <v>354.36824410252279</v>
      </c>
      <c r="AM50" s="62">
        <f t="shared" si="5"/>
        <v>647.70157743585605</v>
      </c>
      <c r="AN50" s="62">
        <f ca="1">AVERAGE(OFFSET($AM$3,0,0,'Données projet'!$E$10+1,1))-AVERAGE(OFFSET($H$3,0,0,'Données projet'!$E$10+1,1))</f>
        <v>327.826081588335</v>
      </c>
      <c r="AO50" s="62">
        <f t="shared" si="36"/>
        <v>348.84706693879735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9.8894469489449417</v>
      </c>
      <c r="AW50" s="23">
        <f>EXP(-LN(2)/2)*AW49+(1-EXP(-LN(2)/2))/(LN(2)/2)*AQ50*AT50*VLOOKUP('Données projet'!$B$10,Paramètres!$A$1:$I$89,3,0)*0.475*44/12</f>
        <v>4.1141391179607266E-2</v>
      </c>
      <c r="AX50" s="23">
        <f t="shared" si="6"/>
        <v>9.9305883401245492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1.1368683772161603E-13</v>
      </c>
      <c r="BE50" s="14">
        <f>BD50*VLOOKUP('Données projet'!$B$11,Paramètres!$A$1:$I$89,3,0)*VLOOKUP('Données projet'!$B$11,Paramètres!$A$1:$I$89,5,0)</f>
        <v>6.7984728957526396E-14</v>
      </c>
      <c r="BF50" s="14">
        <f t="shared" si="37"/>
        <v>1.0682447123141398E-12</v>
      </c>
      <c r="BG50" s="22">
        <f t="shared" si="7"/>
        <v>1.978932943548152E-12</v>
      </c>
      <c r="BH50" s="62">
        <f t="shared" si="8"/>
        <v>293.3333333333353</v>
      </c>
      <c r="BI50" s="62">
        <f ca="1">AVERAGE(OFFSET($BH$3,0,0,'Données projet'!$E$11+1,1))-AVERAGE(OFFSET($H$3,0,0,'Données projet'!$E$11+1,1))</f>
        <v>187.13674266165236</v>
      </c>
      <c r="BJ50" s="62">
        <f t="shared" si="38"/>
        <v>439.28159165815276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38.078418723508378</v>
      </c>
      <c r="BQ50" s="23">
        <f>EXP(-LN(2)/25)*BQ49+(1-EXP(-LN(2)/25))/(LN(2)/25)*Calculateur!BL50*Calculateur!BN50*VLOOKUP('Données projet'!$B$11,Paramètres!$A$1:$I$89,3,0)*0.475*44/12</f>
        <v>27.431323999708589</v>
      </c>
      <c r="BR50" s="23">
        <f>EXP(-LN(2)/2)*BR49+(1-EXP(-LN(2)/2))/(LN(2)/2)*BL50*BO50*VLOOKUP('Données projet'!$B$11,Paramètres!$A$1:$I$89,3,0)*0.475*44/12</f>
        <v>0.12033903604866278</v>
      </c>
      <c r="BS50" s="24">
        <f t="shared" si="9"/>
        <v>65.630081759265622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1.9895196601282805E-13</v>
      </c>
      <c r="BZ50" s="14">
        <f>BY50*VLOOKUP('Données projet'!$B$12,Paramètres!$A$1:$I$89,3,0)*VLOOKUP('Données projet'!$B$12,Paramètres!$A$1:$I$89,5,0)</f>
        <v>1.8001173884840681E-13</v>
      </c>
      <c r="CA50" s="14">
        <f t="shared" si="39"/>
        <v>2.5254331426407198E-12</v>
      </c>
      <c r="CB50" s="22">
        <f t="shared" si="10"/>
        <v>4.7119831685935622E-12</v>
      </c>
      <c r="CC50" s="62">
        <f t="shared" si="11"/>
        <v>293.33333333333803</v>
      </c>
      <c r="CD50" s="62">
        <f ca="1">AVERAGE(OFFSET($CC$3,0,0,'Données projet'!$E$12+1,1))-AVERAGE(OFFSET($H$3,0,0,'Données projet'!$E$12+1,1))</f>
        <v>302.6112905010138</v>
      </c>
      <c r="CE50" s="62">
        <f t="shared" si="40"/>
        <v>423.44006663873375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5.953962216903065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5.953962216903065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187.13674266165236</v>
      </c>
      <c r="T51" s="62">
        <f t="shared" si="34"/>
        <v>439.28159165815276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7.8</v>
      </c>
      <c r="AI51" s="14">
        <f>IF('Données projet'!$A$62&gt;35,AI50+AH51-AQ50,IF(A51&lt;'Données projet'!$A$62,$AF$205^A51,IF(A51='Données projet'!$A$62,'Données projet'!$B$62,AI50+AH51-AQ50)))</f>
        <v>193.39999999999995</v>
      </c>
      <c r="AJ51" s="14">
        <f>AI51*VLOOKUP('Données projet'!$B$10,Paramètres!$A$1:$I$89,3,0)*VLOOKUP('Données projet'!$B$10,Paramètres!$A$1:$I$89,5,0)</f>
        <v>168.95424</v>
      </c>
      <c r="AK51" s="14">
        <f t="shared" si="35"/>
        <v>42.855724087026708</v>
      </c>
      <c r="AL51" s="22">
        <f t="shared" si="4"/>
        <v>368.90235411823818</v>
      </c>
      <c r="AM51" s="62">
        <f t="shared" si="5"/>
        <v>662.23568745157149</v>
      </c>
      <c r="AN51" s="62">
        <f ca="1">AVERAGE(OFFSET($AM$3,0,0,'Données projet'!$E$10+1,1))-AVERAGE(OFFSET($H$3,0,0,'Données projet'!$E$10+1,1))</f>
        <v>327.826081588335</v>
      </c>
      <c r="AO51" s="62">
        <f t="shared" si="36"/>
        <v>348.84706693879735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9.6190195020626295</v>
      </c>
      <c r="AW51" s="23">
        <f>EXP(-LN(2)/2)*AW50+(1-EXP(-LN(2)/2))/(LN(2)/2)*AQ51*AT51*VLOOKUP('Données projet'!$B$10,Paramètres!$A$1:$I$89,3,0)*0.475*44/12</f>
        <v>2.9091356690548714E-2</v>
      </c>
      <c r="AX51" s="23">
        <f t="shared" si="6"/>
        <v>9.6481108587531779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1.1368683772161603E-13</v>
      </c>
      <c r="BE51" s="14">
        <f>BD51*VLOOKUP('Données projet'!$B$11,Paramètres!$A$1:$I$89,3,0)*VLOOKUP('Données projet'!$B$11,Paramètres!$A$1:$I$89,5,0)</f>
        <v>6.7984728957526396E-14</v>
      </c>
      <c r="BF51" s="14">
        <f t="shared" si="37"/>
        <v>1.0682447123141398E-12</v>
      </c>
      <c r="BG51" s="22">
        <f t="shared" si="7"/>
        <v>1.978932943548152E-12</v>
      </c>
      <c r="BH51" s="62">
        <f t="shared" si="8"/>
        <v>293.3333333333353</v>
      </c>
      <c r="BI51" s="62">
        <f ca="1">AVERAGE(OFFSET($BH$3,0,0,'Données projet'!$E$11+1,1))-AVERAGE(OFFSET($H$3,0,0,'Données projet'!$E$11+1,1))</f>
        <v>187.13674266165236</v>
      </c>
      <c r="BJ51" s="62">
        <f t="shared" si="38"/>
        <v>439.28159165815276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37.331724157882469</v>
      </c>
      <c r="BQ51" s="23">
        <f>EXP(-LN(2)/25)*BQ50+(1-EXP(-LN(2)/25))/(LN(2)/25)*Calculateur!BL51*Calculateur!BN51*VLOOKUP('Données projet'!$B$11,Paramètres!$A$1:$I$89,3,0)*0.475*44/12</f>
        <v>26.681213002385924</v>
      </c>
      <c r="BR51" s="23">
        <f>EXP(-LN(2)/2)*BR50+(1-EXP(-LN(2)/2))/(LN(2)/2)*BL51*BO51*VLOOKUP('Données projet'!$B$11,Paramètres!$A$1:$I$89,3,0)*0.475*44/12</f>
        <v>8.5092548431461856E-2</v>
      </c>
      <c r="BS51" s="24">
        <f t="shared" si="9"/>
        <v>64.098029708699855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1.9895196601282805E-13</v>
      </c>
      <c r="BZ51" s="14">
        <f>BY51*VLOOKUP('Données projet'!$B$12,Paramètres!$A$1:$I$89,3,0)*VLOOKUP('Données projet'!$B$12,Paramètres!$A$1:$I$89,5,0)</f>
        <v>1.8001173884840681E-13</v>
      </c>
      <c r="CA51" s="14">
        <f t="shared" si="39"/>
        <v>2.5254331426407198E-12</v>
      </c>
      <c r="CB51" s="22">
        <f t="shared" si="10"/>
        <v>4.7119831685935622E-12</v>
      </c>
      <c r="CC51" s="62">
        <f t="shared" si="11"/>
        <v>293.33333333333803</v>
      </c>
      <c r="CD51" s="62">
        <f ca="1">AVERAGE(OFFSET($CC$3,0,0,'Données projet'!$E$12+1,1))-AVERAGE(OFFSET($H$3,0,0,'Données projet'!$E$12+1,1))</f>
        <v>302.6112905010138</v>
      </c>
      <c r="CE51" s="62">
        <f t="shared" si="40"/>
        <v>423.44006663873375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5.8372086493879616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5.8372086493879616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187.13674266165236</v>
      </c>
      <c r="T52" s="62">
        <f t="shared" si="34"/>
        <v>439.28159165815276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7.8</v>
      </c>
      <c r="AI52" s="14">
        <f>IF('Données projet'!$A$62&gt;35,AI51+AH52-AQ51,IF(A52&lt;'Données projet'!$A$62,$AF$205^A52,IF(A52='Données projet'!$A$62,'Données projet'!$B$62,AI51+AH52-AQ51)))</f>
        <v>201.19999999999996</v>
      </c>
      <c r="AJ52" s="14">
        <f>AI52*VLOOKUP('Données projet'!$B$10,Paramètres!$A$1:$I$89,3,0)*VLOOKUP('Données projet'!$B$10,Paramètres!$A$1:$I$89,5,0)</f>
        <v>175.76831999999999</v>
      </c>
      <c r="AK52" s="14">
        <f t="shared" si="35"/>
        <v>44.379415757690168</v>
      </c>
      <c r="AL52" s="22">
        <f t="shared" si="4"/>
        <v>383.42397311131032</v>
      </c>
      <c r="AM52" s="62">
        <f t="shared" si="5"/>
        <v>676.75730644464363</v>
      </c>
      <c r="AN52" s="62">
        <f ca="1">AVERAGE(OFFSET($AM$3,0,0,'Données projet'!$E$10+1,1))-AVERAGE(OFFSET($H$3,0,0,'Données projet'!$E$10+1,1))</f>
        <v>327.826081588335</v>
      </c>
      <c r="AO52" s="62">
        <f t="shared" si="36"/>
        <v>348.84706693879735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9.3559869079364759</v>
      </c>
      <c r="AW52" s="23">
        <f>EXP(-LN(2)/2)*AW51+(1-EXP(-LN(2)/2))/(LN(2)/2)*AQ52*AT52*VLOOKUP('Données projet'!$B$10,Paramètres!$A$1:$I$89,3,0)*0.475*44/12</f>
        <v>2.0570695589803636E-2</v>
      </c>
      <c r="AX52" s="23">
        <f t="shared" si="6"/>
        <v>9.3765576035262796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1.1368683772161603E-13</v>
      </c>
      <c r="BE52" s="14">
        <f>BD52*VLOOKUP('Données projet'!$B$11,Paramètres!$A$1:$I$89,3,0)*VLOOKUP('Données projet'!$B$11,Paramètres!$A$1:$I$89,5,0)</f>
        <v>6.7984728957526396E-14</v>
      </c>
      <c r="BF52" s="14">
        <f t="shared" si="37"/>
        <v>1.0682447123141398E-12</v>
      </c>
      <c r="BG52" s="22">
        <f t="shared" si="7"/>
        <v>1.978932943548152E-12</v>
      </c>
      <c r="BH52" s="62">
        <f t="shared" si="8"/>
        <v>293.3333333333353</v>
      </c>
      <c r="BI52" s="62">
        <f ca="1">AVERAGE(OFFSET($BH$3,0,0,'Données projet'!$E$11+1,1))-AVERAGE(OFFSET($H$3,0,0,'Données projet'!$E$11+1,1))</f>
        <v>187.13674266165236</v>
      </c>
      <c r="BJ52" s="62">
        <f t="shared" si="38"/>
        <v>439.28159165815276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36.599671817249771</v>
      </c>
      <c r="BQ52" s="23">
        <f>EXP(-LN(2)/25)*BQ51+(1-EXP(-LN(2)/25))/(LN(2)/25)*Calculateur!BL52*Calculateur!BN52*VLOOKUP('Données projet'!$B$11,Paramètres!$A$1:$I$89,3,0)*0.475*44/12</f>
        <v>25.95161382973167</v>
      </c>
      <c r="BR52" s="23">
        <f>EXP(-LN(2)/2)*BR51+(1-EXP(-LN(2)/2))/(LN(2)/2)*BL52*BO52*VLOOKUP('Données projet'!$B$11,Paramètres!$A$1:$I$89,3,0)*0.475*44/12</f>
        <v>6.0169518024331403E-2</v>
      </c>
      <c r="BS52" s="24">
        <f t="shared" si="9"/>
        <v>62.611455165005772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1.9895196601282805E-13</v>
      </c>
      <c r="BZ52" s="14">
        <f>BY52*VLOOKUP('Données projet'!$B$12,Paramètres!$A$1:$I$89,3,0)*VLOOKUP('Données projet'!$B$12,Paramètres!$A$1:$I$89,5,0)</f>
        <v>1.8001173884840681E-13</v>
      </c>
      <c r="CA52" s="14">
        <f t="shared" si="39"/>
        <v>2.5254331426407198E-12</v>
      </c>
      <c r="CB52" s="22">
        <f t="shared" si="10"/>
        <v>4.7119831685935622E-12</v>
      </c>
      <c r="CC52" s="62">
        <f t="shared" si="11"/>
        <v>293.33333333333803</v>
      </c>
      <c r="CD52" s="62">
        <f ca="1">AVERAGE(OFFSET($CC$3,0,0,'Données projet'!$E$12+1,1))-AVERAGE(OFFSET($H$3,0,0,'Données projet'!$E$12+1,1))</f>
        <v>302.6112905010138</v>
      </c>
      <c r="CE52" s="62">
        <f t="shared" si="40"/>
        <v>423.44006663873375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5.7227445481191852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5.7227445481191852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187.13674266165236</v>
      </c>
      <c r="T53" s="62">
        <f t="shared" si="34"/>
        <v>439.28159165815276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209</v>
      </c>
      <c r="AG53" s="13">
        <f>VLOOKUP(A53,'Données projet'!$A$61:$I$81,9,0)</f>
        <v>7.8</v>
      </c>
      <c r="AH53" s="13">
        <f t="array" ref="AH53">INDEX(AG:AG,MIN(IF(ISNUMBER(AG53:AG249),ROW(AG53:AG249),"")))</f>
        <v>7.8</v>
      </c>
      <c r="AI53" s="14">
        <f>IF('Données projet'!$A$62&gt;35,AI52+AH53-AQ52,IF(A53&lt;'Données projet'!$A$62,$AF$205^A53,IF(A53='Données projet'!$A$62,'Données projet'!$B$62,AI52+AH53-AQ52)))</f>
        <v>208.99999999999997</v>
      </c>
      <c r="AJ53" s="14">
        <f>AI53*VLOOKUP('Données projet'!$B$10,Paramètres!$A$1:$I$89,3,0)*VLOOKUP('Données projet'!$B$10,Paramètres!$A$1:$I$89,5,0)</f>
        <v>182.58240000000001</v>
      </c>
      <c r="AK53" s="14">
        <f t="shared" si="35"/>
        <v>45.896245406460288</v>
      </c>
      <c r="AL53" s="22">
        <f t="shared" si="4"/>
        <v>397.93364074958498</v>
      </c>
      <c r="AM53" s="62">
        <f t="shared" si="5"/>
        <v>691.2669740829183</v>
      </c>
      <c r="AN53" s="62">
        <f ca="1">AVERAGE(OFFSET($AM$3,0,0,'Données projet'!$E$10+1,1))-AVERAGE(OFFSET($H$3,0,0,'Données projet'!$E$10+1,1))</f>
        <v>327.826081588335</v>
      </c>
      <c r="AO53" s="62">
        <f t="shared" si="36"/>
        <v>348.84706693879735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28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9.1001469539289843</v>
      </c>
      <c r="AW53" s="23">
        <f>EXP(-LN(2)/2)*AW52+(1-EXP(-LN(2)/2))/(LN(2)/2)*AQ53*AT53*VLOOKUP('Données projet'!$B$10,Paramètres!$A$1:$I$89,3,0)*0.475*44/12</f>
        <v>1.4545678345274359E-2</v>
      </c>
      <c r="AX53" s="23">
        <f t="shared" si="6"/>
        <v>9.1146926322742594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1.1368683772161603E-13</v>
      </c>
      <c r="BE53" s="14">
        <f>BD53*VLOOKUP('Données projet'!$B$11,Paramètres!$A$1:$I$89,3,0)*VLOOKUP('Données projet'!$B$11,Paramètres!$A$1:$I$89,5,0)</f>
        <v>6.7984728957526396E-14</v>
      </c>
      <c r="BF53" s="14">
        <f t="shared" si="37"/>
        <v>1.0682447123141398E-12</v>
      </c>
      <c r="BG53" s="22">
        <f t="shared" si="7"/>
        <v>1.978932943548152E-12</v>
      </c>
      <c r="BH53" s="62">
        <f t="shared" si="8"/>
        <v>293.3333333333353</v>
      </c>
      <c r="BI53" s="62">
        <f ca="1">AVERAGE(OFFSET($BH$3,0,0,'Données projet'!$E$11+1,1))-AVERAGE(OFFSET($H$3,0,0,'Données projet'!$E$11+1,1))</f>
        <v>187.13674266165236</v>
      </c>
      <c r="BJ53" s="62">
        <f t="shared" si="38"/>
        <v>439.28159165815276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35.881974576509037</v>
      </c>
      <c r="BQ53" s="23">
        <f>EXP(-LN(2)/25)*BQ52+(1-EXP(-LN(2)/25))/(LN(2)/25)*Calculateur!BL53*Calculateur!BN53*VLOOKUP('Données projet'!$B$11,Paramètres!$A$1:$I$89,3,0)*0.475*44/12</f>
        <v>25.2419655848216</v>
      </c>
      <c r="BR53" s="23">
        <f>EXP(-LN(2)/2)*BR52+(1-EXP(-LN(2)/2))/(LN(2)/2)*BL53*BO53*VLOOKUP('Données projet'!$B$11,Paramètres!$A$1:$I$89,3,0)*0.475*44/12</f>
        <v>4.2546274215730935E-2</v>
      </c>
      <c r="BS53" s="24">
        <f t="shared" si="9"/>
        <v>61.166486435546368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1.9895196601282805E-13</v>
      </c>
      <c r="BZ53" s="14">
        <f>BY53*VLOOKUP('Données projet'!$B$12,Paramètres!$A$1:$I$89,3,0)*VLOOKUP('Données projet'!$B$12,Paramètres!$A$1:$I$89,5,0)</f>
        <v>1.8001173884840681E-13</v>
      </c>
      <c r="CA53" s="14">
        <f t="shared" si="39"/>
        <v>2.5254331426407198E-12</v>
      </c>
      <c r="CB53" s="22">
        <f t="shared" si="10"/>
        <v>4.7119831685935622E-12</v>
      </c>
      <c r="CC53" s="62">
        <f t="shared" si="11"/>
        <v>293.33333333333803</v>
      </c>
      <c r="CD53" s="62">
        <f ca="1">AVERAGE(OFFSET($CC$3,0,0,'Données projet'!$E$12+1,1))-AVERAGE(OFFSET($H$3,0,0,'Données projet'!$E$12+1,1))</f>
        <v>302.6112905010138</v>
      </c>
      <c r="CE53" s="62">
        <f t="shared" si="40"/>
        <v>423.44006663873375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5.6105250180600814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5.6105250180600814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187.13674266165236</v>
      </c>
      <c r="T54" s="62">
        <f t="shared" si="34"/>
        <v>439.28159165815276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6.8</v>
      </c>
      <c r="AI54" s="14">
        <f>IF('Données projet'!$A$62&gt;35,AI53+AH54-AQ53,IF(A54&lt;'Données projet'!$A$62,$AF$205^A54,IF(A54='Données projet'!$A$62,'Données projet'!$B$62,AI53+AH54-AQ53)))</f>
        <v>187.79999999999998</v>
      </c>
      <c r="AJ54" s="14">
        <f>AI54*VLOOKUP('Données projet'!$B$10,Paramètres!$A$1:$I$89,3,0)*VLOOKUP('Données projet'!$B$10,Paramètres!$A$1:$I$89,5,0)</f>
        <v>164.06208000000001</v>
      </c>
      <c r="AK54" s="14">
        <f t="shared" si="35"/>
        <v>41.75738773013461</v>
      </c>
      <c r="AL54" s="22">
        <f t="shared" si="4"/>
        <v>358.46890629665108</v>
      </c>
      <c r="AM54" s="62">
        <f t="shared" si="5"/>
        <v>651.80223962998434</v>
      </c>
      <c r="AN54" s="62">
        <f ca="1">AVERAGE(OFFSET($AM$3,0,0,'Données projet'!$E$10+1,1))-AVERAGE(OFFSET($H$3,0,0,'Données projet'!$E$10+1,1))</f>
        <v>327.826081588335</v>
      </c>
      <c r="AO54" s="62">
        <f t="shared" si="36"/>
        <v>348.84706693879735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8.8513029569178663</v>
      </c>
      <c r="AW54" s="23">
        <f>EXP(-LN(2)/2)*AW53+(1-EXP(-LN(2)/2))/(LN(2)/2)*AQ54*AT54*VLOOKUP('Données projet'!$B$10,Paramètres!$A$1:$I$89,3,0)*0.475*44/12</f>
        <v>1.028534779490182E-2</v>
      </c>
      <c r="AX54" s="23">
        <f t="shared" si="6"/>
        <v>8.8615883047127681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1.1368683772161603E-13</v>
      </c>
      <c r="BE54" s="14">
        <f>BD54*VLOOKUP('Données projet'!$B$11,Paramètres!$A$1:$I$89,3,0)*VLOOKUP('Données projet'!$B$11,Paramètres!$A$1:$I$89,5,0)</f>
        <v>6.7984728957526396E-14</v>
      </c>
      <c r="BF54" s="14">
        <f t="shared" si="37"/>
        <v>1.0682447123141398E-12</v>
      </c>
      <c r="BG54" s="22">
        <f t="shared" si="7"/>
        <v>1.978932943548152E-12</v>
      </c>
      <c r="BH54" s="62">
        <f t="shared" si="8"/>
        <v>293.3333333333353</v>
      </c>
      <c r="BI54" s="62">
        <f ca="1">AVERAGE(OFFSET($BH$3,0,0,'Données projet'!$E$11+1,1))-AVERAGE(OFFSET($H$3,0,0,'Données projet'!$E$11+1,1))</f>
        <v>187.13674266165236</v>
      </c>
      <c r="BJ54" s="62">
        <f t="shared" si="38"/>
        <v>439.28159165815276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35.178350940907137</v>
      </c>
      <c r="BQ54" s="23">
        <f>EXP(-LN(2)/25)*BQ53+(1-EXP(-LN(2)/25))/(LN(2)/25)*Calculateur!BL54*Calculateur!BN54*VLOOKUP('Données projet'!$B$11,Paramètres!$A$1:$I$89,3,0)*0.475*44/12</f>
        <v>24.551722708487375</v>
      </c>
      <c r="BR54" s="23">
        <f>EXP(-LN(2)/2)*BR53+(1-EXP(-LN(2)/2))/(LN(2)/2)*BL54*BO54*VLOOKUP('Données projet'!$B$11,Paramètres!$A$1:$I$89,3,0)*0.475*44/12</f>
        <v>3.0084759012165705E-2</v>
      </c>
      <c r="BS54" s="24">
        <f t="shared" si="9"/>
        <v>59.760158408406681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1.9895196601282805E-13</v>
      </c>
      <c r="BZ54" s="14">
        <f>BY54*VLOOKUP('Données projet'!$B$12,Paramètres!$A$1:$I$89,3,0)*VLOOKUP('Données projet'!$B$12,Paramètres!$A$1:$I$89,5,0)</f>
        <v>1.8001173884840681E-13</v>
      </c>
      <c r="CA54" s="14">
        <f t="shared" si="39"/>
        <v>2.5254331426407198E-12</v>
      </c>
      <c r="CB54" s="22">
        <f t="shared" si="10"/>
        <v>4.7119831685935622E-12</v>
      </c>
      <c r="CC54" s="62">
        <f t="shared" si="11"/>
        <v>293.33333333333803</v>
      </c>
      <c r="CD54" s="62">
        <f ca="1">AVERAGE(OFFSET($CC$3,0,0,'Données projet'!$E$12+1,1))-AVERAGE(OFFSET($H$3,0,0,'Données projet'!$E$12+1,1))</f>
        <v>302.6112905010138</v>
      </c>
      <c r="CE54" s="62">
        <f t="shared" si="40"/>
        <v>423.44006663873375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5.5005060445382821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5.5005060445382821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187.13674266165236</v>
      </c>
      <c r="T55" s="62">
        <f t="shared" si="34"/>
        <v>439.28159165815276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6.8</v>
      </c>
      <c r="AI55" s="14">
        <f>IF('Données projet'!$A$62&gt;35,AI54+AH55-AQ54,IF(A55&lt;'Données projet'!$A$62,$AF$205^A55,IF(A55='Données projet'!$A$62,'Données projet'!$B$62,AI54+AH55-AQ54)))</f>
        <v>194.6</v>
      </c>
      <c r="AJ55" s="14">
        <f>AI55*VLOOKUP('Données projet'!$B$10,Paramètres!$A$1:$I$89,3,0)*VLOOKUP('Données projet'!$B$10,Paramètres!$A$1:$I$89,5,0)</f>
        <v>170.00256000000002</v>
      </c>
      <c r="AK55" s="14">
        <f t="shared" si="35"/>
        <v>43.090596939649579</v>
      </c>
      <c r="AL55" s="22">
        <f t="shared" si="4"/>
        <v>371.1372483365563</v>
      </c>
      <c r="AM55" s="62">
        <f t="shared" si="5"/>
        <v>664.47058166988961</v>
      </c>
      <c r="AN55" s="62">
        <f ca="1">AVERAGE(OFFSET($AM$3,0,0,'Données projet'!$E$10+1,1))-AVERAGE(OFFSET($H$3,0,0,'Données projet'!$E$10+1,1))</f>
        <v>327.826081588335</v>
      </c>
      <c r="AO55" s="62">
        <f t="shared" si="36"/>
        <v>348.84706693879735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8.609263612091155</v>
      </c>
      <c r="AW55" s="23">
        <f>EXP(-LN(2)/2)*AW54+(1-EXP(-LN(2)/2))/(LN(2)/2)*AQ55*AT55*VLOOKUP('Données projet'!$B$10,Paramètres!$A$1:$I$89,3,0)*0.475*44/12</f>
        <v>7.2728391726371812E-3</v>
      </c>
      <c r="AX55" s="23">
        <f t="shared" si="6"/>
        <v>8.6165364512637925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1.1368683772161603E-13</v>
      </c>
      <c r="BE55" s="14">
        <f>BD55*VLOOKUP('Données projet'!$B$11,Paramètres!$A$1:$I$89,3,0)*VLOOKUP('Données projet'!$B$11,Paramètres!$A$1:$I$89,5,0)</f>
        <v>6.7984728957526396E-14</v>
      </c>
      <c r="BF55" s="14">
        <f t="shared" si="37"/>
        <v>1.0682447123141398E-12</v>
      </c>
      <c r="BG55" s="22">
        <f t="shared" si="7"/>
        <v>1.978932943548152E-12</v>
      </c>
      <c r="BH55" s="62">
        <f t="shared" si="8"/>
        <v>293.3333333333353</v>
      </c>
      <c r="BI55" s="62">
        <f ca="1">AVERAGE(OFFSET($BH$3,0,0,'Données projet'!$E$11+1,1))-AVERAGE(OFFSET($H$3,0,0,'Données projet'!$E$11+1,1))</f>
        <v>187.13674266165236</v>
      </c>
      <c r="BJ55" s="62">
        <f t="shared" si="38"/>
        <v>439.28159165815276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34.488524935631354</v>
      </c>
      <c r="BQ55" s="23">
        <f>EXP(-LN(2)/25)*BQ54+(1-EXP(-LN(2)/25))/(LN(2)/25)*Calculateur!BL55*Calculateur!BN55*VLOOKUP('Données projet'!$B$11,Paramètres!$A$1:$I$89,3,0)*0.475*44/12</f>
        <v>23.880354559904806</v>
      </c>
      <c r="BR55" s="23">
        <f>EXP(-LN(2)/2)*BR54+(1-EXP(-LN(2)/2))/(LN(2)/2)*BL55*BO55*VLOOKUP('Données projet'!$B$11,Paramètres!$A$1:$I$89,3,0)*0.475*44/12</f>
        <v>2.1273137107865471E-2</v>
      </c>
      <c r="BS55" s="24">
        <f t="shared" si="9"/>
        <v>58.390152632644032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1.9895196601282805E-13</v>
      </c>
      <c r="BZ55" s="14">
        <f>BY55*VLOOKUP('Données projet'!$B$12,Paramètres!$A$1:$I$89,3,0)*VLOOKUP('Données projet'!$B$12,Paramètres!$A$1:$I$89,5,0)</f>
        <v>1.8001173884840681E-13</v>
      </c>
      <c r="CA55" s="14">
        <f t="shared" si="39"/>
        <v>2.5254331426407198E-12</v>
      </c>
      <c r="CB55" s="22">
        <f t="shared" si="10"/>
        <v>4.7119831685935622E-12</v>
      </c>
      <c r="CC55" s="62">
        <f t="shared" si="11"/>
        <v>293.33333333333803</v>
      </c>
      <c r="CD55" s="62">
        <f ca="1">AVERAGE(OFFSET($CC$3,0,0,'Données projet'!$E$12+1,1))-AVERAGE(OFFSET($H$3,0,0,'Données projet'!$E$12+1,1))</f>
        <v>302.6112905010138</v>
      </c>
      <c r="CE55" s="62">
        <f t="shared" si="40"/>
        <v>423.44006663873375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5.3926444759822969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5.3926444759822969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187.13674266165236</v>
      </c>
      <c r="T56" s="62">
        <f t="shared" si="34"/>
        <v>439.28159165815276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6.8</v>
      </c>
      <c r="AI56" s="14">
        <f>IF('Données projet'!$A$62&gt;35,AI55+AH56-AQ55,IF(A56&lt;'Données projet'!$A$62,$AF$205^A56,IF(A56='Données projet'!$A$62,'Données projet'!$B$62,AI55+AH56-AQ55)))</f>
        <v>201.4</v>
      </c>
      <c r="AJ56" s="14">
        <f>AI56*VLOOKUP('Données projet'!$B$10,Paramètres!$A$1:$I$89,3,0)*VLOOKUP('Données projet'!$B$10,Paramètres!$A$1:$I$89,5,0)</f>
        <v>175.94304000000002</v>
      </c>
      <c r="AK56" s="14">
        <f t="shared" si="35"/>
        <v>44.418393276556458</v>
      </c>
      <c r="AL56" s="22">
        <f t="shared" si="4"/>
        <v>383.79616295666915</v>
      </c>
      <c r="AM56" s="62">
        <f t="shared" si="5"/>
        <v>677.12949629000241</v>
      </c>
      <c r="AN56" s="62">
        <f ca="1">AVERAGE(OFFSET($AM$3,0,0,'Données projet'!$E$10+1,1))-AVERAGE(OFFSET($H$3,0,0,'Données projet'!$E$10+1,1))</f>
        <v>327.826081588335</v>
      </c>
      <c r="AO56" s="62">
        <f t="shared" si="36"/>
        <v>348.84706693879735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8.3738428458770251</v>
      </c>
      <c r="AW56" s="23">
        <f>EXP(-LN(2)/2)*AW55+(1-EXP(-LN(2)/2))/(LN(2)/2)*AQ56*AT56*VLOOKUP('Données projet'!$B$10,Paramètres!$A$1:$I$89,3,0)*0.475*44/12</f>
        <v>5.1426738974509108E-3</v>
      </c>
      <c r="AX56" s="23">
        <f t="shared" si="6"/>
        <v>8.378985519774476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1.1368683772161603E-13</v>
      </c>
      <c r="BE56" s="14">
        <f>BD56*VLOOKUP('Données projet'!$B$11,Paramètres!$A$1:$I$89,3,0)*VLOOKUP('Données projet'!$B$11,Paramètres!$A$1:$I$89,5,0)</f>
        <v>6.7984728957526396E-14</v>
      </c>
      <c r="BF56" s="14">
        <f t="shared" si="37"/>
        <v>1.0682447123141398E-12</v>
      </c>
      <c r="BG56" s="22">
        <f t="shared" si="7"/>
        <v>1.978932943548152E-12</v>
      </c>
      <c r="BH56" s="62">
        <f t="shared" si="8"/>
        <v>293.3333333333353</v>
      </c>
      <c r="BI56" s="62">
        <f ca="1">AVERAGE(OFFSET($BH$3,0,0,'Données projet'!$E$11+1,1))-AVERAGE(OFFSET($H$3,0,0,'Données projet'!$E$11+1,1))</f>
        <v>187.13674266165236</v>
      </c>
      <c r="BJ56" s="62">
        <f t="shared" si="38"/>
        <v>439.28159165815276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33.812225997566706</v>
      </c>
      <c r="BQ56" s="23">
        <f>EXP(-LN(2)/25)*BQ55+(1-EXP(-LN(2)/25))/(LN(2)/25)*Calculateur!BL56*Calculateur!BN56*VLOOKUP('Données projet'!$B$11,Paramètres!$A$1:$I$89,3,0)*0.475*44/12</f>
        <v>23.227345008650943</v>
      </c>
      <c r="BR56" s="23">
        <f>EXP(-LN(2)/2)*BR55+(1-EXP(-LN(2)/2))/(LN(2)/2)*BL56*BO56*VLOOKUP('Données projet'!$B$11,Paramètres!$A$1:$I$89,3,0)*0.475*44/12</f>
        <v>1.5042379506082854E-2</v>
      </c>
      <c r="BS56" s="24">
        <f t="shared" si="9"/>
        <v>57.054613385723734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1.9895196601282805E-13</v>
      </c>
      <c r="BZ56" s="14">
        <f>BY56*VLOOKUP('Données projet'!$B$12,Paramètres!$A$1:$I$89,3,0)*VLOOKUP('Données projet'!$B$12,Paramètres!$A$1:$I$89,5,0)</f>
        <v>1.8001173884840681E-13</v>
      </c>
      <c r="CA56" s="14">
        <f t="shared" si="39"/>
        <v>2.5254331426407198E-12</v>
      </c>
      <c r="CB56" s="22">
        <f t="shared" si="10"/>
        <v>4.7119831685935622E-12</v>
      </c>
      <c r="CC56" s="62">
        <f t="shared" si="11"/>
        <v>293.33333333333803</v>
      </c>
      <c r="CD56" s="62">
        <f ca="1">AVERAGE(OFFSET($CC$3,0,0,'Données projet'!$E$12+1,1))-AVERAGE(OFFSET($H$3,0,0,'Données projet'!$E$12+1,1))</f>
        <v>302.6112905010138</v>
      </c>
      <c r="CE56" s="62">
        <f t="shared" si="40"/>
        <v>423.44006663873375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5.2868980069966343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5.2868980069966343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187.13674266165236</v>
      </c>
      <c r="T57" s="62">
        <f t="shared" si="34"/>
        <v>439.28159165815276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6.8</v>
      </c>
      <c r="AI57" s="14">
        <f>IF('Données projet'!$A$62&gt;35,AI56+AH57-AQ56,IF(A57&lt;'Données projet'!$A$62,$AF$205^A57,IF(A57='Données projet'!$A$62,'Données projet'!$B$62,AI56+AH57-AQ56)))</f>
        <v>208.20000000000002</v>
      </c>
      <c r="AJ57" s="14">
        <f>AI57*VLOOKUP('Données projet'!$B$10,Paramètres!$A$1:$I$89,3,0)*VLOOKUP('Données projet'!$B$10,Paramètres!$A$1:$I$89,5,0)</f>
        <v>181.88352000000006</v>
      </c>
      <c r="AK57" s="14">
        <f t="shared" si="35"/>
        <v>45.74098045051349</v>
      </c>
      <c r="AL57" s="22">
        <f t="shared" si="4"/>
        <v>396.44600495131112</v>
      </c>
      <c r="AM57" s="62">
        <f t="shared" si="5"/>
        <v>689.77933828464438</v>
      </c>
      <c r="AN57" s="62">
        <f ca="1">AVERAGE(OFFSET($AM$3,0,0,'Données projet'!$E$10+1,1))-AVERAGE(OFFSET($H$3,0,0,'Données projet'!$E$10+1,1))</f>
        <v>327.826081588335</v>
      </c>
      <c r="AO57" s="62">
        <f t="shared" si="36"/>
        <v>348.84706693879735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8.1448596728952616</v>
      </c>
      <c r="AW57" s="23">
        <f>EXP(-LN(2)/2)*AW56+(1-EXP(-LN(2)/2))/(LN(2)/2)*AQ57*AT57*VLOOKUP('Données projet'!$B$10,Paramètres!$A$1:$I$89,3,0)*0.475*44/12</f>
        <v>3.636419586318591E-3</v>
      </c>
      <c r="AX57" s="23">
        <f t="shared" si="6"/>
        <v>8.1484960924815795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1.1368683772161603E-13</v>
      </c>
      <c r="BE57" s="14">
        <f>BD57*VLOOKUP('Données projet'!$B$11,Paramètres!$A$1:$I$89,3,0)*VLOOKUP('Données projet'!$B$11,Paramètres!$A$1:$I$89,5,0)</f>
        <v>6.7984728957526396E-14</v>
      </c>
      <c r="BF57" s="14">
        <f t="shared" si="37"/>
        <v>1.0682447123141398E-12</v>
      </c>
      <c r="BG57" s="22">
        <f t="shared" si="7"/>
        <v>1.978932943548152E-12</v>
      </c>
      <c r="BH57" s="62">
        <f t="shared" si="8"/>
        <v>293.3333333333353</v>
      </c>
      <c r="BI57" s="62">
        <f ca="1">AVERAGE(OFFSET($BH$3,0,0,'Données projet'!$E$11+1,1))-AVERAGE(OFFSET($H$3,0,0,'Données projet'!$E$11+1,1))</f>
        <v>187.13674266165236</v>
      </c>
      <c r="BJ57" s="62">
        <f t="shared" si="38"/>
        <v>439.28159165815276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33.149188869175887</v>
      </c>
      <c r="BQ57" s="23">
        <f>EXP(-LN(2)/25)*BQ56+(1-EXP(-LN(2)/25))/(LN(2)/25)*Calculateur!BL57*Calculateur!BN57*VLOOKUP('Données projet'!$B$11,Paramètres!$A$1:$I$89,3,0)*0.475*44/12</f>
        <v>22.592192037916394</v>
      </c>
      <c r="BR57" s="23">
        <f>EXP(-LN(2)/2)*BR56+(1-EXP(-LN(2)/2))/(LN(2)/2)*BL57*BO57*VLOOKUP('Données projet'!$B$11,Paramètres!$A$1:$I$89,3,0)*0.475*44/12</f>
        <v>1.0636568553932737E-2</v>
      </c>
      <c r="BS57" s="24">
        <f t="shared" si="9"/>
        <v>55.752017475646213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1.9895196601282805E-13</v>
      </c>
      <c r="BZ57" s="14">
        <f>BY57*VLOOKUP('Données projet'!$B$12,Paramètres!$A$1:$I$89,3,0)*VLOOKUP('Données projet'!$B$12,Paramètres!$A$1:$I$89,5,0)</f>
        <v>1.8001173884840681E-13</v>
      </c>
      <c r="CA57" s="14">
        <f t="shared" si="39"/>
        <v>2.5254331426407198E-12</v>
      </c>
      <c r="CB57" s="22">
        <f t="shared" si="10"/>
        <v>4.7119831685935622E-12</v>
      </c>
      <c r="CC57" s="62">
        <f t="shared" si="11"/>
        <v>293.33333333333803</v>
      </c>
      <c r="CD57" s="62">
        <f ca="1">AVERAGE(OFFSET($CC$3,0,0,'Données projet'!$E$12+1,1))-AVERAGE(OFFSET($H$3,0,0,'Données projet'!$E$12+1,1))</f>
        <v>302.6112905010138</v>
      </c>
      <c r="CE57" s="62">
        <f t="shared" si="40"/>
        <v>423.44006663873375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5.183225161768803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5.183225161768803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187.13674266165236</v>
      </c>
      <c r="T58" s="62">
        <f t="shared" si="34"/>
        <v>439.28159165815276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215</v>
      </c>
      <c r="AG58" s="13">
        <f>VLOOKUP(A58,'Données projet'!$A$61:$I$81,9,0)</f>
        <v>6.8</v>
      </c>
      <c r="AH58" s="13">
        <f t="array" ref="AH58">INDEX(AG:AG,MIN(IF(ISNUMBER(AG58:AG254),ROW(AG58:AG254),"")))</f>
        <v>6.8</v>
      </c>
      <c r="AI58" s="14">
        <f>IF('Données projet'!$A$62&gt;35,AI57+AH58-AQ57,IF(A58&lt;'Données projet'!$A$62,$AF$205^A58,IF(A58='Données projet'!$A$62,'Données projet'!$B$62,AI57+AH58-AQ57)))</f>
        <v>215.00000000000003</v>
      </c>
      <c r="AJ58" s="14">
        <f>AI58*VLOOKUP('Données projet'!$B$10,Paramètres!$A$1:$I$89,3,0)*VLOOKUP('Données projet'!$B$10,Paramètres!$A$1:$I$89,5,0)</f>
        <v>187.82400000000007</v>
      </c>
      <c r="AK58" s="14">
        <f t="shared" si="35"/>
        <v>47.05854810918273</v>
      </c>
      <c r="AL58" s="22">
        <f t="shared" si="4"/>
        <v>409.08710462349336</v>
      </c>
      <c r="AM58" s="62">
        <f t="shared" si="5"/>
        <v>702.42043795682662</v>
      </c>
      <c r="AN58" s="62">
        <f ca="1">AVERAGE(OFFSET($AM$3,0,0,'Données projet'!$E$10+1,1))-AVERAGE(OFFSET($H$3,0,0,'Données projet'!$E$10+1,1))</f>
        <v>327.826081588335</v>
      </c>
      <c r="AO58" s="62">
        <f t="shared" si="36"/>
        <v>348.84706693879735</v>
      </c>
      <c r="AP58" s="16">
        <f>IF(ISNA(VLOOKUP(A58,'Données projet'!$A$61:$I$81,3,0)),0,VLOOKUP(A58,'Données projet'!$A$61:$I$81,3,0))</f>
        <v>8</v>
      </c>
      <c r="AQ58" s="16">
        <f>IF(ISNA(VLOOKUP(A58,'Données projet'!$A$61:$I$81,4,0)),0,VLOOKUP(A58,'Données projet'!$A$61:$I$81,4,0))</f>
        <v>25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7.9221380568203861</v>
      </c>
      <c r="AW58" s="23">
        <f>EXP(-LN(2)/2)*AW57+(1-EXP(-LN(2)/2))/(LN(2)/2)*AQ58*AT58*VLOOKUP('Données projet'!$B$10,Paramètres!$A$1:$I$89,3,0)*0.475*44/12</f>
        <v>2.5713369487254559E-3</v>
      </c>
      <c r="AX58" s="23">
        <f t="shared" si="6"/>
        <v>7.9247093937691115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1.1368683772161603E-13</v>
      </c>
      <c r="BE58" s="14">
        <f>BD58*VLOOKUP('Données projet'!$B$11,Paramètres!$A$1:$I$89,3,0)*VLOOKUP('Données projet'!$B$11,Paramètres!$A$1:$I$89,5,0)</f>
        <v>6.7984728957526396E-14</v>
      </c>
      <c r="BF58" s="14">
        <f t="shared" si="37"/>
        <v>1.0682447123141398E-12</v>
      </c>
      <c r="BG58" s="22">
        <f t="shared" si="7"/>
        <v>1.978932943548152E-12</v>
      </c>
      <c r="BH58" s="62">
        <f t="shared" si="8"/>
        <v>293.3333333333353</v>
      </c>
      <c r="BI58" s="62">
        <f ca="1">AVERAGE(OFFSET($BH$3,0,0,'Données projet'!$E$11+1,1))-AVERAGE(OFFSET($H$3,0,0,'Données projet'!$E$11+1,1))</f>
        <v>187.13674266165236</v>
      </c>
      <c r="BJ58" s="62">
        <f t="shared" si="38"/>
        <v>439.28159165815276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32.499153494460096</v>
      </c>
      <c r="BQ58" s="23">
        <f>EXP(-LN(2)/25)*BQ57+(1-EXP(-LN(2)/25))/(LN(2)/25)*Calculateur!BL58*Calculateur!BN58*VLOOKUP('Données projet'!$B$11,Paramètres!$A$1:$I$89,3,0)*0.475*44/12</f>
        <v>21.974407358567827</v>
      </c>
      <c r="BR58" s="23">
        <f>EXP(-LN(2)/2)*BR57+(1-EXP(-LN(2)/2))/(LN(2)/2)*BL58*BO58*VLOOKUP('Données projet'!$B$11,Paramètres!$A$1:$I$89,3,0)*0.475*44/12</f>
        <v>7.5211897530414289E-3</v>
      </c>
      <c r="BS58" s="24">
        <f t="shared" si="9"/>
        <v>54.481082042780962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1.9895196601282805E-13</v>
      </c>
      <c r="BZ58" s="14">
        <f>BY58*VLOOKUP('Données projet'!$B$12,Paramètres!$A$1:$I$89,3,0)*VLOOKUP('Données projet'!$B$12,Paramètres!$A$1:$I$89,5,0)</f>
        <v>1.8001173884840681E-13</v>
      </c>
      <c r="CA58" s="14">
        <f t="shared" si="39"/>
        <v>2.5254331426407198E-12</v>
      </c>
      <c r="CB58" s="22">
        <f t="shared" si="10"/>
        <v>4.7119831685935622E-12</v>
      </c>
      <c r="CC58" s="62">
        <f t="shared" si="11"/>
        <v>293.33333333333803</v>
      </c>
      <c r="CD58" s="62">
        <f ca="1">AVERAGE(OFFSET($CC$3,0,0,'Données projet'!$E$12+1,1))-AVERAGE(OFFSET($H$3,0,0,'Données projet'!$E$12+1,1))</f>
        <v>302.6112905010138</v>
      </c>
      <c r="CE58" s="62">
        <f t="shared" si="40"/>
        <v>423.44006663873375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5.0815852778016977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5.0815852778016977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187.13674266165236</v>
      </c>
      <c r="T59" s="62">
        <f t="shared" si="34"/>
        <v>439.28159165815276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6</v>
      </c>
      <c r="AI59" s="14">
        <f>IF('Données projet'!$A$62&gt;35,AI58+AH59-AQ58,IF(A59&lt;'Données projet'!$A$62,$AF$205^A59,IF(A59='Données projet'!$A$62,'Données projet'!$B$62,AI58+AH59-AQ58)))</f>
        <v>196.00000000000003</v>
      </c>
      <c r="AJ59" s="14">
        <f>AI59*VLOOKUP('Données projet'!$B$10,Paramètres!$A$1:$I$89,3,0)*VLOOKUP('Données projet'!$B$10,Paramètres!$A$1:$I$89,5,0)</f>
        <v>171.22560000000004</v>
      </c>
      <c r="AK59" s="14">
        <f t="shared" si="35"/>
        <v>43.364402348589557</v>
      </c>
      <c r="AL59" s="22">
        <f t="shared" si="4"/>
        <v>373.74425409046017</v>
      </c>
      <c r="AM59" s="62">
        <f t="shared" si="5"/>
        <v>667.07758742379349</v>
      </c>
      <c r="AN59" s="62">
        <f ca="1">AVERAGE(OFFSET($AM$3,0,0,'Données projet'!$E$10+1,1))-AVERAGE(OFFSET($H$3,0,0,'Données projet'!$E$10+1,1))</f>
        <v>327.826081588335</v>
      </c>
      <c r="AO59" s="62">
        <f t="shared" si="36"/>
        <v>348.84706693879735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7.7055067750494981</v>
      </c>
      <c r="AW59" s="23">
        <f>EXP(-LN(2)/2)*AW58+(1-EXP(-LN(2)/2))/(LN(2)/2)*AQ59*AT59*VLOOKUP('Données projet'!$B$10,Paramètres!$A$1:$I$89,3,0)*0.475*44/12</f>
        <v>1.8182097931592957E-3</v>
      </c>
      <c r="AX59" s="23">
        <f t="shared" si="6"/>
        <v>7.707324984842657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1.1368683772161603E-13</v>
      </c>
      <c r="BE59" s="14">
        <f>BD59*VLOOKUP('Données projet'!$B$11,Paramètres!$A$1:$I$89,3,0)*VLOOKUP('Données projet'!$B$11,Paramètres!$A$1:$I$89,5,0)</f>
        <v>6.7984728957526396E-14</v>
      </c>
      <c r="BF59" s="14">
        <f t="shared" si="37"/>
        <v>1.0682447123141398E-12</v>
      </c>
      <c r="BG59" s="22">
        <f t="shared" si="7"/>
        <v>1.978932943548152E-12</v>
      </c>
      <c r="BH59" s="62">
        <f t="shared" si="8"/>
        <v>293.3333333333353</v>
      </c>
      <c r="BI59" s="62">
        <f ca="1">AVERAGE(OFFSET($BH$3,0,0,'Données projet'!$E$11+1,1))-AVERAGE(OFFSET($H$3,0,0,'Données projet'!$E$11+1,1))</f>
        <v>187.13674266165236</v>
      </c>
      <c r="BJ59" s="62">
        <f t="shared" si="38"/>
        <v>439.28159165815276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31.861864916960052</v>
      </c>
      <c r="BQ59" s="23">
        <f>EXP(-LN(2)/25)*BQ58+(1-EXP(-LN(2)/25))/(LN(2)/25)*Calculateur!BL59*Calculateur!BN59*VLOOKUP('Données projet'!$B$11,Paramètres!$A$1:$I$89,3,0)*0.475*44/12</f>
        <v>21.373516033763931</v>
      </c>
      <c r="BR59" s="23">
        <f>EXP(-LN(2)/2)*BR58+(1-EXP(-LN(2)/2))/(LN(2)/2)*BL59*BO59*VLOOKUP('Données projet'!$B$11,Paramètres!$A$1:$I$89,3,0)*0.475*44/12</f>
        <v>5.3182842769663695E-3</v>
      </c>
      <c r="BS59" s="24">
        <f t="shared" si="9"/>
        <v>53.240699235000946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1.9895196601282805E-13</v>
      </c>
      <c r="BZ59" s="14">
        <f>BY59*VLOOKUP('Données projet'!$B$12,Paramètres!$A$1:$I$89,3,0)*VLOOKUP('Données projet'!$B$12,Paramètres!$A$1:$I$89,5,0)</f>
        <v>1.8001173884840681E-13</v>
      </c>
      <c r="CA59" s="14">
        <f t="shared" si="39"/>
        <v>2.5254331426407198E-12</v>
      </c>
      <c r="CB59" s="22">
        <f t="shared" si="10"/>
        <v>4.7119831685935622E-12</v>
      </c>
      <c r="CC59" s="62">
        <f t="shared" si="11"/>
        <v>293.33333333333803</v>
      </c>
      <c r="CD59" s="62">
        <f ca="1">AVERAGE(OFFSET($CC$3,0,0,'Données projet'!$E$12+1,1))-AVERAGE(OFFSET($H$3,0,0,'Données projet'!$E$12+1,1))</f>
        <v>302.6112905010138</v>
      </c>
      <c r="CE59" s="62">
        <f t="shared" si="40"/>
        <v>423.44006663873375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4.9819384899649792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4.9819384899649792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187.13674266165236</v>
      </c>
      <c r="T60" s="62">
        <f t="shared" si="34"/>
        <v>439.28159165815276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6</v>
      </c>
      <c r="AI60" s="14">
        <f>IF('Données projet'!$A$62&gt;35,AI59+AH60-AQ59,IF(A60&lt;'Données projet'!$A$62,$AF$205^A60,IF(A60='Données projet'!$A$62,'Données projet'!$B$62,AI59+AH60-AQ59)))</f>
        <v>202.00000000000003</v>
      </c>
      <c r="AJ60" s="14">
        <f>AI60*VLOOKUP('Données projet'!$B$10,Paramètres!$A$1:$I$89,3,0)*VLOOKUP('Données projet'!$B$10,Paramètres!$A$1:$I$89,5,0)</f>
        <v>176.46720000000005</v>
      </c>
      <c r="AK60" s="14">
        <f t="shared" si="35"/>
        <v>44.535298821989393</v>
      </c>
      <c r="AL60" s="22">
        <f t="shared" si="4"/>
        <v>384.91268544829819</v>
      </c>
      <c r="AM60" s="62">
        <f t="shared" si="5"/>
        <v>678.24601878163151</v>
      </c>
      <c r="AN60" s="62">
        <f ca="1">AVERAGE(OFFSET($AM$3,0,0,'Données projet'!$E$10+1,1))-AVERAGE(OFFSET($H$3,0,0,'Données projet'!$E$10+1,1))</f>
        <v>327.826081588335</v>
      </c>
      <c r="AO60" s="62">
        <f t="shared" si="36"/>
        <v>348.84706693879735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7.4947992870707791</v>
      </c>
      <c r="AW60" s="23">
        <f>EXP(-LN(2)/2)*AW59+(1-EXP(-LN(2)/2))/(LN(2)/2)*AQ60*AT60*VLOOKUP('Données projet'!$B$10,Paramètres!$A$1:$I$89,3,0)*0.475*44/12</f>
        <v>1.2856684743627281E-3</v>
      </c>
      <c r="AX60" s="23">
        <f t="shared" si="6"/>
        <v>7.4960849555451414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1.1368683772161603E-13</v>
      </c>
      <c r="BE60" s="14">
        <f>BD60*VLOOKUP('Données projet'!$B$11,Paramètres!$A$1:$I$89,3,0)*VLOOKUP('Données projet'!$B$11,Paramètres!$A$1:$I$89,5,0)</f>
        <v>6.7984728957526396E-14</v>
      </c>
      <c r="BF60" s="14">
        <f t="shared" si="37"/>
        <v>1.0682447123141398E-12</v>
      </c>
      <c r="BG60" s="22">
        <f t="shared" si="7"/>
        <v>1.978932943548152E-12</v>
      </c>
      <c r="BH60" s="62">
        <f t="shared" si="8"/>
        <v>293.3333333333353</v>
      </c>
      <c r="BI60" s="62">
        <f ca="1">AVERAGE(OFFSET($BH$3,0,0,'Données projet'!$E$11+1,1))-AVERAGE(OFFSET($H$3,0,0,'Données projet'!$E$11+1,1))</f>
        <v>187.13674266165236</v>
      </c>
      <c r="BJ60" s="62">
        <f t="shared" si="38"/>
        <v>439.28159165815276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31.237073179757132</v>
      </c>
      <c r="BQ60" s="23">
        <f>EXP(-LN(2)/25)*BQ59+(1-EXP(-LN(2)/25))/(LN(2)/25)*Calculateur!BL60*Calculateur!BN60*VLOOKUP('Données projet'!$B$11,Paramètres!$A$1:$I$89,3,0)*0.475*44/12</f>
        <v>20.789056113836299</v>
      </c>
      <c r="BR60" s="23">
        <f>EXP(-LN(2)/2)*BR59+(1-EXP(-LN(2)/2))/(LN(2)/2)*BL60*BO60*VLOOKUP('Données projet'!$B$11,Paramètres!$A$1:$I$89,3,0)*0.475*44/12</f>
        <v>3.7605948765207149E-3</v>
      </c>
      <c r="BS60" s="24">
        <f t="shared" si="9"/>
        <v>52.029889888469945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1.9895196601282805E-13</v>
      </c>
      <c r="BZ60" s="14">
        <f>BY60*VLOOKUP('Données projet'!$B$12,Paramètres!$A$1:$I$89,3,0)*VLOOKUP('Données projet'!$B$12,Paramètres!$A$1:$I$89,5,0)</f>
        <v>1.8001173884840681E-13</v>
      </c>
      <c r="CA60" s="14">
        <f t="shared" si="39"/>
        <v>2.5254331426407198E-12</v>
      </c>
      <c r="CB60" s="22">
        <f t="shared" si="10"/>
        <v>4.7119831685935622E-12</v>
      </c>
      <c r="CC60" s="62">
        <f t="shared" si="11"/>
        <v>293.33333333333803</v>
      </c>
      <c r="CD60" s="62">
        <f ca="1">AVERAGE(OFFSET($CC$3,0,0,'Données projet'!$E$12+1,1))-AVERAGE(OFFSET($H$3,0,0,'Données projet'!$E$12+1,1))</f>
        <v>302.6112905010138</v>
      </c>
      <c r="CE60" s="62">
        <f t="shared" si="40"/>
        <v>423.44006663873375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4.8842457148592002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4.8842457148592002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187.13674266165236</v>
      </c>
      <c r="T61" s="62">
        <f t="shared" si="34"/>
        <v>439.28159165815276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6</v>
      </c>
      <c r="AI61" s="14">
        <f>IF('Données projet'!$A$62&gt;35,AI60+AH61-AQ60,IF(A61&lt;'Données projet'!$A$62,$AF$205^A61,IF(A61='Données projet'!$A$62,'Données projet'!$B$62,AI60+AH61-AQ60)))</f>
        <v>208.00000000000003</v>
      </c>
      <c r="AJ61" s="14">
        <f>AI61*VLOOKUP('Données projet'!$B$10,Paramètres!$A$1:$I$89,3,0)*VLOOKUP('Données projet'!$B$10,Paramètres!$A$1:$I$89,5,0)</f>
        <v>181.70880000000005</v>
      </c>
      <c r="AK61" s="14">
        <f t="shared" si="35"/>
        <v>45.702153370067812</v>
      </c>
      <c r="AL61" s="22">
        <f t="shared" si="4"/>
        <v>396.07407711953482</v>
      </c>
      <c r="AM61" s="62">
        <f t="shared" si="5"/>
        <v>689.40741045286813</v>
      </c>
      <c r="AN61" s="62">
        <f ca="1">AVERAGE(OFFSET($AM$3,0,0,'Données projet'!$E$10+1,1))-AVERAGE(OFFSET($H$3,0,0,'Données projet'!$E$10+1,1))</f>
        <v>327.826081588335</v>
      </c>
      <c r="AO61" s="62">
        <f t="shared" si="36"/>
        <v>348.84706693879735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7.2898536064314641</v>
      </c>
      <c r="AW61" s="23">
        <f>EXP(-LN(2)/2)*AW60+(1-EXP(-LN(2)/2))/(LN(2)/2)*AQ61*AT61*VLOOKUP('Données projet'!$B$10,Paramètres!$A$1:$I$89,3,0)*0.475*44/12</f>
        <v>9.0910489657964808E-4</v>
      </c>
      <c r="AX61" s="23">
        <f t="shared" si="6"/>
        <v>7.2907627113280435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1.1368683772161603E-13</v>
      </c>
      <c r="BE61" s="14">
        <f>BD61*VLOOKUP('Données projet'!$B$11,Paramètres!$A$1:$I$89,3,0)*VLOOKUP('Données projet'!$B$11,Paramètres!$A$1:$I$89,5,0)</f>
        <v>6.7984728957526396E-14</v>
      </c>
      <c r="BF61" s="14">
        <f t="shared" si="37"/>
        <v>1.0682447123141398E-12</v>
      </c>
      <c r="BG61" s="22">
        <f t="shared" si="7"/>
        <v>1.978932943548152E-12</v>
      </c>
      <c r="BH61" s="62">
        <f t="shared" si="8"/>
        <v>293.3333333333353</v>
      </c>
      <c r="BI61" s="62">
        <f ca="1">AVERAGE(OFFSET($BH$3,0,0,'Données projet'!$E$11+1,1))-AVERAGE(OFFSET($H$3,0,0,'Données projet'!$E$11+1,1))</f>
        <v>187.13674266165236</v>
      </c>
      <c r="BJ61" s="62">
        <f t="shared" si="38"/>
        <v>439.28159165815276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30.624533227435432</v>
      </c>
      <c r="BQ61" s="23">
        <f>EXP(-LN(2)/25)*BQ60+(1-EXP(-LN(2)/25))/(LN(2)/25)*Calculateur!BL61*Calculateur!BN61*VLOOKUP('Données projet'!$B$11,Paramètres!$A$1:$I$89,3,0)*0.475*44/12</f>
        <v>20.220578281154499</v>
      </c>
      <c r="BR61" s="23">
        <f>EXP(-LN(2)/2)*BR60+(1-EXP(-LN(2)/2))/(LN(2)/2)*BL61*BO61*VLOOKUP('Données projet'!$B$11,Paramètres!$A$1:$I$89,3,0)*0.475*44/12</f>
        <v>2.6591421384831852E-3</v>
      </c>
      <c r="BS61" s="24">
        <f t="shared" si="9"/>
        <v>50.847770650728414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1.9895196601282805E-13</v>
      </c>
      <c r="BZ61" s="14">
        <f>BY61*VLOOKUP('Données projet'!$B$12,Paramètres!$A$1:$I$89,3,0)*VLOOKUP('Données projet'!$B$12,Paramètres!$A$1:$I$89,5,0)</f>
        <v>1.8001173884840681E-13</v>
      </c>
      <c r="CA61" s="14">
        <f t="shared" si="39"/>
        <v>2.5254331426407198E-12</v>
      </c>
      <c r="CB61" s="22">
        <f t="shared" si="10"/>
        <v>4.7119831685935622E-12</v>
      </c>
      <c r="CC61" s="62">
        <f t="shared" si="11"/>
        <v>293.33333333333803</v>
      </c>
      <c r="CD61" s="62">
        <f ca="1">AVERAGE(OFFSET($CC$3,0,0,'Données projet'!$E$12+1,1))-AVERAGE(OFFSET($H$3,0,0,'Données projet'!$E$12+1,1))</f>
        <v>302.6112905010138</v>
      </c>
      <c r="CE61" s="62">
        <f t="shared" si="40"/>
        <v>423.44006663873375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4.7884686354865362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4.7884686354865362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187.13674266165236</v>
      </c>
      <c r="T62" s="62">
        <f t="shared" si="34"/>
        <v>439.28159165815276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6</v>
      </c>
      <c r="AI62" s="14">
        <f>IF('Données projet'!$A$62&gt;35,AI61+AH62-AQ61,IF(A62&lt;'Données projet'!$A$62,$AF$205^A62,IF(A62='Données projet'!$A$62,'Données projet'!$B$62,AI61+AH62-AQ61)))</f>
        <v>214.00000000000003</v>
      </c>
      <c r="AJ62" s="14">
        <f>AI62*VLOOKUP('Données projet'!$B$10,Paramètres!$A$1:$I$89,3,0)*VLOOKUP('Données projet'!$B$10,Paramètres!$A$1:$I$89,5,0)</f>
        <v>186.95040000000006</v>
      </c>
      <c r="AK62" s="14">
        <f t="shared" si="35"/>
        <v>46.865095976617653</v>
      </c>
      <c r="AL62" s="22">
        <f t="shared" si="4"/>
        <v>407.22865549260922</v>
      </c>
      <c r="AM62" s="62">
        <f t="shared" si="5"/>
        <v>700.56198882594254</v>
      </c>
      <c r="AN62" s="62">
        <f ca="1">AVERAGE(OFFSET($AM$3,0,0,'Données projet'!$E$10+1,1))-AVERAGE(OFFSET($H$3,0,0,'Données projet'!$E$10+1,1))</f>
        <v>327.826081588335</v>
      </c>
      <c r="AO62" s="62">
        <f t="shared" si="36"/>
        <v>348.84706693879735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7.0905121762068557</v>
      </c>
      <c r="AW62" s="23">
        <f>EXP(-LN(2)/2)*AW61+(1-EXP(-LN(2)/2))/(LN(2)/2)*AQ62*AT62*VLOOKUP('Données projet'!$B$10,Paramètres!$A$1:$I$89,3,0)*0.475*44/12</f>
        <v>6.4283423718136418E-4</v>
      </c>
      <c r="AX62" s="23">
        <f t="shared" si="6"/>
        <v>7.0911550104440373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1.1368683772161603E-13</v>
      </c>
      <c r="BE62" s="14">
        <f>BD62*VLOOKUP('Données projet'!$B$11,Paramètres!$A$1:$I$89,3,0)*VLOOKUP('Données projet'!$B$11,Paramètres!$A$1:$I$89,5,0)</f>
        <v>6.7984728957526396E-14</v>
      </c>
      <c r="BF62" s="14">
        <f t="shared" si="37"/>
        <v>1.0682447123141398E-12</v>
      </c>
      <c r="BG62" s="22">
        <f t="shared" si="7"/>
        <v>1.978932943548152E-12</v>
      </c>
      <c r="BH62" s="62">
        <f t="shared" si="8"/>
        <v>293.3333333333353</v>
      </c>
      <c r="BI62" s="62">
        <f ca="1">AVERAGE(OFFSET($BH$3,0,0,'Données projet'!$E$11+1,1))-AVERAGE(OFFSET($H$3,0,0,'Données projet'!$E$11+1,1))</f>
        <v>187.13674266165236</v>
      </c>
      <c r="BJ62" s="62">
        <f t="shared" si="38"/>
        <v>439.28159165815276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30.024004809966282</v>
      </c>
      <c r="BQ62" s="23">
        <f>EXP(-LN(2)/25)*BQ61+(1-EXP(-LN(2)/25))/(LN(2)/25)*Calculateur!BL62*Calculateur!BN62*VLOOKUP('Données projet'!$B$11,Paramètres!$A$1:$I$89,3,0)*0.475*44/12</f>
        <v>19.667645504702332</v>
      </c>
      <c r="BR62" s="23">
        <f>EXP(-LN(2)/2)*BR61+(1-EXP(-LN(2)/2))/(LN(2)/2)*BL62*BO62*VLOOKUP('Données projet'!$B$11,Paramètres!$A$1:$I$89,3,0)*0.475*44/12</f>
        <v>1.8802974382603579E-3</v>
      </c>
      <c r="BS62" s="24">
        <f t="shared" si="9"/>
        <v>49.693530612106876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1.9895196601282805E-13</v>
      </c>
      <c r="BZ62" s="14">
        <f>BY62*VLOOKUP('Données projet'!$B$12,Paramètres!$A$1:$I$89,3,0)*VLOOKUP('Données projet'!$B$12,Paramètres!$A$1:$I$89,5,0)</f>
        <v>1.8001173884840681E-13</v>
      </c>
      <c r="CA62" s="14">
        <f t="shared" si="39"/>
        <v>2.5254331426407198E-12</v>
      </c>
      <c r="CB62" s="22">
        <f t="shared" si="10"/>
        <v>4.7119831685935622E-12</v>
      </c>
      <c r="CC62" s="62">
        <f t="shared" si="11"/>
        <v>293.33333333333803</v>
      </c>
      <c r="CD62" s="62">
        <f ca="1">AVERAGE(OFFSET($CC$3,0,0,'Données projet'!$E$12+1,1))-AVERAGE(OFFSET($H$3,0,0,'Données projet'!$E$12+1,1))</f>
        <v>302.6112905010138</v>
      </c>
      <c r="CE62" s="62">
        <f t="shared" si="40"/>
        <v>423.44006663873375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4.6945696862221196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4.6945696862221196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187.13674266165236</v>
      </c>
      <c r="T63" s="62">
        <f t="shared" si="34"/>
        <v>439.28159165815276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220</v>
      </c>
      <c r="AG63" s="13">
        <f>VLOOKUP(A63,'Données projet'!$A$61:$I$81,9,0)</f>
        <v>6</v>
      </c>
      <c r="AH63" s="13">
        <f t="array" ref="AH63">INDEX(AG:AG,MIN(IF(ISNUMBER(AG63:AG259),ROW(AG63:AG259),"")))</f>
        <v>6</v>
      </c>
      <c r="AI63" s="14">
        <f>IF('Données projet'!$A$62&gt;35,AI62+AH63-AQ62,IF(A63&lt;'Données projet'!$A$62,$AF$205^A63,IF(A63='Données projet'!$A$62,'Données projet'!$B$62,AI62+AH63-AQ62)))</f>
        <v>220.00000000000003</v>
      </c>
      <c r="AJ63" s="14">
        <f>AI63*VLOOKUP('Données projet'!$B$10,Paramètres!$A$1:$I$89,3,0)*VLOOKUP('Données projet'!$B$10,Paramètres!$A$1:$I$89,5,0)</f>
        <v>192.19200000000006</v>
      </c>
      <c r="AK63" s="14">
        <f t="shared" si="35"/>
        <v>48.02424892193244</v>
      </c>
      <c r="AL63" s="22">
        <f t="shared" si="4"/>
        <v>418.37663353903241</v>
      </c>
      <c r="AM63" s="62">
        <f t="shared" si="5"/>
        <v>711.70996687236573</v>
      </c>
      <c r="AN63" s="62">
        <f ca="1">AVERAGE(OFFSET($AM$3,0,0,'Données projet'!$E$10+1,1))-AVERAGE(OFFSET($H$3,0,0,'Données projet'!$E$10+1,1))</f>
        <v>327.826081588335</v>
      </c>
      <c r="AO63" s="62">
        <f t="shared" si="36"/>
        <v>348.84706693879735</v>
      </c>
      <c r="AP63" s="16">
        <f>IF(ISNA(VLOOKUP(A63,'Données projet'!$A$61:$I$81,3,0)),0,VLOOKUP(A63,'Données projet'!$A$61:$I$81,3,0))</f>
        <v>9</v>
      </c>
      <c r="AQ63" s="16">
        <f>IF(ISNA(VLOOKUP(A63,'Données projet'!$A$61:$I$81,4,0)),0,VLOOKUP(A63,'Données projet'!$A$61:$I$81,4,0))</f>
        <v>22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6.8966217478746499</v>
      </c>
      <c r="AW63" s="23">
        <f>EXP(-LN(2)/2)*AW62+(1-EXP(-LN(2)/2))/(LN(2)/2)*AQ63*AT63*VLOOKUP('Données projet'!$B$10,Paramètres!$A$1:$I$89,3,0)*0.475*44/12</f>
        <v>4.5455244828982409E-4</v>
      </c>
      <c r="AX63" s="23">
        <f t="shared" si="6"/>
        <v>6.8970763003229401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1.1368683772161603E-13</v>
      </c>
      <c r="BE63" s="14">
        <f>BD63*VLOOKUP('Données projet'!$B$11,Paramètres!$A$1:$I$89,3,0)*VLOOKUP('Données projet'!$B$11,Paramètres!$A$1:$I$89,5,0)</f>
        <v>6.7984728957526396E-14</v>
      </c>
      <c r="BF63" s="14">
        <f t="shared" si="37"/>
        <v>1.0682447123141398E-12</v>
      </c>
      <c r="BG63" s="22">
        <f t="shared" si="7"/>
        <v>1.978932943548152E-12</v>
      </c>
      <c r="BH63" s="62">
        <f t="shared" si="8"/>
        <v>293.3333333333353</v>
      </c>
      <c r="BI63" s="62">
        <f ca="1">AVERAGE(OFFSET($BH$3,0,0,'Données projet'!$E$11+1,1))-AVERAGE(OFFSET($H$3,0,0,'Données projet'!$E$11+1,1))</f>
        <v>187.13674266165236</v>
      </c>
      <c r="BJ63" s="62">
        <f t="shared" si="38"/>
        <v>439.28159165815276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29.435252388477537</v>
      </c>
      <c r="BQ63" s="23">
        <f>EXP(-LN(2)/25)*BQ62+(1-EXP(-LN(2)/25))/(LN(2)/25)*Calculateur!BL63*Calculateur!BN63*VLOOKUP('Données projet'!$B$11,Paramètres!$A$1:$I$89,3,0)*0.475*44/12</f>
        <v>19.129832704099719</v>
      </c>
      <c r="BR63" s="23">
        <f>EXP(-LN(2)/2)*BR62+(1-EXP(-LN(2)/2))/(LN(2)/2)*BL63*BO63*VLOOKUP('Données projet'!$B$11,Paramètres!$A$1:$I$89,3,0)*0.475*44/12</f>
        <v>1.3295710692415928E-3</v>
      </c>
      <c r="BS63" s="24">
        <f t="shared" si="9"/>
        <v>48.566414663646498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1.9895196601282805E-13</v>
      </c>
      <c r="BZ63" s="14">
        <f>BY63*VLOOKUP('Données projet'!$B$12,Paramètres!$A$1:$I$89,3,0)*VLOOKUP('Données projet'!$B$12,Paramètres!$A$1:$I$89,5,0)</f>
        <v>1.8001173884840681E-13</v>
      </c>
      <c r="CA63" s="14">
        <f t="shared" si="39"/>
        <v>2.5254331426407198E-12</v>
      </c>
      <c r="CB63" s="22">
        <f t="shared" si="10"/>
        <v>4.7119831685935622E-12</v>
      </c>
      <c r="CC63" s="62">
        <f t="shared" si="11"/>
        <v>293.33333333333803</v>
      </c>
      <c r="CD63" s="62">
        <f ca="1">AVERAGE(OFFSET($CC$3,0,0,'Données projet'!$E$12+1,1))-AVERAGE(OFFSET($H$3,0,0,'Données projet'!$E$12+1,1))</f>
        <v>302.6112905010138</v>
      </c>
      <c r="CE63" s="62">
        <f t="shared" si="40"/>
        <v>423.44006663873375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4.602512038080075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4.602512038080075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187.13674266165236</v>
      </c>
      <c r="T64" s="62">
        <f t="shared" si="34"/>
        <v>439.28159165815276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5.2</v>
      </c>
      <c r="AI64" s="14">
        <f>IF('Données projet'!$A$62&gt;35,AI63+AH64-AQ63,IF(A64&lt;'Données projet'!$A$62,$AF$205^A64,IF(A64='Données projet'!$A$62,'Données projet'!$B$62,AI63+AH64-AQ63)))</f>
        <v>203.20000000000002</v>
      </c>
      <c r="AJ64" s="14">
        <f>AI64*VLOOKUP('Données projet'!$B$10,Paramètres!$A$1:$I$89,3,0)*VLOOKUP('Données projet'!$B$10,Paramètres!$A$1:$I$89,5,0)</f>
        <v>177.51552000000004</v>
      </c>
      <c r="AK64" s="14">
        <f t="shared" si="35"/>
        <v>44.768988809542904</v>
      </c>
      <c r="AL64" s="22">
        <f t="shared" si="4"/>
        <v>387.145519509954</v>
      </c>
      <c r="AM64" s="62">
        <f t="shared" si="5"/>
        <v>680.47885284328731</v>
      </c>
      <c r="AN64" s="62">
        <f ca="1">AVERAGE(OFFSET($AM$3,0,0,'Données projet'!$E$10+1,1))-AVERAGE(OFFSET($H$3,0,0,'Données projet'!$E$10+1,1))</f>
        <v>327.826081588335</v>
      </c>
      <c r="AO64" s="62">
        <f t="shared" si="36"/>
        <v>348.84706693879735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6.7080332635014424</v>
      </c>
      <c r="AW64" s="23">
        <f>EXP(-LN(2)/2)*AW63+(1-EXP(-LN(2)/2))/(LN(2)/2)*AQ64*AT64*VLOOKUP('Données projet'!$B$10,Paramètres!$A$1:$I$89,3,0)*0.475*44/12</f>
        <v>3.2141711859068214E-4</v>
      </c>
      <c r="AX64" s="23">
        <f t="shared" si="6"/>
        <v>6.7083546806200332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1.1368683772161603E-13</v>
      </c>
      <c r="BE64" s="14">
        <f>BD64*VLOOKUP('Données projet'!$B$11,Paramètres!$A$1:$I$89,3,0)*VLOOKUP('Données projet'!$B$11,Paramètres!$A$1:$I$89,5,0)</f>
        <v>6.7984728957526396E-14</v>
      </c>
      <c r="BF64" s="14">
        <f t="shared" si="37"/>
        <v>1.0682447123141398E-12</v>
      </c>
      <c r="BG64" s="22">
        <f t="shared" si="7"/>
        <v>1.978932943548152E-12</v>
      </c>
      <c r="BH64" s="62">
        <f t="shared" si="8"/>
        <v>293.3333333333353</v>
      </c>
      <c r="BI64" s="62">
        <f ca="1">AVERAGE(OFFSET($BH$3,0,0,'Données projet'!$E$11+1,1))-AVERAGE(OFFSET($H$3,0,0,'Données projet'!$E$11+1,1))</f>
        <v>187.13674266165236</v>
      </c>
      <c r="BJ64" s="62">
        <f t="shared" si="38"/>
        <v>439.28159165815276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28.858045042870664</v>
      </c>
      <c r="BQ64" s="23">
        <f>EXP(-LN(2)/25)*BQ63+(1-EXP(-LN(2)/25))/(LN(2)/25)*Calculateur!BL64*Calculateur!BN64*VLOOKUP('Données projet'!$B$11,Paramètres!$A$1:$I$89,3,0)*0.475*44/12</f>
        <v>18.606726422811931</v>
      </c>
      <c r="BR64" s="23">
        <f>EXP(-LN(2)/2)*BR63+(1-EXP(-LN(2)/2))/(LN(2)/2)*BL64*BO64*VLOOKUP('Données projet'!$B$11,Paramètres!$A$1:$I$89,3,0)*0.475*44/12</f>
        <v>9.4014871913017904E-4</v>
      </c>
      <c r="BS64" s="24">
        <f t="shared" si="9"/>
        <v>47.465711614401727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1.9895196601282805E-13</v>
      </c>
      <c r="BZ64" s="14">
        <f>BY64*VLOOKUP('Données projet'!$B$12,Paramètres!$A$1:$I$89,3,0)*VLOOKUP('Données projet'!$B$12,Paramètres!$A$1:$I$89,5,0)</f>
        <v>1.8001173884840681E-13</v>
      </c>
      <c r="CA64" s="14">
        <f t="shared" si="39"/>
        <v>2.5254331426407198E-12</v>
      </c>
      <c r="CB64" s="22">
        <f t="shared" si="10"/>
        <v>4.7119831685935622E-12</v>
      </c>
      <c r="CC64" s="62">
        <f t="shared" si="11"/>
        <v>293.33333333333803</v>
      </c>
      <c r="CD64" s="62">
        <f ca="1">AVERAGE(OFFSET($CC$3,0,0,'Données projet'!$E$12+1,1))-AVERAGE(OFFSET($H$3,0,0,'Données projet'!$E$12+1,1))</f>
        <v>302.6112905010138</v>
      </c>
      <c r="CE64" s="62">
        <f t="shared" si="40"/>
        <v>423.44006663873375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4.5122595842684747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4.5122595842684747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187.13674266165236</v>
      </c>
      <c r="T65" s="62">
        <f t="shared" si="34"/>
        <v>439.28159165815276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5.2</v>
      </c>
      <c r="AI65" s="14">
        <f>IF('Données projet'!$A$62&gt;35,AI64+AH65-AQ64,IF(A65&lt;'Données projet'!$A$62,$AF$205^A65,IF(A65='Données projet'!$A$62,'Données projet'!$B$62,AI64+AH65-AQ64)))</f>
        <v>208.4</v>
      </c>
      <c r="AJ65" s="14">
        <f>AI65*VLOOKUP('Données projet'!$B$10,Paramètres!$A$1:$I$89,3,0)*VLOOKUP('Données projet'!$B$10,Paramètres!$A$1:$I$89,5,0)</f>
        <v>182.05824000000001</v>
      </c>
      <c r="AK65" s="14">
        <f t="shared" si="35"/>
        <v>45.779803189729343</v>
      </c>
      <c r="AL65" s="22">
        <f t="shared" si="4"/>
        <v>396.81792522211191</v>
      </c>
      <c r="AM65" s="62">
        <f t="shared" si="5"/>
        <v>690.15125855544522</v>
      </c>
      <c r="AN65" s="62">
        <f ca="1">AVERAGE(OFFSET($AM$3,0,0,'Données projet'!$E$10+1,1))-AVERAGE(OFFSET($H$3,0,0,'Données projet'!$E$10+1,1))</f>
        <v>327.826081588335</v>
      </c>
      <c r="AO65" s="62">
        <f t="shared" si="36"/>
        <v>348.84706693879735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6.5246017411508577</v>
      </c>
      <c r="AW65" s="23">
        <f>EXP(-LN(2)/2)*AW64+(1-EXP(-LN(2)/2))/(LN(2)/2)*AQ65*AT65*VLOOKUP('Données projet'!$B$10,Paramètres!$A$1:$I$89,3,0)*0.475*44/12</f>
        <v>2.272762241449121E-4</v>
      </c>
      <c r="AX65" s="23">
        <f t="shared" si="6"/>
        <v>6.5248290173750023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1.1368683772161603E-13</v>
      </c>
      <c r="BE65" s="14">
        <f>BD65*VLOOKUP('Données projet'!$B$11,Paramètres!$A$1:$I$89,3,0)*VLOOKUP('Données projet'!$B$11,Paramètres!$A$1:$I$89,5,0)</f>
        <v>6.7984728957526396E-14</v>
      </c>
      <c r="BF65" s="14">
        <f t="shared" si="37"/>
        <v>1.0682447123141398E-12</v>
      </c>
      <c r="BG65" s="22">
        <f t="shared" si="7"/>
        <v>1.978932943548152E-12</v>
      </c>
      <c r="BH65" s="62">
        <f t="shared" si="8"/>
        <v>293.3333333333353</v>
      </c>
      <c r="BI65" s="62">
        <f ca="1">AVERAGE(OFFSET($BH$3,0,0,'Données projet'!$E$11+1,1))-AVERAGE(OFFSET($H$3,0,0,'Données projet'!$E$11+1,1))</f>
        <v>187.13674266165236</v>
      </c>
      <c r="BJ65" s="62">
        <f t="shared" si="38"/>
        <v>439.28159165815276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28.292156381249427</v>
      </c>
      <c r="BQ65" s="23">
        <f>EXP(-LN(2)/25)*BQ64+(1-EXP(-LN(2)/25))/(LN(2)/25)*Calculateur!BL65*Calculateur!BN65*VLOOKUP('Données projet'!$B$11,Paramètres!$A$1:$I$89,3,0)*0.475*44/12</f>
        <v>18.097924510294924</v>
      </c>
      <c r="BR65" s="23">
        <f>EXP(-LN(2)/2)*BR64+(1-EXP(-LN(2)/2))/(LN(2)/2)*BL65*BO65*VLOOKUP('Données projet'!$B$11,Paramètres!$A$1:$I$89,3,0)*0.475*44/12</f>
        <v>6.6478553462079651E-4</v>
      </c>
      <c r="BS65" s="24">
        <f t="shared" si="9"/>
        <v>46.390745677078968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1.9895196601282805E-13</v>
      </c>
      <c r="BZ65" s="14">
        <f>BY65*VLOOKUP('Données projet'!$B$12,Paramètres!$A$1:$I$89,3,0)*VLOOKUP('Données projet'!$B$12,Paramètres!$A$1:$I$89,5,0)</f>
        <v>1.8001173884840681E-13</v>
      </c>
      <c r="CA65" s="14">
        <f t="shared" si="39"/>
        <v>2.5254331426407198E-12</v>
      </c>
      <c r="CB65" s="22">
        <f t="shared" si="10"/>
        <v>4.7119831685935622E-12</v>
      </c>
      <c r="CC65" s="62">
        <f t="shared" si="11"/>
        <v>293.33333333333803</v>
      </c>
      <c r="CD65" s="62">
        <f ca="1">AVERAGE(OFFSET($CC$3,0,0,'Données projet'!$E$12+1,1))-AVERAGE(OFFSET($H$3,0,0,'Données projet'!$E$12+1,1))</f>
        <v>302.6112905010138</v>
      </c>
      <c r="CE65" s="62">
        <f t="shared" si="40"/>
        <v>423.44006663873375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4.4237769260275588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4.4237769260275588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187.13674266165236</v>
      </c>
      <c r="T66" s="62">
        <f t="shared" si="34"/>
        <v>439.28159165815276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5.2</v>
      </c>
      <c r="AI66" s="14">
        <f>IF('Données projet'!$A$62&gt;35,AI65+AH66-AQ65,IF(A66&lt;'Données projet'!$A$62,$AF$205^A66,IF(A66='Données projet'!$A$62,'Données projet'!$B$62,AI65+AH66-AQ65)))</f>
        <v>213.6</v>
      </c>
      <c r="AJ66" s="14">
        <f>AI66*VLOOKUP('Données projet'!$B$10,Paramètres!$A$1:$I$89,3,0)*VLOOKUP('Données projet'!$B$10,Paramètres!$A$1:$I$89,5,0)</f>
        <v>186.60096000000001</v>
      </c>
      <c r="AK66" s="14">
        <f t="shared" si="35"/>
        <v>46.787685683664144</v>
      </c>
      <c r="AL66" s="22">
        <f t="shared" si="4"/>
        <v>406.48522456571504</v>
      </c>
      <c r="AM66" s="62">
        <f t="shared" si="5"/>
        <v>699.8185578990483</v>
      </c>
      <c r="AN66" s="62">
        <f ca="1">AVERAGE(OFFSET($AM$3,0,0,'Données projet'!$E$10+1,1))-AVERAGE(OFFSET($H$3,0,0,'Données projet'!$E$10+1,1))</f>
        <v>327.826081588335</v>
      </c>
      <c r="AO66" s="62">
        <f t="shared" si="36"/>
        <v>348.84706693879735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6.3461861634251937</v>
      </c>
      <c r="AW66" s="23">
        <f>EXP(-LN(2)/2)*AW65+(1-EXP(-LN(2)/2))/(LN(2)/2)*AQ66*AT66*VLOOKUP('Données projet'!$B$10,Paramètres!$A$1:$I$89,3,0)*0.475*44/12</f>
        <v>1.607085592953411E-4</v>
      </c>
      <c r="AX66" s="23">
        <f t="shared" si="6"/>
        <v>6.3463468719844887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1.1368683772161603E-13</v>
      </c>
      <c r="BE66" s="14">
        <f>BD66*VLOOKUP('Données projet'!$B$11,Paramètres!$A$1:$I$89,3,0)*VLOOKUP('Données projet'!$B$11,Paramètres!$A$1:$I$89,5,0)</f>
        <v>6.7984728957526396E-14</v>
      </c>
      <c r="BF66" s="14">
        <f t="shared" si="37"/>
        <v>1.0682447123141398E-12</v>
      </c>
      <c r="BG66" s="22">
        <f t="shared" si="7"/>
        <v>1.978932943548152E-12</v>
      </c>
      <c r="BH66" s="62">
        <f t="shared" si="8"/>
        <v>293.3333333333353</v>
      </c>
      <c r="BI66" s="62">
        <f ca="1">AVERAGE(OFFSET($BH$3,0,0,'Données projet'!$E$11+1,1))-AVERAGE(OFFSET($H$3,0,0,'Données projet'!$E$11+1,1))</f>
        <v>187.13674266165236</v>
      </c>
      <c r="BJ66" s="62">
        <f t="shared" si="38"/>
        <v>439.28159165815276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27.737364451124581</v>
      </c>
      <c r="BQ66" s="23">
        <f>EXP(-LN(2)/25)*BQ65+(1-EXP(-LN(2)/25))/(LN(2)/25)*Calculateur!BL66*Calculateur!BN66*VLOOKUP('Données projet'!$B$11,Paramètres!$A$1:$I$89,3,0)*0.475*44/12</f>
        <v>17.603035812832424</v>
      </c>
      <c r="BR66" s="23">
        <f>EXP(-LN(2)/2)*BR65+(1-EXP(-LN(2)/2))/(LN(2)/2)*BL66*BO66*VLOOKUP('Données projet'!$B$11,Paramètres!$A$1:$I$89,3,0)*0.475*44/12</f>
        <v>4.7007435956508963E-4</v>
      </c>
      <c r="BS66" s="24">
        <f t="shared" si="9"/>
        <v>45.34087033831657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1.9895196601282805E-13</v>
      </c>
      <c r="BZ66" s="14">
        <f>BY66*VLOOKUP('Données projet'!$B$12,Paramètres!$A$1:$I$89,3,0)*VLOOKUP('Données projet'!$B$12,Paramètres!$A$1:$I$89,5,0)</f>
        <v>1.8001173884840681E-13</v>
      </c>
      <c r="CA66" s="14">
        <f t="shared" si="39"/>
        <v>2.5254331426407198E-12</v>
      </c>
      <c r="CB66" s="22">
        <f t="shared" si="10"/>
        <v>4.7119831685935622E-12</v>
      </c>
      <c r="CC66" s="62">
        <f t="shared" si="11"/>
        <v>293.33333333333803</v>
      </c>
      <c r="CD66" s="62">
        <f ca="1">AVERAGE(OFFSET($CC$3,0,0,'Données projet'!$E$12+1,1))-AVERAGE(OFFSET($H$3,0,0,'Données projet'!$E$12+1,1))</f>
        <v>302.6112905010138</v>
      </c>
      <c r="CE66" s="62">
        <f t="shared" si="40"/>
        <v>423.44006663873375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4.3370293587456548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4.3370293587456548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187.13674266165236</v>
      </c>
      <c r="T67" s="62">
        <f t="shared" si="34"/>
        <v>439.28159165815276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5.2</v>
      </c>
      <c r="AI67" s="14">
        <f>IF('Données projet'!$A$62&gt;35,AI66+AH67-AQ66,IF(A67&lt;'Données projet'!$A$62,$AF$205^A67,IF(A67='Données projet'!$A$62,'Données projet'!$B$62,AI66+AH67-AQ66)))</f>
        <v>218.79999999999998</v>
      </c>
      <c r="AJ67" s="14">
        <f>AI67*VLOOKUP('Données projet'!$B$10,Paramètres!$A$1:$I$89,3,0)*VLOOKUP('Données projet'!$B$10,Paramètres!$A$1:$I$89,5,0)</f>
        <v>191.14368000000002</v>
      </c>
      <c r="AK67" s="14">
        <f t="shared" si="35"/>
        <v>47.792715878069586</v>
      </c>
      <c r="AL67" s="22">
        <f t="shared" si="4"/>
        <v>416.14755615430454</v>
      </c>
      <c r="AM67" s="62">
        <f t="shared" si="5"/>
        <v>709.4808894876378</v>
      </c>
      <c r="AN67" s="62">
        <f ca="1">AVERAGE(OFFSET($AM$3,0,0,'Données projet'!$E$10+1,1))-AVERAGE(OFFSET($H$3,0,0,'Données projet'!$E$10+1,1))</f>
        <v>327.826081588335</v>
      </c>
      <c r="AO67" s="62">
        <f t="shared" si="36"/>
        <v>348.84706693879735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6.1726493690549056</v>
      </c>
      <c r="AW67" s="23">
        <f>EXP(-LN(2)/2)*AW66+(1-EXP(-LN(2)/2))/(LN(2)/2)*AQ67*AT67*VLOOKUP('Données projet'!$B$10,Paramètres!$A$1:$I$89,3,0)*0.475*44/12</f>
        <v>1.1363811207245606E-4</v>
      </c>
      <c r="AX67" s="23">
        <f t="shared" si="6"/>
        <v>6.1727630071669779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1.1368683772161603E-13</v>
      </c>
      <c r="BE67" s="14">
        <f>BD67*VLOOKUP('Données projet'!$B$11,Paramètres!$A$1:$I$89,3,0)*VLOOKUP('Données projet'!$B$11,Paramètres!$A$1:$I$89,5,0)</f>
        <v>6.7984728957526396E-14</v>
      </c>
      <c r="BF67" s="14">
        <f t="shared" si="37"/>
        <v>1.0682447123141398E-12</v>
      </c>
      <c r="BG67" s="22">
        <f t="shared" si="7"/>
        <v>1.978932943548152E-12</v>
      </c>
      <c r="BH67" s="62">
        <f t="shared" si="8"/>
        <v>293.3333333333353</v>
      </c>
      <c r="BI67" s="62">
        <f ca="1">AVERAGE(OFFSET($BH$3,0,0,'Données projet'!$E$11+1,1))-AVERAGE(OFFSET($H$3,0,0,'Données projet'!$E$11+1,1))</f>
        <v>187.13674266165236</v>
      </c>
      <c r="BJ67" s="62">
        <f t="shared" si="38"/>
        <v>439.28159165815276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27.193451652359816</v>
      </c>
      <c r="BQ67" s="23">
        <f>EXP(-LN(2)/25)*BQ66+(1-EXP(-LN(2)/25))/(LN(2)/25)*Calculateur!BL67*Calculateur!BN67*VLOOKUP('Données projet'!$B$11,Paramètres!$A$1:$I$89,3,0)*0.475*44/12</f>
        <v>17.121679872827102</v>
      </c>
      <c r="BR67" s="23">
        <f>EXP(-LN(2)/2)*BR66+(1-EXP(-LN(2)/2))/(LN(2)/2)*BL67*BO67*VLOOKUP('Données projet'!$B$11,Paramètres!$A$1:$I$89,3,0)*0.475*44/12</f>
        <v>3.3239276731039831E-4</v>
      </c>
      <c r="BS67" s="24">
        <f t="shared" si="9"/>
        <v>44.315463917954226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1.9895196601282805E-13</v>
      </c>
      <c r="BZ67" s="14">
        <f>BY67*VLOOKUP('Données projet'!$B$12,Paramètres!$A$1:$I$89,3,0)*VLOOKUP('Données projet'!$B$12,Paramètres!$A$1:$I$89,5,0)</f>
        <v>1.8001173884840681E-13</v>
      </c>
      <c r="CA67" s="14">
        <f t="shared" si="39"/>
        <v>2.5254331426407198E-12</v>
      </c>
      <c r="CB67" s="22">
        <f t="shared" si="10"/>
        <v>4.7119831685935622E-12</v>
      </c>
      <c r="CC67" s="62">
        <f t="shared" si="11"/>
        <v>293.33333333333803</v>
      </c>
      <c r="CD67" s="62">
        <f ca="1">AVERAGE(OFFSET($CC$3,0,0,'Données projet'!$E$12+1,1))-AVERAGE(OFFSET($H$3,0,0,'Données projet'!$E$12+1,1))</f>
        <v>302.6112905010138</v>
      </c>
      <c r="CE67" s="62">
        <f t="shared" si="40"/>
        <v>423.44006663873375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4.2519828583473567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4.2519828583473567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187.13674266165236</v>
      </c>
      <c r="T68" s="62">
        <f t="shared" si="34"/>
        <v>439.28159165815276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224</v>
      </c>
      <c r="AG68" s="13">
        <f>VLOOKUP(A68,'Données projet'!$A$61:$I$81,9,0)</f>
        <v>5.2</v>
      </c>
      <c r="AH68" s="13">
        <f t="array" ref="AH68">INDEX(AG:AG,MIN(IF(ISNUMBER(AG68:AG264),ROW(AG68:AG264),"")))</f>
        <v>5.2</v>
      </c>
      <c r="AI68" s="14">
        <f>IF('Données projet'!$A$62&gt;35,AI67+AH68-AQ67,IF(A68&lt;'Données projet'!$A$62,$AF$205^A68,IF(A68='Données projet'!$A$62,'Données projet'!$B$62,AI67+AH68-AQ67)))</f>
        <v>223.99999999999997</v>
      </c>
      <c r="AJ68" s="14">
        <f>AI68*VLOOKUP('Données projet'!$B$10,Paramètres!$A$1:$I$89,3,0)*VLOOKUP('Données projet'!$B$10,Paramètres!$A$1:$I$89,5,0)</f>
        <v>195.68639999999999</v>
      </c>
      <c r="AK68" s="14">
        <f t="shared" si="35"/>
        <v>48.794969360985156</v>
      </c>
      <c r="AL68" s="22">
        <f t="shared" ref="AL68:AL131" si="58">(AJ68+AK68)*0.475*44/12</f>
        <v>425.80505163704908</v>
      </c>
      <c r="AM68" s="62">
        <f t="shared" ref="AM68:AM131" si="59">AL68+(AD68+AE68)*44/12</f>
        <v>719.13838497038239</v>
      </c>
      <c r="AN68" s="62">
        <f ca="1">AVERAGE(OFFSET($AM$3,0,0,'Données projet'!$E$10+1,1))-AVERAGE(OFFSET($H$3,0,0,'Données projet'!$E$10+1,1))</f>
        <v>327.826081588335</v>
      </c>
      <c r="AO68" s="62">
        <f t="shared" si="36"/>
        <v>348.84706693879735</v>
      </c>
      <c r="AP68" s="16">
        <f>IF(ISNA(VLOOKUP(A68,'Données projet'!$A$61:$I$81,3,0)),0,VLOOKUP(A68,'Données projet'!$A$61:$I$81,3,0))</f>
        <v>10</v>
      </c>
      <c r="AQ68" s="16">
        <f>IF(ISNA(VLOOKUP(A68,'Données projet'!$A$61:$I$81,4,0)),0,VLOOKUP(A68,'Données projet'!$A$61:$I$81,4,0))</f>
        <v>20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6.0038579474525768</v>
      </c>
      <c r="AW68" s="23">
        <f>EXP(-LN(2)/2)*AW67+(1-EXP(-LN(2)/2))/(LN(2)/2)*AQ68*AT68*VLOOKUP('Données projet'!$B$10,Paramètres!$A$1:$I$89,3,0)*0.475*44/12</f>
        <v>8.0354279647670563E-5</v>
      </c>
      <c r="AX68" s="23">
        <f t="shared" ref="AX68:AX131" si="60">SUM(AU68:AW68)</f>
        <v>6.0039383017322248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1.1368683772161603E-13</v>
      </c>
      <c r="BE68" s="14">
        <f>BD68*VLOOKUP('Données projet'!$B$11,Paramètres!$A$1:$I$89,3,0)*VLOOKUP('Données projet'!$B$11,Paramètres!$A$1:$I$89,5,0)</f>
        <v>6.7984728957526396E-14</v>
      </c>
      <c r="BF68" s="14">
        <f t="shared" si="37"/>
        <v>1.0682447123141398E-12</v>
      </c>
      <c r="BG68" s="22">
        <f t="shared" ref="BG68:BG131" si="61">(BE68+BF68)*0.475*44/12</f>
        <v>1.978932943548152E-12</v>
      </c>
      <c r="BH68" s="62">
        <f t="shared" ref="BH68:BH131" si="62">BG68+(AY68+AZ68)*44/12</f>
        <v>293.3333333333353</v>
      </c>
      <c r="BI68" s="62">
        <f ca="1">AVERAGE(OFFSET($BH$3,0,0,'Données projet'!$E$11+1,1))-AVERAGE(OFFSET($H$3,0,0,'Données projet'!$E$11+1,1))</f>
        <v>187.13674266165236</v>
      </c>
      <c r="BJ68" s="62">
        <f t="shared" si="38"/>
        <v>439.28159165815276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26.660204651824781</v>
      </c>
      <c r="BQ68" s="23">
        <f>EXP(-LN(2)/25)*BQ67+(1-EXP(-LN(2)/25))/(LN(2)/25)*Calculateur!BL68*Calculateur!BN68*VLOOKUP('Données projet'!$B$11,Paramètres!$A$1:$I$89,3,0)*0.475*44/12</f>
        <v>16.653486636314632</v>
      </c>
      <c r="BR68" s="23">
        <f>EXP(-LN(2)/2)*BR67+(1-EXP(-LN(2)/2))/(LN(2)/2)*BL68*BO68*VLOOKUP('Données projet'!$B$11,Paramètres!$A$1:$I$89,3,0)*0.475*44/12</f>
        <v>2.3503717978254484E-4</v>
      </c>
      <c r="BS68" s="24">
        <f t="shared" ref="BS68:BS131" si="63">SUM(BP68:BR68)</f>
        <v>43.313926325319194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1.9895196601282805E-13</v>
      </c>
      <c r="BZ68" s="14">
        <f>BY68*VLOOKUP('Données projet'!$B$12,Paramètres!$A$1:$I$89,3,0)*VLOOKUP('Données projet'!$B$12,Paramètres!$A$1:$I$89,5,0)</f>
        <v>1.8001173884840681E-13</v>
      </c>
      <c r="CA68" s="14">
        <f t="shared" si="39"/>
        <v>2.5254331426407198E-12</v>
      </c>
      <c r="CB68" s="22">
        <f t="shared" ref="CB68:CB131" si="64">(BZ68+CA68)*0.475*44/12</f>
        <v>4.7119831685935622E-12</v>
      </c>
      <c r="CC68" s="62">
        <f t="shared" ref="CC68:CC131" si="65">CB68+(BT68+BU68)*44/12</f>
        <v>293.33333333333803</v>
      </c>
      <c r="CD68" s="62">
        <f ca="1">AVERAGE(OFFSET($CC$3,0,0,'Données projet'!$E$12+1,1))-AVERAGE(OFFSET($H$3,0,0,'Données projet'!$E$12+1,1))</f>
        <v>302.6112905010138</v>
      </c>
      <c r="CE68" s="62">
        <f t="shared" si="40"/>
        <v>423.44006663873375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4.1686040679486265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4.1686040679486265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187.13674266165236</v>
      </c>
      <c r="T69" s="62">
        <f t="shared" ref="T69:T132" si="88">$T$3</f>
        <v>439.28159165815276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4.5999999999999996</v>
      </c>
      <c r="AI69" s="14">
        <f>IF('Données projet'!$A$62&gt;35,AI68+AH69-AQ68,IF(A69&lt;'Données projet'!$A$62,$AF$205^A69,IF(A69='Données projet'!$A$62,'Données projet'!$B$62,AI68+AH69-AQ68)))</f>
        <v>208.59999999999997</v>
      </c>
      <c r="AJ69" s="14">
        <f>AI69*VLOOKUP('Données projet'!$B$10,Paramètres!$A$1:$I$89,3,0)*VLOOKUP('Données projet'!$B$10,Paramètres!$A$1:$I$89,5,0)</f>
        <v>182.23295999999999</v>
      </c>
      <c r="AK69" s="14">
        <f t="shared" ref="AK69:AK132" si="89">EXP(-1.0587+0.8836*LN(AJ69)+0.284)</f>
        <v>45.818621592366291</v>
      </c>
      <c r="AL69" s="22">
        <f t="shared" si="58"/>
        <v>397.18983794003793</v>
      </c>
      <c r="AM69" s="62">
        <f t="shared" si="59"/>
        <v>690.52317127337119</v>
      </c>
      <c r="AN69" s="62">
        <f ca="1">AVERAGE(OFFSET($AM$3,0,0,'Données projet'!$E$10+1,1))-AVERAGE(OFFSET($H$3,0,0,'Données projet'!$E$10+1,1))</f>
        <v>327.826081588335</v>
      </c>
      <c r="AO69" s="62">
        <f t="shared" ref="AO69:AO132" si="90">$AO$3</f>
        <v>348.84706693879735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5.8396821361503184</v>
      </c>
      <c r="AW69" s="23">
        <f>EXP(-LN(2)/2)*AW68+(1-EXP(-LN(2)/2))/(LN(2)/2)*AQ69*AT69*VLOOKUP('Données projet'!$B$10,Paramètres!$A$1:$I$89,3,0)*0.475*44/12</f>
        <v>5.6819056036228039E-5</v>
      </c>
      <c r="AX69" s="23">
        <f t="shared" si="60"/>
        <v>5.8397389552063546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1.1368683772161603E-13</v>
      </c>
      <c r="BE69" s="14">
        <f>BD69*VLOOKUP('Données projet'!$B$11,Paramètres!$A$1:$I$89,3,0)*VLOOKUP('Données projet'!$B$11,Paramètres!$A$1:$I$89,5,0)</f>
        <v>6.7984728957526396E-14</v>
      </c>
      <c r="BF69" s="14">
        <f t="shared" ref="BF69:BF132" si="91">EXP(-1.0587+0.8836*LN(BE69)+0.284)</f>
        <v>1.0682447123141398E-12</v>
      </c>
      <c r="BG69" s="22">
        <f t="shared" si="61"/>
        <v>1.978932943548152E-12</v>
      </c>
      <c r="BH69" s="62">
        <f t="shared" si="62"/>
        <v>293.3333333333353</v>
      </c>
      <c r="BI69" s="62">
        <f ca="1">AVERAGE(OFFSET($BH$3,0,0,'Données projet'!$E$11+1,1))-AVERAGE(OFFSET($H$3,0,0,'Données projet'!$E$11+1,1))</f>
        <v>187.13674266165236</v>
      </c>
      <c r="BJ69" s="62">
        <f t="shared" ref="BJ69:BJ132" si="92">$BJ$3</f>
        <v>439.28159165815276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26.137414299721684</v>
      </c>
      <c r="BQ69" s="23">
        <f>EXP(-LN(2)/25)*BQ68+(1-EXP(-LN(2)/25))/(LN(2)/25)*Calculateur!BL69*Calculateur!BN69*VLOOKUP('Données projet'!$B$11,Paramètres!$A$1:$I$89,3,0)*0.475*44/12</f>
        <v>16.198096168475807</v>
      </c>
      <c r="BR69" s="23">
        <f>EXP(-LN(2)/2)*BR68+(1-EXP(-LN(2)/2))/(LN(2)/2)*BL69*BO69*VLOOKUP('Données projet'!$B$11,Paramètres!$A$1:$I$89,3,0)*0.475*44/12</f>
        <v>1.6619638365519918E-4</v>
      </c>
      <c r="BS69" s="24">
        <f t="shared" si="63"/>
        <v>42.335676664581143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1.9895196601282805E-13</v>
      </c>
      <c r="BZ69" s="14">
        <f>BY69*VLOOKUP('Données projet'!$B$12,Paramètres!$A$1:$I$89,3,0)*VLOOKUP('Données projet'!$B$12,Paramètres!$A$1:$I$89,5,0)</f>
        <v>1.8001173884840681E-13</v>
      </c>
      <c r="CA69" s="14">
        <f t="shared" ref="CA69:CA132" si="93">EXP(-1.0587+0.8836*LN(BZ69)+0.284)</f>
        <v>2.5254331426407198E-12</v>
      </c>
      <c r="CB69" s="22">
        <f t="shared" si="64"/>
        <v>4.7119831685935622E-12</v>
      </c>
      <c r="CC69" s="62">
        <f t="shared" si="65"/>
        <v>293.33333333333803</v>
      </c>
      <c r="CD69" s="62">
        <f ca="1">AVERAGE(OFFSET($CC$3,0,0,'Données projet'!$E$12+1,1))-AVERAGE(OFFSET($H$3,0,0,'Données projet'!$E$12+1,1))</f>
        <v>302.6112905010138</v>
      </c>
      <c r="CE69" s="62">
        <f t="shared" ref="CE69:CE132" si="94">$CE$3</f>
        <v>423.44006663873375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4.0868602847735751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4.0868602847735751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187.13674266165236</v>
      </c>
      <c r="T70" s="62">
        <f t="shared" si="88"/>
        <v>439.28159165815276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4.5999999999999996</v>
      </c>
      <c r="AI70" s="14">
        <f>IF('Données projet'!$A$62&gt;35,AI69+AH70-AQ69,IF(A70&lt;'Données projet'!$A$62,$AF$205^A70,IF(A70='Données projet'!$A$62,'Données projet'!$B$62,AI69+AH70-AQ69)))</f>
        <v>213.19999999999996</v>
      </c>
      <c r="AJ70" s="14">
        <f>AI70*VLOOKUP('Données projet'!$B$10,Paramètres!$A$1:$I$89,3,0)*VLOOKUP('Données projet'!$B$10,Paramètres!$A$1:$I$89,5,0)</f>
        <v>186.25152</v>
      </c>
      <c r="AK70" s="14">
        <f t="shared" si="89"/>
        <v>46.71025851515671</v>
      </c>
      <c r="AL70" s="22">
        <f t="shared" si="58"/>
        <v>405.74176424723129</v>
      </c>
      <c r="AM70" s="62">
        <f t="shared" si="59"/>
        <v>699.0750975805646</v>
      </c>
      <c r="AN70" s="62">
        <f ca="1">AVERAGE(OFFSET($AM$3,0,0,'Données projet'!$E$10+1,1))-AVERAGE(OFFSET($H$3,0,0,'Données projet'!$E$10+1,1))</f>
        <v>327.826081588335</v>
      </c>
      <c r="AO70" s="62">
        <f t="shared" si="90"/>
        <v>348.84706693879735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5.6799957210417515</v>
      </c>
      <c r="AW70" s="23">
        <f>EXP(-LN(2)/2)*AW69+(1-EXP(-LN(2)/2))/(LN(2)/2)*AQ70*AT70*VLOOKUP('Données projet'!$B$10,Paramètres!$A$1:$I$89,3,0)*0.475*44/12</f>
        <v>4.0177139823835282E-5</v>
      </c>
      <c r="AX70" s="23">
        <f t="shared" si="60"/>
        <v>5.6800358981815755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1.1368683772161603E-13</v>
      </c>
      <c r="BE70" s="14">
        <f>BD70*VLOOKUP('Données projet'!$B$11,Paramètres!$A$1:$I$89,3,0)*VLOOKUP('Données projet'!$B$11,Paramètres!$A$1:$I$89,5,0)</f>
        <v>6.7984728957526396E-14</v>
      </c>
      <c r="BF70" s="14">
        <f t="shared" si="91"/>
        <v>1.0682447123141398E-12</v>
      </c>
      <c r="BG70" s="22">
        <f t="shared" si="61"/>
        <v>1.978932943548152E-12</v>
      </c>
      <c r="BH70" s="62">
        <f t="shared" si="62"/>
        <v>293.3333333333353</v>
      </c>
      <c r="BI70" s="62">
        <f ca="1">AVERAGE(OFFSET($BH$3,0,0,'Données projet'!$E$11+1,1))-AVERAGE(OFFSET($H$3,0,0,'Données projet'!$E$11+1,1))</f>
        <v>187.13674266165236</v>
      </c>
      <c r="BJ70" s="62">
        <f t="shared" si="92"/>
        <v>439.28159165815276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25.624875547552698</v>
      </c>
      <c r="BQ70" s="23">
        <f>EXP(-LN(2)/25)*BQ69+(1-EXP(-LN(2)/25))/(LN(2)/25)*Calculateur!BL70*Calculateur!BN70*VLOOKUP('Données projet'!$B$11,Paramètres!$A$1:$I$89,3,0)*0.475*44/12</f>
        <v>15.75515837692798</v>
      </c>
      <c r="BR70" s="23">
        <f>EXP(-LN(2)/2)*BR69+(1-EXP(-LN(2)/2))/(LN(2)/2)*BL70*BO70*VLOOKUP('Données projet'!$B$11,Paramètres!$A$1:$I$89,3,0)*0.475*44/12</f>
        <v>1.1751858989127243E-4</v>
      </c>
      <c r="BS70" s="24">
        <f t="shared" si="63"/>
        <v>41.380151443070567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1.9895196601282805E-13</v>
      </c>
      <c r="BZ70" s="14">
        <f>BY70*VLOOKUP('Données projet'!$B$12,Paramètres!$A$1:$I$89,3,0)*VLOOKUP('Données projet'!$B$12,Paramètres!$A$1:$I$89,5,0)</f>
        <v>1.8001173884840681E-13</v>
      </c>
      <c r="CA70" s="14">
        <f t="shared" si="93"/>
        <v>2.5254331426407198E-12</v>
      </c>
      <c r="CB70" s="22">
        <f t="shared" si="64"/>
        <v>4.7119831685935622E-12</v>
      </c>
      <c r="CC70" s="62">
        <f t="shared" si="65"/>
        <v>293.33333333333803</v>
      </c>
      <c r="CD70" s="62">
        <f ca="1">AVERAGE(OFFSET($CC$3,0,0,'Données projet'!$E$12+1,1))-AVERAGE(OFFSET($H$3,0,0,'Données projet'!$E$12+1,1))</f>
        <v>302.6112905010138</v>
      </c>
      <c r="CE70" s="62">
        <f t="shared" si="94"/>
        <v>423.44006663873375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4.0067194473278018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4.0067194473278018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187.13674266165236</v>
      </c>
      <c r="T71" s="62">
        <f t="shared" si="88"/>
        <v>439.28159165815276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4.5999999999999996</v>
      </c>
      <c r="AI71" s="14">
        <f>IF('Données projet'!$A$62&gt;35,AI70+AH71-AQ70,IF(A71&lt;'Données projet'!$A$62,$AF$205^A71,IF(A71='Données projet'!$A$62,'Données projet'!$B$62,AI70+AH71-AQ70)))</f>
        <v>217.79999999999995</v>
      </c>
      <c r="AJ71" s="14">
        <f>AI71*VLOOKUP('Données projet'!$B$10,Paramètres!$A$1:$I$89,3,0)*VLOOKUP('Données projet'!$B$10,Paramètres!$A$1:$I$89,5,0)</f>
        <v>190.27007999999998</v>
      </c>
      <c r="AK71" s="14">
        <f t="shared" si="89"/>
        <v>47.599658767320413</v>
      </c>
      <c r="AL71" s="22">
        <f t="shared" si="58"/>
        <v>414.28979501974965</v>
      </c>
      <c r="AM71" s="62">
        <f t="shared" si="59"/>
        <v>707.62312835308296</v>
      </c>
      <c r="AN71" s="62">
        <f ca="1">AVERAGE(OFFSET($AM$3,0,0,'Données projet'!$E$10+1,1))-AVERAGE(OFFSET($H$3,0,0,'Données projet'!$E$10+1,1))</f>
        <v>327.826081588335</v>
      </c>
      <c r="AO71" s="62">
        <f t="shared" si="90"/>
        <v>348.84706693879735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5.5246759393518721</v>
      </c>
      <c r="AW71" s="23">
        <f>EXP(-LN(2)/2)*AW70+(1-EXP(-LN(2)/2))/(LN(2)/2)*AQ71*AT71*VLOOKUP('Données projet'!$B$10,Paramètres!$A$1:$I$89,3,0)*0.475*44/12</f>
        <v>2.8409528018114019E-5</v>
      </c>
      <c r="AX71" s="23">
        <f t="shared" si="60"/>
        <v>5.5247043488798901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1.1368683772161603E-13</v>
      </c>
      <c r="BE71" s="14">
        <f>BD71*VLOOKUP('Données projet'!$B$11,Paramètres!$A$1:$I$89,3,0)*VLOOKUP('Données projet'!$B$11,Paramètres!$A$1:$I$89,5,0)</f>
        <v>6.7984728957526396E-14</v>
      </c>
      <c r="BF71" s="14">
        <f t="shared" si="91"/>
        <v>1.0682447123141398E-12</v>
      </c>
      <c r="BG71" s="22">
        <f t="shared" si="61"/>
        <v>1.978932943548152E-12</v>
      </c>
      <c r="BH71" s="62">
        <f t="shared" si="62"/>
        <v>293.3333333333353</v>
      </c>
      <c r="BI71" s="62">
        <f ca="1">AVERAGE(OFFSET($BH$3,0,0,'Données projet'!$E$11+1,1))-AVERAGE(OFFSET($H$3,0,0,'Données projet'!$E$11+1,1))</f>
        <v>187.13674266165236</v>
      </c>
      <c r="BJ71" s="62">
        <f t="shared" si="92"/>
        <v>439.28159165815276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25.122387367695975</v>
      </c>
      <c r="BQ71" s="23">
        <f>EXP(-LN(2)/25)*BQ70+(1-EXP(-LN(2)/25))/(LN(2)/25)*Calculateur!BL71*Calculateur!BN71*VLOOKUP('Données projet'!$B$11,Paramètres!$A$1:$I$89,3,0)*0.475*44/12</f>
        <v>15.324332742583115</v>
      </c>
      <c r="BR71" s="23">
        <f>EXP(-LN(2)/2)*BR70+(1-EXP(-LN(2)/2))/(LN(2)/2)*BL71*BO71*VLOOKUP('Données projet'!$B$11,Paramètres!$A$1:$I$89,3,0)*0.475*44/12</f>
        <v>8.3098191827599605E-5</v>
      </c>
      <c r="BS71" s="24">
        <f t="shared" si="63"/>
        <v>40.446803208470918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1.9895196601282805E-13</v>
      </c>
      <c r="BZ71" s="14">
        <f>BY71*VLOOKUP('Données projet'!$B$12,Paramètres!$A$1:$I$89,3,0)*VLOOKUP('Données projet'!$B$12,Paramètres!$A$1:$I$89,5,0)</f>
        <v>1.8001173884840681E-13</v>
      </c>
      <c r="CA71" s="14">
        <f t="shared" si="93"/>
        <v>2.5254331426407198E-12</v>
      </c>
      <c r="CB71" s="22">
        <f t="shared" si="64"/>
        <v>4.7119831685935622E-12</v>
      </c>
      <c r="CC71" s="62">
        <f t="shared" si="65"/>
        <v>293.33333333333803</v>
      </c>
      <c r="CD71" s="62">
        <f ca="1">AVERAGE(OFFSET($CC$3,0,0,'Données projet'!$E$12+1,1))-AVERAGE(OFFSET($H$3,0,0,'Données projet'!$E$12+1,1))</f>
        <v>302.6112905010138</v>
      </c>
      <c r="CE71" s="62">
        <f t="shared" si="94"/>
        <v>423.44006663873375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3.9281501228232556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3.9281501228232556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187.13674266165236</v>
      </c>
      <c r="T72" s="62">
        <f t="shared" si="88"/>
        <v>439.28159165815276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4.5999999999999996</v>
      </c>
      <c r="AI72" s="14">
        <f>IF('Données projet'!$A$62&gt;35,AI71+AH72-AQ71,IF(A72&lt;'Données projet'!$A$62,$AF$205^A72,IF(A72='Données projet'!$A$62,'Données projet'!$B$62,AI71+AH72-AQ71)))</f>
        <v>222.39999999999995</v>
      </c>
      <c r="AJ72" s="14">
        <f>AI72*VLOOKUP('Données projet'!$B$10,Paramètres!$A$1:$I$89,3,0)*VLOOKUP('Données projet'!$B$10,Paramètres!$A$1:$I$89,5,0)</f>
        <v>194.28863999999999</v>
      </c>
      <c r="AK72" s="14">
        <f t="shared" si="89"/>
        <v>48.486875029770822</v>
      </c>
      <c r="AL72" s="22">
        <f t="shared" si="58"/>
        <v>422.83402201018413</v>
      </c>
      <c r="AM72" s="62">
        <f t="shared" si="59"/>
        <v>716.16735534351744</v>
      </c>
      <c r="AN72" s="62">
        <f ca="1">AVERAGE(OFFSET($AM$3,0,0,'Données projet'!$E$10+1,1))-AVERAGE(OFFSET($H$3,0,0,'Données projet'!$E$10+1,1))</f>
        <v>327.826081588335</v>
      </c>
      <c r="AO72" s="62">
        <f t="shared" si="90"/>
        <v>348.84706693879735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5.3736033852602141</v>
      </c>
      <c r="AW72" s="23">
        <f>EXP(-LN(2)/2)*AW71+(1-EXP(-LN(2)/2))/(LN(2)/2)*AQ72*AT72*VLOOKUP('Données projet'!$B$10,Paramètres!$A$1:$I$89,3,0)*0.475*44/12</f>
        <v>2.0088569911917641E-5</v>
      </c>
      <c r="AX72" s="23">
        <f t="shared" si="60"/>
        <v>5.3736234738301256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1.1368683772161603E-13</v>
      </c>
      <c r="BE72" s="14">
        <f>BD72*VLOOKUP('Données projet'!$B$11,Paramètres!$A$1:$I$89,3,0)*VLOOKUP('Données projet'!$B$11,Paramètres!$A$1:$I$89,5,0)</f>
        <v>6.7984728957526396E-14</v>
      </c>
      <c r="BF72" s="14">
        <f t="shared" si="91"/>
        <v>1.0682447123141398E-12</v>
      </c>
      <c r="BG72" s="22">
        <f t="shared" si="61"/>
        <v>1.978932943548152E-12</v>
      </c>
      <c r="BH72" s="62">
        <f t="shared" si="62"/>
        <v>293.3333333333353</v>
      </c>
      <c r="BI72" s="62">
        <f ca="1">AVERAGE(OFFSET($BH$3,0,0,'Données projet'!$E$11+1,1))-AVERAGE(OFFSET($H$3,0,0,'Données projet'!$E$11+1,1))</f>
        <v>187.13674266165236</v>
      </c>
      <c r="BJ72" s="62">
        <f t="shared" si="92"/>
        <v>439.28159165815276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24.629752674558716</v>
      </c>
      <c r="BQ72" s="23">
        <f>EXP(-LN(2)/25)*BQ71+(1-EXP(-LN(2)/25))/(LN(2)/25)*Calculateur!BL72*Calculateur!BN72*VLOOKUP('Données projet'!$B$11,Paramètres!$A$1:$I$89,3,0)*0.475*44/12</f>
        <v>14.905288057865546</v>
      </c>
      <c r="BR72" s="23">
        <f>EXP(-LN(2)/2)*BR71+(1-EXP(-LN(2)/2))/(LN(2)/2)*BL72*BO72*VLOOKUP('Données projet'!$B$11,Paramètres!$A$1:$I$89,3,0)*0.475*44/12</f>
        <v>5.8759294945636231E-5</v>
      </c>
      <c r="BS72" s="24">
        <f t="shared" si="63"/>
        <v>39.535099491719208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1.9895196601282805E-13</v>
      </c>
      <c r="BZ72" s="14">
        <f>BY72*VLOOKUP('Données projet'!$B$12,Paramètres!$A$1:$I$89,3,0)*VLOOKUP('Données projet'!$B$12,Paramètres!$A$1:$I$89,5,0)</f>
        <v>1.8001173884840681E-13</v>
      </c>
      <c r="CA72" s="14">
        <f t="shared" si="93"/>
        <v>2.5254331426407198E-12</v>
      </c>
      <c r="CB72" s="22">
        <f t="shared" si="64"/>
        <v>4.7119831685935622E-12</v>
      </c>
      <c r="CC72" s="62">
        <f t="shared" si="65"/>
        <v>293.33333333333803</v>
      </c>
      <c r="CD72" s="62">
        <f ca="1">AVERAGE(OFFSET($CC$3,0,0,'Données projet'!$E$12+1,1))-AVERAGE(OFFSET($H$3,0,0,'Données projet'!$E$12+1,1))</f>
        <v>302.6112905010138</v>
      </c>
      <c r="CE72" s="62">
        <f t="shared" si="94"/>
        <v>423.44006663873375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3.8511214948496875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3.8511214948496875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187.13674266165236</v>
      </c>
      <c r="T73" s="62">
        <f t="shared" si="88"/>
        <v>439.28159165815276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227</v>
      </c>
      <c r="AG73" s="13">
        <f>VLOOKUP(A73,'Données projet'!$A$61:$I$81,9,0)</f>
        <v>4.5999999999999996</v>
      </c>
      <c r="AH73" s="13">
        <f t="array" ref="AH73">INDEX(AG:AG,MIN(IF(ISNUMBER(AG73:AG269),ROW(AG73:AG269),"")))</f>
        <v>4.5999999999999996</v>
      </c>
      <c r="AI73" s="14">
        <f>IF('Données projet'!$A$62&gt;35,AI72+AH73-AQ72,IF(A73&lt;'Données projet'!$A$62,$AF$205^A73,IF(A73='Données projet'!$A$62,'Données projet'!$B$62,AI72+AH73-AQ72)))</f>
        <v>226.99999999999994</v>
      </c>
      <c r="AJ73" s="14">
        <f>AI73*VLOOKUP('Données projet'!$B$10,Paramètres!$A$1:$I$89,3,0)*VLOOKUP('Données projet'!$B$10,Paramètres!$A$1:$I$89,5,0)</f>
        <v>198.30719999999997</v>
      </c>
      <c r="AK73" s="14">
        <f t="shared" si="89"/>
        <v>49.371957679623371</v>
      </c>
      <c r="AL73" s="22">
        <f t="shared" si="58"/>
        <v>431.37453295867726</v>
      </c>
      <c r="AM73" s="62">
        <f t="shared" si="59"/>
        <v>724.70786629201052</v>
      </c>
      <c r="AN73" s="62">
        <f ca="1">AVERAGE(OFFSET($AM$3,0,0,'Données projet'!$E$10+1,1))-AVERAGE(OFFSET($H$3,0,0,'Données projet'!$E$10+1,1))</f>
        <v>327.826081588335</v>
      </c>
      <c r="AO73" s="62">
        <f t="shared" si="90"/>
        <v>348.84706693879735</v>
      </c>
      <c r="AP73" s="16">
        <f>IF(ISNA(VLOOKUP(A73,'Données projet'!$A$61:$I$81,3,0)),0,VLOOKUP(A73,'Données projet'!$A$61:$I$81,3,0))</f>
        <v>11</v>
      </c>
      <c r="AQ73" s="16">
        <f>IF(ISNA(VLOOKUP(A73,'Données projet'!$A$61:$I$81,4,0)),0,VLOOKUP(A73,'Données projet'!$A$61:$I$81,4,0))</f>
        <v>17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5.2266619181047531</v>
      </c>
      <c r="AW73" s="23">
        <f>EXP(-LN(2)/2)*AW72+(1-EXP(-LN(2)/2))/(LN(2)/2)*AQ73*AT73*VLOOKUP('Données projet'!$B$10,Paramètres!$A$1:$I$89,3,0)*0.475*44/12</f>
        <v>1.420476400905701E-5</v>
      </c>
      <c r="AX73" s="23">
        <f t="shared" si="60"/>
        <v>5.2266761228687626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1.1368683772161603E-13</v>
      </c>
      <c r="BE73" s="14">
        <f>BD73*VLOOKUP('Données projet'!$B$11,Paramètres!$A$1:$I$89,3,0)*VLOOKUP('Données projet'!$B$11,Paramètres!$A$1:$I$89,5,0)</f>
        <v>6.7984728957526396E-14</v>
      </c>
      <c r="BF73" s="14">
        <f t="shared" si="91"/>
        <v>1.0682447123141398E-12</v>
      </c>
      <c r="BG73" s="22">
        <f t="shared" si="61"/>
        <v>1.978932943548152E-12</v>
      </c>
      <c r="BH73" s="62">
        <f t="shared" si="62"/>
        <v>293.3333333333353</v>
      </c>
      <c r="BI73" s="62">
        <f ca="1">AVERAGE(OFFSET($BH$3,0,0,'Données projet'!$E$11+1,1))-AVERAGE(OFFSET($H$3,0,0,'Données projet'!$E$11+1,1))</f>
        <v>187.13674266165236</v>
      </c>
      <c r="BJ73" s="62">
        <f t="shared" si="92"/>
        <v>439.28159165815276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24.146778247276387</v>
      </c>
      <c r="BQ73" s="23">
        <f>EXP(-LN(2)/25)*BQ72+(1-EXP(-LN(2)/25))/(LN(2)/25)*Calculateur!BL73*Calculateur!BN73*VLOOKUP('Données projet'!$B$11,Paramètres!$A$1:$I$89,3,0)*0.475*44/12</f>
        <v>14.49770217208818</v>
      </c>
      <c r="BR73" s="23">
        <f>EXP(-LN(2)/2)*BR72+(1-EXP(-LN(2)/2))/(LN(2)/2)*BL73*BO73*VLOOKUP('Données projet'!$B$11,Paramètres!$A$1:$I$89,3,0)*0.475*44/12</f>
        <v>4.1549095913799809E-5</v>
      </c>
      <c r="BS73" s="24">
        <f t="shared" si="63"/>
        <v>38.644521968460481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1.9895196601282805E-13</v>
      </c>
      <c r="BZ73" s="14">
        <f>BY73*VLOOKUP('Données projet'!$B$12,Paramètres!$A$1:$I$89,3,0)*VLOOKUP('Données projet'!$B$12,Paramètres!$A$1:$I$89,5,0)</f>
        <v>1.8001173884840681E-13</v>
      </c>
      <c r="CA73" s="14">
        <f t="shared" si="93"/>
        <v>2.5254331426407198E-12</v>
      </c>
      <c r="CB73" s="22">
        <f t="shared" si="64"/>
        <v>4.7119831685935622E-12</v>
      </c>
      <c r="CC73" s="62">
        <f t="shared" si="65"/>
        <v>293.33333333333803</v>
      </c>
      <c r="CD73" s="62">
        <f ca="1">AVERAGE(OFFSET($CC$3,0,0,'Données projet'!$E$12+1,1))-AVERAGE(OFFSET($H$3,0,0,'Données projet'!$E$12+1,1))</f>
        <v>302.6112905010138</v>
      </c>
      <c r="CE73" s="62">
        <f t="shared" si="94"/>
        <v>423.44006663873375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3.7756033512878573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3.7756033512878573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187.13674266165236</v>
      </c>
      <c r="T74" s="62">
        <f t="shared" si="88"/>
        <v>439.28159165815276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4</v>
      </c>
      <c r="AI74" s="14">
        <f>IF('Données projet'!$A$62&gt;35,AI73+AH74-AQ73,IF(A74&lt;'Données projet'!$A$62,$AF$205^A74,IF(A74='Données projet'!$A$62,'Données projet'!$B$62,AI73+AH74-AQ73)))</f>
        <v>213.99999999999994</v>
      </c>
      <c r="AJ74" s="14">
        <f>AI74*VLOOKUP('Données projet'!$B$10,Paramètres!$A$1:$I$89,3,0)*VLOOKUP('Données projet'!$B$10,Paramètres!$A$1:$I$89,5,0)</f>
        <v>186.95039999999997</v>
      </c>
      <c r="AK74" s="14">
        <f t="shared" si="89"/>
        <v>46.865095976617653</v>
      </c>
      <c r="AL74" s="22">
        <f t="shared" si="58"/>
        <v>407.22865549260905</v>
      </c>
      <c r="AM74" s="62">
        <f t="shared" si="59"/>
        <v>700.56198882594231</v>
      </c>
      <c r="AN74" s="62">
        <f ca="1">AVERAGE(OFFSET($AM$3,0,0,'Données projet'!$E$10+1,1))-AVERAGE(OFFSET($H$3,0,0,'Données projet'!$E$10+1,1))</f>
        <v>327.826081588335</v>
      </c>
      <c r="AO74" s="62">
        <f t="shared" si="90"/>
        <v>348.84706693879735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5.0837385730959737</v>
      </c>
      <c r="AW74" s="23">
        <f>EXP(-LN(2)/2)*AW73+(1-EXP(-LN(2)/2))/(LN(2)/2)*AQ74*AT74*VLOOKUP('Données projet'!$B$10,Paramètres!$A$1:$I$89,3,0)*0.475*44/12</f>
        <v>1.004428495595882E-5</v>
      </c>
      <c r="AX74" s="23">
        <f t="shared" si="60"/>
        <v>5.0837486173809294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1.1368683772161603E-13</v>
      </c>
      <c r="BE74" s="14">
        <f>BD74*VLOOKUP('Données projet'!$B$11,Paramètres!$A$1:$I$89,3,0)*VLOOKUP('Données projet'!$B$11,Paramètres!$A$1:$I$89,5,0)</f>
        <v>6.7984728957526396E-14</v>
      </c>
      <c r="BF74" s="14">
        <f t="shared" si="91"/>
        <v>1.0682447123141398E-12</v>
      </c>
      <c r="BG74" s="22">
        <f t="shared" si="61"/>
        <v>1.978932943548152E-12</v>
      </c>
      <c r="BH74" s="62">
        <f t="shared" si="62"/>
        <v>293.3333333333353</v>
      </c>
      <c r="BI74" s="62">
        <f ca="1">AVERAGE(OFFSET($BH$3,0,0,'Données projet'!$E$11+1,1))-AVERAGE(OFFSET($H$3,0,0,'Données projet'!$E$11+1,1))</f>
        <v>187.13674266165236</v>
      </c>
      <c r="BJ74" s="62">
        <f t="shared" si="92"/>
        <v>439.28159165815276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23.673274653927752</v>
      </c>
      <c r="BQ74" s="23">
        <f>EXP(-LN(2)/25)*BQ73+(1-EXP(-LN(2)/25))/(LN(2)/25)*Calculateur!BL74*Calculateur!BN74*VLOOKUP('Données projet'!$B$11,Paramètres!$A$1:$I$89,3,0)*0.475*44/12</f>
        <v>14.101261743791406</v>
      </c>
      <c r="BR74" s="23">
        <f>EXP(-LN(2)/2)*BR73+(1-EXP(-LN(2)/2))/(LN(2)/2)*BL74*BO74*VLOOKUP('Données projet'!$B$11,Paramètres!$A$1:$I$89,3,0)*0.475*44/12</f>
        <v>2.9379647472818119E-5</v>
      </c>
      <c r="BS74" s="24">
        <f t="shared" si="63"/>
        <v>37.774565777366632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1.9895196601282805E-13</v>
      </c>
      <c r="BZ74" s="14">
        <f>BY74*VLOOKUP('Données projet'!$B$12,Paramètres!$A$1:$I$89,3,0)*VLOOKUP('Données projet'!$B$12,Paramètres!$A$1:$I$89,5,0)</f>
        <v>1.8001173884840681E-13</v>
      </c>
      <c r="CA74" s="14">
        <f t="shared" si="93"/>
        <v>2.5254331426407198E-12</v>
      </c>
      <c r="CB74" s="22">
        <f t="shared" si="64"/>
        <v>4.7119831685935622E-12</v>
      </c>
      <c r="CC74" s="62">
        <f t="shared" si="65"/>
        <v>293.33333333333803</v>
      </c>
      <c r="CD74" s="62">
        <f ca="1">AVERAGE(OFFSET($CC$3,0,0,'Données projet'!$E$12+1,1))-AVERAGE(OFFSET($H$3,0,0,'Données projet'!$E$12+1,1))</f>
        <v>302.6112905010138</v>
      </c>
      <c r="CE74" s="62">
        <f t="shared" si="94"/>
        <v>423.44006663873375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3.7015660724597552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3.7015660724597552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187.13674266165236</v>
      </c>
      <c r="T75" s="62">
        <f t="shared" si="88"/>
        <v>439.28159165815276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4</v>
      </c>
      <c r="AI75" s="14">
        <f>IF('Données projet'!$A$62&gt;35,AI74+AH75-AQ74,IF(A75&lt;'Données projet'!$A$62,$AF$205^A75,IF(A75='Données projet'!$A$62,'Données projet'!$B$62,AI74+AH75-AQ74)))</f>
        <v>217.99999999999994</v>
      </c>
      <c r="AJ75" s="14">
        <f>AI75*VLOOKUP('Données projet'!$B$10,Paramètres!$A$1:$I$89,3,0)*VLOOKUP('Données projet'!$B$10,Paramètres!$A$1:$I$89,5,0)</f>
        <v>190.44479999999999</v>
      </c>
      <c r="AK75" s="14">
        <f t="shared" si="89"/>
        <v>47.638278428909231</v>
      </c>
      <c r="AL75" s="22">
        <f t="shared" si="58"/>
        <v>414.66136159701688</v>
      </c>
      <c r="AM75" s="62">
        <f t="shared" si="59"/>
        <v>707.99469493035019</v>
      </c>
      <c r="AN75" s="62">
        <f ca="1">AVERAGE(OFFSET($AM$3,0,0,'Données projet'!$E$10+1,1))-AVERAGE(OFFSET($H$3,0,0,'Données projet'!$E$10+1,1))</f>
        <v>327.826081588335</v>
      </c>
      <c r="AO75" s="62">
        <f t="shared" si="90"/>
        <v>348.84706693879735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4.9447234744724717</v>
      </c>
      <c r="AW75" s="23">
        <f>EXP(-LN(2)/2)*AW74+(1-EXP(-LN(2)/2))/(LN(2)/2)*AQ75*AT75*VLOOKUP('Données projet'!$B$10,Paramètres!$A$1:$I$89,3,0)*0.475*44/12</f>
        <v>7.1023820045285048E-6</v>
      </c>
      <c r="AX75" s="23">
        <f t="shared" si="60"/>
        <v>4.944730576854476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1.1368683772161603E-13</v>
      </c>
      <c r="BE75" s="14">
        <f>BD75*VLOOKUP('Données projet'!$B$11,Paramètres!$A$1:$I$89,3,0)*VLOOKUP('Données projet'!$B$11,Paramètres!$A$1:$I$89,5,0)</f>
        <v>6.7984728957526396E-14</v>
      </c>
      <c r="BF75" s="14">
        <f t="shared" si="91"/>
        <v>1.0682447123141398E-12</v>
      </c>
      <c r="BG75" s="22">
        <f t="shared" si="61"/>
        <v>1.978932943548152E-12</v>
      </c>
      <c r="BH75" s="62">
        <f t="shared" si="62"/>
        <v>293.3333333333353</v>
      </c>
      <c r="BI75" s="62">
        <f ca="1">AVERAGE(OFFSET($BH$3,0,0,'Données projet'!$E$11+1,1))-AVERAGE(OFFSET($H$3,0,0,'Données projet'!$E$11+1,1))</f>
        <v>187.13674266165236</v>
      </c>
      <c r="BJ75" s="62">
        <f t="shared" si="92"/>
        <v>439.28159165815276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23.209056177236008</v>
      </c>
      <c r="BQ75" s="23">
        <f>EXP(-LN(2)/25)*BQ74+(1-EXP(-LN(2)/25))/(LN(2)/25)*Calculateur!BL75*Calculateur!BN75*VLOOKUP('Données projet'!$B$11,Paramètres!$A$1:$I$89,3,0)*0.475*44/12</f>
        <v>13.715661999854303</v>
      </c>
      <c r="BR75" s="23">
        <f>EXP(-LN(2)/2)*BR74+(1-EXP(-LN(2)/2))/(LN(2)/2)*BL75*BO75*VLOOKUP('Données projet'!$B$11,Paramètres!$A$1:$I$89,3,0)*0.475*44/12</f>
        <v>2.0774547956899908E-5</v>
      </c>
      <c r="BS75" s="24">
        <f t="shared" si="63"/>
        <v>36.924738951638268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1.9895196601282805E-13</v>
      </c>
      <c r="BZ75" s="14">
        <f>BY75*VLOOKUP('Données projet'!$B$12,Paramètres!$A$1:$I$89,3,0)*VLOOKUP('Données projet'!$B$12,Paramètres!$A$1:$I$89,5,0)</f>
        <v>1.8001173884840681E-13</v>
      </c>
      <c r="CA75" s="14">
        <f t="shared" si="93"/>
        <v>2.5254331426407198E-12</v>
      </c>
      <c r="CB75" s="22">
        <f t="shared" si="64"/>
        <v>4.7119831685935622E-12</v>
      </c>
      <c r="CC75" s="62">
        <f t="shared" si="65"/>
        <v>293.33333333333803</v>
      </c>
      <c r="CD75" s="62">
        <f ca="1">AVERAGE(OFFSET($CC$3,0,0,'Données projet'!$E$12+1,1))-AVERAGE(OFFSET($H$3,0,0,'Données projet'!$E$12+1,1))</f>
        <v>302.6112905010138</v>
      </c>
      <c r="CE75" s="62">
        <f t="shared" si="94"/>
        <v>423.44006663873375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3.6289806195111911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3.6289806195111911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187.13674266165236</v>
      </c>
      <c r="T76" s="62">
        <f t="shared" si="88"/>
        <v>439.28159165815276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4</v>
      </c>
      <c r="AI76" s="14">
        <f>IF('Données projet'!$A$62&gt;35,AI75+AH76-AQ75,IF(A76&lt;'Données projet'!$A$62,$AF$205^A76,IF(A76='Données projet'!$A$62,'Données projet'!$B$62,AI75+AH76-AQ75)))</f>
        <v>221.99999999999994</v>
      </c>
      <c r="AJ76" s="14">
        <f>AI76*VLOOKUP('Données projet'!$B$10,Paramètres!$A$1:$I$89,3,0)*VLOOKUP('Données projet'!$B$10,Paramètres!$A$1:$I$89,5,0)</f>
        <v>193.93919999999997</v>
      </c>
      <c r="AK76" s="14">
        <f t="shared" si="89"/>
        <v>48.409811198069342</v>
      </c>
      <c r="AL76" s="22">
        <f t="shared" si="58"/>
        <v>422.091194503304</v>
      </c>
      <c r="AM76" s="62">
        <f t="shared" si="59"/>
        <v>715.42452783663725</v>
      </c>
      <c r="AN76" s="62">
        <f ca="1">AVERAGE(OFFSET($AM$3,0,0,'Données projet'!$E$10+1,1))-AVERAGE(OFFSET($H$3,0,0,'Données projet'!$E$10+1,1))</f>
        <v>327.826081588335</v>
      </c>
      <c r="AO76" s="62">
        <f t="shared" si="90"/>
        <v>348.84706693879735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4.8095097510313156</v>
      </c>
      <c r="AW76" s="23">
        <f>EXP(-LN(2)/2)*AW75+(1-EXP(-LN(2)/2))/(LN(2)/2)*AQ76*AT76*VLOOKUP('Données projet'!$B$10,Paramètres!$A$1:$I$89,3,0)*0.475*44/12</f>
        <v>5.0221424779794102E-6</v>
      </c>
      <c r="AX76" s="23">
        <f t="shared" si="60"/>
        <v>4.8095147731737935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1.1368683772161603E-13</v>
      </c>
      <c r="BE76" s="14">
        <f>BD76*VLOOKUP('Données projet'!$B$11,Paramètres!$A$1:$I$89,3,0)*VLOOKUP('Données projet'!$B$11,Paramètres!$A$1:$I$89,5,0)</f>
        <v>6.7984728957526396E-14</v>
      </c>
      <c r="BF76" s="14">
        <f t="shared" si="91"/>
        <v>1.0682447123141398E-12</v>
      </c>
      <c r="BG76" s="22">
        <f t="shared" si="61"/>
        <v>1.978932943548152E-12</v>
      </c>
      <c r="BH76" s="62">
        <f t="shared" si="62"/>
        <v>293.3333333333353</v>
      </c>
      <c r="BI76" s="62">
        <f ca="1">AVERAGE(OFFSET($BH$3,0,0,'Données projet'!$E$11+1,1))-AVERAGE(OFFSET($H$3,0,0,'Données projet'!$E$11+1,1))</f>
        <v>187.13674266165236</v>
      </c>
      <c r="BJ76" s="62">
        <f t="shared" si="92"/>
        <v>439.28159165815276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22.753940741726876</v>
      </c>
      <c r="BQ76" s="23">
        <f>EXP(-LN(2)/25)*BQ75+(1-EXP(-LN(2)/25))/(LN(2)/25)*Calculateur!BL76*Calculateur!BN76*VLOOKUP('Données projet'!$B$11,Paramètres!$A$1:$I$89,3,0)*0.475*44/12</f>
        <v>13.340606501192971</v>
      </c>
      <c r="BR76" s="23">
        <f>EXP(-LN(2)/2)*BR75+(1-EXP(-LN(2)/2))/(LN(2)/2)*BL76*BO76*VLOOKUP('Données projet'!$B$11,Paramètres!$A$1:$I$89,3,0)*0.475*44/12</f>
        <v>1.4689823736409063E-5</v>
      </c>
      <c r="BS76" s="24">
        <f t="shared" si="63"/>
        <v>36.094561932743581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1.9895196601282805E-13</v>
      </c>
      <c r="BZ76" s="14">
        <f>BY76*VLOOKUP('Données projet'!$B$12,Paramètres!$A$1:$I$89,3,0)*VLOOKUP('Données projet'!$B$12,Paramètres!$A$1:$I$89,5,0)</f>
        <v>1.8001173884840681E-13</v>
      </c>
      <c r="CA76" s="14">
        <f t="shared" si="93"/>
        <v>2.5254331426407198E-12</v>
      </c>
      <c r="CB76" s="22">
        <f t="shared" si="64"/>
        <v>4.7119831685935622E-12</v>
      </c>
      <c r="CC76" s="62">
        <f t="shared" si="65"/>
        <v>293.33333333333803</v>
      </c>
      <c r="CD76" s="62">
        <f ca="1">AVERAGE(OFFSET($CC$3,0,0,'Données projet'!$E$12+1,1))-AVERAGE(OFFSET($H$3,0,0,'Données projet'!$E$12+1,1))</f>
        <v>302.6112905010138</v>
      </c>
      <c r="CE76" s="62">
        <f t="shared" si="94"/>
        <v>423.44006663873375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3.5578185230221937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3.5578185230221937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187.13674266165236</v>
      </c>
      <c r="T77" s="62">
        <f t="shared" si="88"/>
        <v>439.28159165815276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4</v>
      </c>
      <c r="AI77" s="14">
        <f>IF('Données projet'!$A$62&gt;35,AI76+AH77-AQ76,IF(A77&lt;'Données projet'!$A$62,$AF$205^A77,IF(A77='Données projet'!$A$62,'Données projet'!$B$62,AI76+AH77-AQ76)))</f>
        <v>225.99999999999994</v>
      </c>
      <c r="AJ77" s="14">
        <f>AI77*VLOOKUP('Données projet'!$B$10,Paramètres!$A$1:$I$89,3,0)*VLOOKUP('Données projet'!$B$10,Paramètres!$A$1:$I$89,5,0)</f>
        <v>197.43359999999996</v>
      </c>
      <c r="AK77" s="14">
        <f t="shared" si="89"/>
        <v>49.179727436837609</v>
      </c>
      <c r="AL77" s="22">
        <f t="shared" si="58"/>
        <v>429.51821195249204</v>
      </c>
      <c r="AM77" s="62">
        <f t="shared" si="59"/>
        <v>722.8515452858253</v>
      </c>
      <c r="AN77" s="62">
        <f ca="1">AVERAGE(OFFSET($AM$3,0,0,'Données projet'!$E$10+1,1))-AVERAGE(OFFSET($H$3,0,0,'Données projet'!$E$10+1,1))</f>
        <v>327.826081588335</v>
      </c>
      <c r="AO77" s="62">
        <f t="shared" si="90"/>
        <v>348.84706693879735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4.6779934539682388</v>
      </c>
      <c r="AW77" s="23">
        <f>EXP(-LN(2)/2)*AW76+(1-EXP(-LN(2)/2))/(LN(2)/2)*AQ77*AT77*VLOOKUP('Données projet'!$B$10,Paramètres!$A$1:$I$89,3,0)*0.475*44/12</f>
        <v>3.5511910022642524E-6</v>
      </c>
      <c r="AX77" s="23">
        <f t="shared" si="60"/>
        <v>4.6779970051592414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1.1368683772161603E-13</v>
      </c>
      <c r="BE77" s="14">
        <f>BD77*VLOOKUP('Données projet'!$B$11,Paramètres!$A$1:$I$89,3,0)*VLOOKUP('Données projet'!$B$11,Paramètres!$A$1:$I$89,5,0)</f>
        <v>6.7984728957526396E-14</v>
      </c>
      <c r="BF77" s="14">
        <f t="shared" si="91"/>
        <v>1.0682447123141398E-12</v>
      </c>
      <c r="BG77" s="22">
        <f t="shared" si="61"/>
        <v>1.978932943548152E-12</v>
      </c>
      <c r="BH77" s="62">
        <f t="shared" si="62"/>
        <v>293.3333333333353</v>
      </c>
      <c r="BI77" s="62">
        <f ca="1">AVERAGE(OFFSET($BH$3,0,0,'Données projet'!$E$11+1,1))-AVERAGE(OFFSET($H$3,0,0,'Données projet'!$E$11+1,1))</f>
        <v>187.13674266165236</v>
      </c>
      <c r="BJ77" s="62">
        <f t="shared" si="92"/>
        <v>439.28159165815276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22.307749842315072</v>
      </c>
      <c r="BQ77" s="23">
        <f>EXP(-LN(2)/25)*BQ76+(1-EXP(-LN(2)/25))/(LN(2)/25)*Calculateur!BL77*Calculateur!BN77*VLOOKUP('Données projet'!$B$11,Paramètres!$A$1:$I$89,3,0)*0.475*44/12</f>
        <v>12.975806914865844</v>
      </c>
      <c r="BR77" s="23">
        <f>EXP(-LN(2)/2)*BR76+(1-EXP(-LN(2)/2))/(LN(2)/2)*BL77*BO77*VLOOKUP('Données projet'!$B$11,Paramètres!$A$1:$I$89,3,0)*0.475*44/12</f>
        <v>1.0387273978449956E-5</v>
      </c>
      <c r="BS77" s="24">
        <f t="shared" si="63"/>
        <v>35.283567144454899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1.9895196601282805E-13</v>
      </c>
      <c r="BZ77" s="14">
        <f>BY77*VLOOKUP('Données projet'!$B$12,Paramètres!$A$1:$I$89,3,0)*VLOOKUP('Données projet'!$B$12,Paramètres!$A$1:$I$89,5,0)</f>
        <v>1.8001173884840681E-13</v>
      </c>
      <c r="CA77" s="14">
        <f t="shared" si="93"/>
        <v>2.5254331426407198E-12</v>
      </c>
      <c r="CB77" s="22">
        <f t="shared" si="64"/>
        <v>4.7119831685935622E-12</v>
      </c>
      <c r="CC77" s="62">
        <f t="shared" si="65"/>
        <v>293.33333333333803</v>
      </c>
      <c r="CD77" s="62">
        <f ca="1">AVERAGE(OFFSET($CC$3,0,0,'Données projet'!$E$12+1,1))-AVERAGE(OFFSET($H$3,0,0,'Données projet'!$E$12+1,1))</f>
        <v>302.6112905010138</v>
      </c>
      <c r="CE77" s="62">
        <f t="shared" si="94"/>
        <v>423.44006663873375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3.4880518718407525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3.4880518718407525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187.13674266165236</v>
      </c>
      <c r="T78" s="62">
        <f t="shared" si="88"/>
        <v>439.28159165815276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230</v>
      </c>
      <c r="AG78" s="13">
        <f>VLOOKUP(A78,'Données projet'!$A$61:$I$81,9,0)</f>
        <v>4</v>
      </c>
      <c r="AH78" s="13">
        <f t="array" ref="AH78">INDEX(AG:AG,MIN(IF(ISNUMBER(AG78:AG274),ROW(AG78:AG274),"")))</f>
        <v>4</v>
      </c>
      <c r="AI78" s="14">
        <f>IF('Données projet'!$A$62&gt;35,AI77+AH78-AQ77,IF(A78&lt;'Données projet'!$A$62,$AF$205^A78,IF(A78='Données projet'!$A$62,'Données projet'!$B$62,AI77+AH78-AQ77)))</f>
        <v>229.99999999999994</v>
      </c>
      <c r="AJ78" s="14">
        <f>AI78*VLOOKUP('Données projet'!$B$10,Paramètres!$A$1:$I$89,3,0)*VLOOKUP('Données projet'!$B$10,Paramètres!$A$1:$I$89,5,0)</f>
        <v>200.92799999999997</v>
      </c>
      <c r="AK78" s="14">
        <f t="shared" si="89"/>
        <v>49.948059057189042</v>
      </c>
      <c r="AL78" s="22">
        <f t="shared" si="58"/>
        <v>436.94246952460418</v>
      </c>
      <c r="AM78" s="62">
        <f t="shared" si="59"/>
        <v>730.27580285793749</v>
      </c>
      <c r="AN78" s="62">
        <f ca="1">AVERAGE(OFFSET($AM$3,0,0,'Données projet'!$E$10+1,1))-AVERAGE(OFFSET($H$3,0,0,'Données projet'!$E$10+1,1))</f>
        <v>327.826081588335</v>
      </c>
      <c r="AO78" s="62">
        <f t="shared" si="90"/>
        <v>348.84706693879735</v>
      </c>
      <c r="AP78" s="16">
        <f>IF(ISNA(VLOOKUP(A78,'Données projet'!$A$61:$I$81,3,0)),0,VLOOKUP(A78,'Données projet'!$A$61:$I$81,3,0))</f>
        <v>12</v>
      </c>
      <c r="AQ78" s="16">
        <f>IF(ISNA(VLOOKUP(A78,'Données projet'!$A$61:$I$81,4,0)),0,VLOOKUP(A78,'Données projet'!$A$61:$I$81,4,0))</f>
        <v>15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4.550073476964493</v>
      </c>
      <c r="AW78" s="23">
        <f>EXP(-LN(2)/2)*AW77+(1-EXP(-LN(2)/2))/(LN(2)/2)*AQ78*AT78*VLOOKUP('Données projet'!$B$10,Paramètres!$A$1:$I$89,3,0)*0.475*44/12</f>
        <v>2.5110712389897051E-6</v>
      </c>
      <c r="AX78" s="23">
        <f t="shared" si="60"/>
        <v>4.550075988035732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1.1368683772161603E-13</v>
      </c>
      <c r="BE78" s="14">
        <f>BD78*VLOOKUP('Données projet'!$B$11,Paramètres!$A$1:$I$89,3,0)*VLOOKUP('Données projet'!$B$11,Paramètres!$A$1:$I$89,5,0)</f>
        <v>6.7984728957526396E-14</v>
      </c>
      <c r="BF78" s="14">
        <f t="shared" si="91"/>
        <v>1.0682447123141398E-12</v>
      </c>
      <c r="BG78" s="22">
        <f t="shared" si="61"/>
        <v>1.978932943548152E-12</v>
      </c>
      <c r="BH78" s="62">
        <f t="shared" si="62"/>
        <v>293.3333333333353</v>
      </c>
      <c r="BI78" s="62">
        <f ca="1">AVERAGE(OFFSET($BH$3,0,0,'Données projet'!$E$11+1,1))-AVERAGE(OFFSET($H$3,0,0,'Données projet'!$E$11+1,1))</f>
        <v>187.13674266165236</v>
      </c>
      <c r="BJ78" s="62">
        <f t="shared" si="92"/>
        <v>439.28159165815276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21.870308474291157</v>
      </c>
      <c r="BQ78" s="23">
        <f>EXP(-LN(2)/25)*BQ77+(1-EXP(-LN(2)/25))/(LN(2)/25)*Calculateur!BL78*Calculateur!BN78*VLOOKUP('Données projet'!$B$11,Paramètres!$A$1:$I$89,3,0)*0.475*44/12</f>
        <v>12.620982792410809</v>
      </c>
      <c r="BR78" s="23">
        <f>EXP(-LN(2)/2)*BR77+(1-EXP(-LN(2)/2))/(LN(2)/2)*BL78*BO78*VLOOKUP('Données projet'!$B$11,Paramètres!$A$1:$I$89,3,0)*0.475*44/12</f>
        <v>7.3449118682045322E-6</v>
      </c>
      <c r="BS78" s="24">
        <f t="shared" si="63"/>
        <v>34.491298611613836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1.9895196601282805E-13</v>
      </c>
      <c r="BZ78" s="14">
        <f>BY78*VLOOKUP('Données projet'!$B$12,Paramètres!$A$1:$I$89,3,0)*VLOOKUP('Données projet'!$B$12,Paramètres!$A$1:$I$89,5,0)</f>
        <v>1.8001173884840681E-13</v>
      </c>
      <c r="CA78" s="14">
        <f t="shared" si="93"/>
        <v>2.5254331426407198E-12</v>
      </c>
      <c r="CB78" s="22">
        <f t="shared" si="64"/>
        <v>4.7119831685935622E-12</v>
      </c>
      <c r="CC78" s="62">
        <f t="shared" si="65"/>
        <v>293.33333333333803</v>
      </c>
      <c r="CD78" s="62">
        <f ca="1">AVERAGE(OFFSET($CC$3,0,0,'Données projet'!$E$12+1,1))-AVERAGE(OFFSET($H$3,0,0,'Données projet'!$E$12+1,1))</f>
        <v>302.6112905010138</v>
      </c>
      <c r="CE78" s="62">
        <f t="shared" si="94"/>
        <v>423.44006663873375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3.419653302135524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3.419653302135524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187.13674266165236</v>
      </c>
      <c r="T79" s="62">
        <f t="shared" si="88"/>
        <v>439.28159165815276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3.6</v>
      </c>
      <c r="AI79" s="14">
        <f>IF('Données projet'!$A$62&gt;35,AI78+AH79-AQ78,IF(A79&lt;'Données projet'!$A$62,$AF$205^A79,IF(A79='Données projet'!$A$62,'Données projet'!$B$62,AI78+AH79-AQ78)))</f>
        <v>218.59999999999994</v>
      </c>
      <c r="AJ79" s="14">
        <f>AI79*VLOOKUP('Données projet'!$B$10,Paramètres!$A$1:$I$89,3,0)*VLOOKUP('Données projet'!$B$10,Paramètres!$A$1:$I$89,5,0)</f>
        <v>190.96895999999998</v>
      </c>
      <c r="AK79" s="14">
        <f t="shared" si="89"/>
        <v>47.754112686935557</v>
      </c>
      <c r="AL79" s="22">
        <f t="shared" si="58"/>
        <v>415.77601826307938</v>
      </c>
      <c r="AM79" s="62">
        <f t="shared" si="59"/>
        <v>709.10935159641269</v>
      </c>
      <c r="AN79" s="62">
        <f ca="1">AVERAGE(OFFSET($AM$3,0,0,'Données projet'!$E$10+1,1))-AVERAGE(OFFSET($H$3,0,0,'Données projet'!$E$10+1,1))</f>
        <v>327.826081588335</v>
      </c>
      <c r="AO79" s="62">
        <f t="shared" si="90"/>
        <v>348.84706693879735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4.425651478458934</v>
      </c>
      <c r="AW79" s="23">
        <f>EXP(-LN(2)/2)*AW78+(1-EXP(-LN(2)/2))/(LN(2)/2)*AQ79*AT79*VLOOKUP('Données projet'!$B$10,Paramètres!$A$1:$I$89,3,0)*0.475*44/12</f>
        <v>1.7755955011321262E-6</v>
      </c>
      <c r="AX79" s="23">
        <f t="shared" si="60"/>
        <v>4.4256532540544349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1.1368683772161603E-13</v>
      </c>
      <c r="BE79" s="14">
        <f>BD79*VLOOKUP('Données projet'!$B$11,Paramètres!$A$1:$I$89,3,0)*VLOOKUP('Données projet'!$B$11,Paramètres!$A$1:$I$89,5,0)</f>
        <v>6.7984728957526396E-14</v>
      </c>
      <c r="BF79" s="14">
        <f t="shared" si="91"/>
        <v>1.0682447123141398E-12</v>
      </c>
      <c r="BG79" s="22">
        <f t="shared" si="61"/>
        <v>1.978932943548152E-12</v>
      </c>
      <c r="BH79" s="62">
        <f t="shared" si="62"/>
        <v>293.3333333333353</v>
      </c>
      <c r="BI79" s="62">
        <f ca="1">AVERAGE(OFFSET($BH$3,0,0,'Données projet'!$E$11+1,1))-AVERAGE(OFFSET($H$3,0,0,'Données projet'!$E$11+1,1))</f>
        <v>187.13674266165236</v>
      </c>
      <c r="BJ79" s="62">
        <f t="shared" si="92"/>
        <v>439.28159165815276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21.441445064681304</v>
      </c>
      <c r="BQ79" s="23">
        <f>EXP(-LN(2)/25)*BQ78+(1-EXP(-LN(2)/25))/(LN(2)/25)*Calculateur!BL79*Calculateur!BN79*VLOOKUP('Données projet'!$B$11,Paramètres!$A$1:$I$89,3,0)*0.475*44/12</f>
        <v>12.275861354243697</v>
      </c>
      <c r="BR79" s="23">
        <f>EXP(-LN(2)/2)*BR78+(1-EXP(-LN(2)/2))/(LN(2)/2)*BL79*BO79*VLOOKUP('Données projet'!$B$11,Paramètres!$A$1:$I$89,3,0)*0.475*44/12</f>
        <v>5.1936369892249787E-6</v>
      </c>
      <c r="BS79" s="24">
        <f t="shared" si="63"/>
        <v>33.717311612561986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1.9895196601282805E-13</v>
      </c>
      <c r="BZ79" s="14">
        <f>BY79*VLOOKUP('Données projet'!$B$12,Paramètres!$A$1:$I$89,3,0)*VLOOKUP('Données projet'!$B$12,Paramètres!$A$1:$I$89,5,0)</f>
        <v>1.8001173884840681E-13</v>
      </c>
      <c r="CA79" s="14">
        <f t="shared" si="93"/>
        <v>2.5254331426407198E-12</v>
      </c>
      <c r="CB79" s="22">
        <f t="shared" si="64"/>
        <v>4.7119831685935622E-12</v>
      </c>
      <c r="CC79" s="62">
        <f t="shared" si="65"/>
        <v>293.33333333333803</v>
      </c>
      <c r="CD79" s="62">
        <f ca="1">AVERAGE(OFFSET($CC$3,0,0,'Données projet'!$E$12+1,1))-AVERAGE(OFFSET($H$3,0,0,'Données projet'!$E$12+1,1))</f>
        <v>302.6112905010138</v>
      </c>
      <c r="CE79" s="62">
        <f t="shared" si="94"/>
        <v>423.44006663873375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3.3525959866632067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3.3525959866632067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187.13674266165236</v>
      </c>
      <c r="T80" s="62">
        <f t="shared" si="88"/>
        <v>439.28159165815276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3.6</v>
      </c>
      <c r="AI80" s="14">
        <f>IF('Données projet'!$A$62&gt;35,AI79+AH80-AQ79,IF(A80&lt;'Données projet'!$A$62,$AF$205^A80,IF(A80='Données projet'!$A$62,'Données projet'!$B$62,AI79+AH80-AQ79)))</f>
        <v>222.19999999999993</v>
      </c>
      <c r="AJ80" s="14">
        <f>AI80*VLOOKUP('Données projet'!$B$10,Paramètres!$A$1:$I$89,3,0)*VLOOKUP('Données projet'!$B$10,Paramètres!$A$1:$I$89,5,0)</f>
        <v>194.11391999999998</v>
      </c>
      <c r="AK80" s="14">
        <f t="shared" si="89"/>
        <v>48.44834513242396</v>
      </c>
      <c r="AL80" s="22">
        <f t="shared" si="58"/>
        <v>422.46261177230502</v>
      </c>
      <c r="AM80" s="62">
        <f t="shared" si="59"/>
        <v>715.79594510563834</v>
      </c>
      <c r="AN80" s="62">
        <f ca="1">AVERAGE(OFFSET($AM$3,0,0,'Données projet'!$E$10+1,1))-AVERAGE(OFFSET($H$3,0,0,'Données projet'!$E$10+1,1))</f>
        <v>327.826081588335</v>
      </c>
      <c r="AO80" s="62">
        <f t="shared" si="90"/>
        <v>348.84706693879735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4.3046318060455784</v>
      </c>
      <c r="AW80" s="23">
        <f>EXP(-LN(2)/2)*AW79+(1-EXP(-LN(2)/2))/(LN(2)/2)*AQ80*AT80*VLOOKUP('Données projet'!$B$10,Paramètres!$A$1:$I$89,3,0)*0.475*44/12</f>
        <v>1.2555356194948526E-6</v>
      </c>
      <c r="AX80" s="23">
        <f t="shared" si="60"/>
        <v>4.3046330615811979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1.1368683772161603E-13</v>
      </c>
      <c r="BE80" s="14">
        <f>BD80*VLOOKUP('Données projet'!$B$11,Paramètres!$A$1:$I$89,3,0)*VLOOKUP('Données projet'!$B$11,Paramètres!$A$1:$I$89,5,0)</f>
        <v>6.7984728957526396E-14</v>
      </c>
      <c r="BF80" s="14">
        <f t="shared" si="91"/>
        <v>1.0682447123141398E-12</v>
      </c>
      <c r="BG80" s="22">
        <f t="shared" si="61"/>
        <v>1.978932943548152E-12</v>
      </c>
      <c r="BH80" s="62">
        <f t="shared" si="62"/>
        <v>293.3333333333353</v>
      </c>
      <c r="BI80" s="62">
        <f ca="1">AVERAGE(OFFSET($BH$3,0,0,'Données projet'!$E$11+1,1))-AVERAGE(OFFSET($H$3,0,0,'Données projet'!$E$11+1,1))</f>
        <v>187.13674266165236</v>
      </c>
      <c r="BJ80" s="62">
        <f t="shared" si="92"/>
        <v>439.28159165815276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21.020991404953048</v>
      </c>
      <c r="BQ80" s="23">
        <f>EXP(-LN(2)/25)*BQ79+(1-EXP(-LN(2)/25))/(LN(2)/25)*Calculateur!BL80*Calculateur!BN80*VLOOKUP('Données projet'!$B$11,Paramètres!$A$1:$I$89,3,0)*0.475*44/12</f>
        <v>11.940177279952412</v>
      </c>
      <c r="BR80" s="23">
        <f>EXP(-LN(2)/2)*BR79+(1-EXP(-LN(2)/2))/(LN(2)/2)*BL80*BO80*VLOOKUP('Données projet'!$B$11,Paramètres!$A$1:$I$89,3,0)*0.475*44/12</f>
        <v>3.6724559341022665E-6</v>
      </c>
      <c r="BS80" s="24">
        <f t="shared" si="63"/>
        <v>32.961172357361392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1.9895196601282805E-13</v>
      </c>
      <c r="BZ80" s="14">
        <f>BY80*VLOOKUP('Données projet'!$B$12,Paramètres!$A$1:$I$89,3,0)*VLOOKUP('Données projet'!$B$12,Paramètres!$A$1:$I$89,5,0)</f>
        <v>1.8001173884840681E-13</v>
      </c>
      <c r="CA80" s="14">
        <f t="shared" si="93"/>
        <v>2.5254331426407198E-12</v>
      </c>
      <c r="CB80" s="22">
        <f t="shared" si="64"/>
        <v>4.7119831685935622E-12</v>
      </c>
      <c r="CC80" s="62">
        <f t="shared" si="65"/>
        <v>293.33333333333803</v>
      </c>
      <c r="CD80" s="62">
        <f ca="1">AVERAGE(OFFSET($CC$3,0,0,'Données projet'!$E$12+1,1))-AVERAGE(OFFSET($H$3,0,0,'Données projet'!$E$12+1,1))</f>
        <v>302.6112905010138</v>
      </c>
      <c r="CE80" s="62">
        <f t="shared" si="94"/>
        <v>423.44006663873375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3.2868536242463779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3.2868536242463779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187.13674266165236</v>
      </c>
      <c r="T81" s="62">
        <f t="shared" si="88"/>
        <v>439.28159165815276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3.6</v>
      </c>
      <c r="AI81" s="14">
        <f>IF('Données projet'!$A$62&gt;35,AI80+AH81-AQ80,IF(A81&lt;'Données projet'!$A$62,$AF$205^A81,IF(A81='Données projet'!$A$62,'Données projet'!$B$62,AI80+AH81-AQ80)))</f>
        <v>225.79999999999993</v>
      </c>
      <c r="AJ81" s="14">
        <f>AI81*VLOOKUP('Données projet'!$B$10,Paramètres!$A$1:$I$89,3,0)*VLOOKUP('Données projet'!$B$10,Paramètres!$A$1:$I$89,5,0)</f>
        <v>197.25887999999995</v>
      </c>
      <c r="AK81" s="14">
        <f t="shared" si="89"/>
        <v>49.141269519991567</v>
      </c>
      <c r="AL81" s="22">
        <f t="shared" si="58"/>
        <v>429.14692708065189</v>
      </c>
      <c r="AM81" s="62">
        <f t="shared" si="59"/>
        <v>722.48026041398521</v>
      </c>
      <c r="AN81" s="62">
        <f ca="1">AVERAGE(OFFSET($AM$3,0,0,'Données projet'!$E$10+1,1))-AVERAGE(OFFSET($H$3,0,0,'Données projet'!$E$10+1,1))</f>
        <v>327.826081588335</v>
      </c>
      <c r="AO81" s="62">
        <f t="shared" si="90"/>
        <v>348.84706693879735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4.1869214229385134</v>
      </c>
      <c r="AW81" s="23">
        <f>EXP(-LN(2)/2)*AW80+(1-EXP(-LN(2)/2))/(LN(2)/2)*AQ81*AT81*VLOOKUP('Données projet'!$B$10,Paramètres!$A$1:$I$89,3,0)*0.475*44/12</f>
        <v>8.8779775056606311E-7</v>
      </c>
      <c r="AX81" s="23">
        <f t="shared" si="60"/>
        <v>4.1869223107362643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1.1368683772161603E-13</v>
      </c>
      <c r="BE81" s="14">
        <f>BD81*VLOOKUP('Données projet'!$B$11,Paramètres!$A$1:$I$89,3,0)*VLOOKUP('Données projet'!$B$11,Paramètres!$A$1:$I$89,5,0)</f>
        <v>6.7984728957526396E-14</v>
      </c>
      <c r="BF81" s="14">
        <f t="shared" si="91"/>
        <v>1.0682447123141398E-12</v>
      </c>
      <c r="BG81" s="22">
        <f t="shared" si="61"/>
        <v>1.978932943548152E-12</v>
      </c>
      <c r="BH81" s="62">
        <f t="shared" si="62"/>
        <v>293.3333333333353</v>
      </c>
      <c r="BI81" s="62">
        <f ca="1">AVERAGE(OFFSET($BH$3,0,0,'Données projet'!$E$11+1,1))-AVERAGE(OFFSET($H$3,0,0,'Données projet'!$E$11+1,1))</f>
        <v>187.13674266165236</v>
      </c>
      <c r="BJ81" s="62">
        <f t="shared" si="92"/>
        <v>439.28159165815276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20.608782585040654</v>
      </c>
      <c r="BQ81" s="23">
        <f>EXP(-LN(2)/25)*BQ80+(1-EXP(-LN(2)/25))/(LN(2)/25)*Calculateur!BL81*Calculateur!BN81*VLOOKUP('Données projet'!$B$11,Paramètres!$A$1:$I$89,3,0)*0.475*44/12</f>
        <v>11.61367250432548</v>
      </c>
      <c r="BR81" s="23">
        <f>EXP(-LN(2)/2)*BR80+(1-EXP(-LN(2)/2))/(LN(2)/2)*BL81*BO81*VLOOKUP('Données projet'!$B$11,Paramètres!$A$1:$I$89,3,0)*0.475*44/12</f>
        <v>2.5968184946124898E-6</v>
      </c>
      <c r="BS81" s="24">
        <f t="shared" si="63"/>
        <v>32.222457686184633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1.9895196601282805E-13</v>
      </c>
      <c r="BZ81" s="14">
        <f>BY81*VLOOKUP('Données projet'!$B$12,Paramètres!$A$1:$I$89,3,0)*VLOOKUP('Données projet'!$B$12,Paramètres!$A$1:$I$89,5,0)</f>
        <v>1.8001173884840681E-13</v>
      </c>
      <c r="CA81" s="14">
        <f t="shared" si="93"/>
        <v>2.5254331426407198E-12</v>
      </c>
      <c r="CB81" s="22">
        <f t="shared" si="64"/>
        <v>4.7119831685935622E-12</v>
      </c>
      <c r="CC81" s="62">
        <f t="shared" si="65"/>
        <v>293.33333333333803</v>
      </c>
      <c r="CD81" s="62">
        <f ca="1">AVERAGE(OFFSET($CC$3,0,0,'Données projet'!$E$12+1,1))-AVERAGE(OFFSET($H$3,0,0,'Données projet'!$E$12+1,1))</f>
        <v>302.6112905010138</v>
      </c>
      <c r="CE81" s="62">
        <f t="shared" si="94"/>
        <v>423.44006663873375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3.2224004294576614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3.2224004294576614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187.13674266165236</v>
      </c>
      <c r="T82" s="62">
        <f t="shared" si="88"/>
        <v>439.28159165815276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3.6</v>
      </c>
      <c r="AI82" s="14">
        <f>IF('Données projet'!$A$62&gt;35,AI81+AH82-AQ81,IF(A82&lt;'Données projet'!$A$62,$AF$205^A82,IF(A82='Données projet'!$A$62,'Données projet'!$B$62,AI81+AH82-AQ81)))</f>
        <v>229.39999999999992</v>
      </c>
      <c r="AJ82" s="14">
        <f>AI82*VLOOKUP('Données projet'!$B$10,Paramètres!$A$1:$I$89,3,0)*VLOOKUP('Données projet'!$B$10,Paramètres!$A$1:$I$89,5,0)</f>
        <v>200.40383999999997</v>
      </c>
      <c r="AK82" s="14">
        <f t="shared" si="89"/>
        <v>49.832909112305636</v>
      </c>
      <c r="AL82" s="22">
        <f t="shared" si="58"/>
        <v>435.82900470393224</v>
      </c>
      <c r="AM82" s="62">
        <f t="shared" si="59"/>
        <v>729.1623380372655</v>
      </c>
      <c r="AN82" s="62">
        <f ca="1">AVERAGE(OFFSET($AM$3,0,0,'Données projet'!$E$10+1,1))-AVERAGE(OFFSET($H$3,0,0,'Données projet'!$E$10+1,1))</f>
        <v>327.826081588335</v>
      </c>
      <c r="AO82" s="62">
        <f t="shared" si="90"/>
        <v>348.84706693879735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4.0724298364476317</v>
      </c>
      <c r="AW82" s="23">
        <f>EXP(-LN(2)/2)*AW81+(1-EXP(-LN(2)/2))/(LN(2)/2)*AQ82*AT82*VLOOKUP('Données projet'!$B$10,Paramètres!$A$1:$I$89,3,0)*0.475*44/12</f>
        <v>6.2776780974742628E-7</v>
      </c>
      <c r="AX82" s="23">
        <f t="shared" si="60"/>
        <v>4.0724304642154419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1.1368683772161603E-13</v>
      </c>
      <c r="BE82" s="14">
        <f>BD82*VLOOKUP('Données projet'!$B$11,Paramètres!$A$1:$I$89,3,0)*VLOOKUP('Données projet'!$B$11,Paramètres!$A$1:$I$89,5,0)</f>
        <v>6.7984728957526396E-14</v>
      </c>
      <c r="BF82" s="14">
        <f t="shared" si="91"/>
        <v>1.0682447123141398E-12</v>
      </c>
      <c r="BG82" s="22">
        <f t="shared" si="61"/>
        <v>1.978932943548152E-12</v>
      </c>
      <c r="BH82" s="62">
        <f t="shared" si="62"/>
        <v>293.3333333333353</v>
      </c>
      <c r="BI82" s="62">
        <f ca="1">AVERAGE(OFFSET($BH$3,0,0,'Données projet'!$E$11+1,1))-AVERAGE(OFFSET($H$3,0,0,'Données projet'!$E$11+1,1))</f>
        <v>187.13674266165236</v>
      </c>
      <c r="BJ82" s="62">
        <f t="shared" si="92"/>
        <v>439.28159165815276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20.204656928664189</v>
      </c>
      <c r="BQ82" s="23">
        <f>EXP(-LN(2)/25)*BQ81+(1-EXP(-LN(2)/25))/(LN(2)/25)*Calculateur!BL82*Calculateur!BN82*VLOOKUP('Données projet'!$B$11,Paramètres!$A$1:$I$89,3,0)*0.475*44/12</f>
        <v>11.296096018958206</v>
      </c>
      <c r="BR82" s="23">
        <f>EXP(-LN(2)/2)*BR81+(1-EXP(-LN(2)/2))/(LN(2)/2)*BL82*BO82*VLOOKUP('Données projet'!$B$11,Paramètres!$A$1:$I$89,3,0)*0.475*44/12</f>
        <v>1.8362279670511337E-6</v>
      </c>
      <c r="BS82" s="24">
        <f t="shared" si="63"/>
        <v>31.500754783850361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1.9895196601282805E-13</v>
      </c>
      <c r="BZ82" s="14">
        <f>BY82*VLOOKUP('Données projet'!$B$12,Paramètres!$A$1:$I$89,3,0)*VLOOKUP('Données projet'!$B$12,Paramètres!$A$1:$I$89,5,0)</f>
        <v>1.8001173884840681E-13</v>
      </c>
      <c r="CA82" s="14">
        <f t="shared" si="93"/>
        <v>2.5254331426407198E-12</v>
      </c>
      <c r="CB82" s="22">
        <f t="shared" si="64"/>
        <v>4.7119831685935622E-12</v>
      </c>
      <c r="CC82" s="62">
        <f t="shared" si="65"/>
        <v>293.33333333333803</v>
      </c>
      <c r="CD82" s="62">
        <f ca="1">AVERAGE(OFFSET($CC$3,0,0,'Données projet'!$E$12+1,1))-AVERAGE(OFFSET($H$3,0,0,'Données projet'!$E$12+1,1))</f>
        <v>302.6112905010138</v>
      </c>
      <c r="CE82" s="62">
        <f t="shared" si="94"/>
        <v>423.44006663873375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3.1592111225061847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3.1592111225061847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187.13674266165236</v>
      </c>
      <c r="T83" s="62">
        <f t="shared" si="88"/>
        <v>439.28159165815276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233</v>
      </c>
      <c r="AG83" s="13">
        <f>VLOOKUP(A83,'Données projet'!$A$61:$I$81,9,0)</f>
        <v>3.6</v>
      </c>
      <c r="AH83" s="13">
        <f t="array" ref="AH83">INDEX(AG:AG,MIN(IF(ISNUMBER(AG83:AG279),ROW(AG83:AG279),"")))</f>
        <v>3.6</v>
      </c>
      <c r="AI83" s="14">
        <f>IF('Données projet'!$A$62&gt;35,AI82+AH83-AQ82,IF(A83&lt;'Données projet'!$A$62,$AF$205^A83,IF(A83='Données projet'!$A$62,'Données projet'!$B$62,AI82+AH83-AQ82)))</f>
        <v>232.99999999999991</v>
      </c>
      <c r="AJ83" s="14">
        <f>AI83*VLOOKUP('Données projet'!$B$10,Paramètres!$A$1:$I$89,3,0)*VLOOKUP('Données projet'!$B$10,Paramètres!$A$1:$I$89,5,0)</f>
        <v>203.54879999999994</v>
      </c>
      <c r="AK83" s="14">
        <f t="shared" si="89"/>
        <v>50.523286400023487</v>
      </c>
      <c r="AL83" s="22">
        <f t="shared" si="58"/>
        <v>442.5088838133741</v>
      </c>
      <c r="AM83" s="62">
        <f t="shared" si="59"/>
        <v>735.84221714670741</v>
      </c>
      <c r="AN83" s="62">
        <f ca="1">AVERAGE(OFFSET($AM$3,0,0,'Données projet'!$E$10+1,1))-AVERAGE(OFFSET($H$3,0,0,'Données projet'!$E$10+1,1))</f>
        <v>327.826081588335</v>
      </c>
      <c r="AO83" s="62">
        <f t="shared" si="90"/>
        <v>348.84706693879735</v>
      </c>
      <c r="AP83" s="16">
        <f>IF(ISNA(VLOOKUP(A83,'Données projet'!$A$61:$I$81,3,0)),0,VLOOKUP(A83,'Données projet'!$A$61:$I$81,3,0))</f>
        <v>13</v>
      </c>
      <c r="AQ83" s="16">
        <f>IF(ISNA(VLOOKUP(A83,'Données projet'!$A$61:$I$81,4,0)),0,VLOOKUP(A83,'Données projet'!$A$61:$I$81,4,0))</f>
        <v>13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3.9610690284101939</v>
      </c>
      <c r="AW83" s="23">
        <f>EXP(-LN(2)/2)*AW82+(1-EXP(-LN(2)/2))/(LN(2)/2)*AQ83*AT83*VLOOKUP('Données projet'!$B$10,Paramètres!$A$1:$I$89,3,0)*0.475*44/12</f>
        <v>4.4389887528303155E-7</v>
      </c>
      <c r="AX83" s="23">
        <f t="shared" si="60"/>
        <v>3.9610694723090694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1.1368683772161603E-13</v>
      </c>
      <c r="BE83" s="14">
        <f>BD83*VLOOKUP('Données projet'!$B$11,Paramètres!$A$1:$I$89,3,0)*VLOOKUP('Données projet'!$B$11,Paramètres!$A$1:$I$89,5,0)</f>
        <v>6.7984728957526396E-14</v>
      </c>
      <c r="BF83" s="14">
        <f t="shared" si="91"/>
        <v>1.0682447123141398E-12</v>
      </c>
      <c r="BG83" s="22">
        <f t="shared" si="61"/>
        <v>1.978932943548152E-12</v>
      </c>
      <c r="BH83" s="62">
        <f t="shared" si="62"/>
        <v>293.3333333333353</v>
      </c>
      <c r="BI83" s="62">
        <f ca="1">AVERAGE(OFFSET($BH$3,0,0,'Données projet'!$E$11+1,1))-AVERAGE(OFFSET($H$3,0,0,'Données projet'!$E$11+1,1))</f>
        <v>187.13674266165236</v>
      </c>
      <c r="BJ83" s="62">
        <f t="shared" si="92"/>
        <v>439.28159165815276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19.808455929916953</v>
      </c>
      <c r="BQ83" s="23">
        <f>EXP(-LN(2)/25)*BQ82+(1-EXP(-LN(2)/25))/(LN(2)/25)*Calculateur!BL83*Calculateur!BN83*VLOOKUP('Données projet'!$B$11,Paramètres!$A$1:$I$89,3,0)*0.475*44/12</f>
        <v>10.987203679283922</v>
      </c>
      <c r="BR83" s="23">
        <f>EXP(-LN(2)/2)*BR82+(1-EXP(-LN(2)/2))/(LN(2)/2)*BL83*BO83*VLOOKUP('Données projet'!$B$11,Paramètres!$A$1:$I$89,3,0)*0.475*44/12</f>
        <v>1.2984092473062451E-6</v>
      </c>
      <c r="BS83" s="24">
        <f t="shared" si="63"/>
        <v>30.795660907610124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1.9895196601282805E-13</v>
      </c>
      <c r="BZ83" s="14">
        <f>BY83*VLOOKUP('Données projet'!$B$12,Paramètres!$A$1:$I$89,3,0)*VLOOKUP('Données projet'!$B$12,Paramètres!$A$1:$I$89,5,0)</f>
        <v>1.8001173884840681E-13</v>
      </c>
      <c r="CA83" s="14">
        <f t="shared" si="93"/>
        <v>2.5254331426407198E-12</v>
      </c>
      <c r="CB83" s="22">
        <f t="shared" si="64"/>
        <v>4.7119831685935622E-12</v>
      </c>
      <c r="CC83" s="62">
        <f t="shared" si="65"/>
        <v>293.33333333333803</v>
      </c>
      <c r="CD83" s="62">
        <f ca="1">AVERAGE(OFFSET($CC$3,0,0,'Données projet'!$E$12+1,1))-AVERAGE(OFFSET($H$3,0,0,'Données projet'!$E$12+1,1))</f>
        <v>302.6112905010138</v>
      </c>
      <c r="CE83" s="62">
        <f t="shared" si="94"/>
        <v>423.44006663873375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3.0972609193223546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3.0972609193223546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187.13674266165236</v>
      </c>
      <c r="T84" s="62">
        <f t="shared" si="88"/>
        <v>439.28159165815276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3</v>
      </c>
      <c r="AI84" s="14">
        <f>IF('Données projet'!$A$62&gt;35,AI83+AH84-AQ83,IF(A84&lt;'Données projet'!$A$62,$AF$205^A84,IF(A84='Données projet'!$A$62,'Données projet'!$B$62,AI83+AH84-AQ83)))</f>
        <v>222.99999999999991</v>
      </c>
      <c r="AJ84" s="14">
        <f>AI84*VLOOKUP('Données projet'!$B$10,Paramètres!$A$1:$I$89,3,0)*VLOOKUP('Données projet'!$B$10,Paramètres!$A$1:$I$89,5,0)</f>
        <v>194.81279999999995</v>
      </c>
      <c r="AK84" s="14">
        <f t="shared" si="89"/>
        <v>48.602440540253859</v>
      </c>
      <c r="AL84" s="22">
        <f t="shared" si="58"/>
        <v>423.9482106076087</v>
      </c>
      <c r="AM84" s="62">
        <f t="shared" si="59"/>
        <v>717.28154394094202</v>
      </c>
      <c r="AN84" s="62">
        <f ca="1">AVERAGE(OFFSET($AM$3,0,0,'Données projet'!$E$10+1,1))-AVERAGE(OFFSET($H$3,0,0,'Données projet'!$E$10+1,1))</f>
        <v>327.826081588335</v>
      </c>
      <c r="AO84" s="62">
        <f t="shared" si="90"/>
        <v>348.84706693879735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3.8527533875247499</v>
      </c>
      <c r="AW84" s="23">
        <f>EXP(-LN(2)/2)*AW83+(1-EXP(-LN(2)/2))/(LN(2)/2)*AQ84*AT84*VLOOKUP('Données projet'!$B$10,Paramètres!$A$1:$I$89,3,0)*0.475*44/12</f>
        <v>3.1388390487371314E-7</v>
      </c>
      <c r="AX84" s="23">
        <f t="shared" si="60"/>
        <v>3.852753701408655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1.1368683772161603E-13</v>
      </c>
      <c r="BE84" s="14">
        <f>BD84*VLOOKUP('Données projet'!$B$11,Paramètres!$A$1:$I$89,3,0)*VLOOKUP('Données projet'!$B$11,Paramètres!$A$1:$I$89,5,0)</f>
        <v>6.7984728957526396E-14</v>
      </c>
      <c r="BF84" s="14">
        <f t="shared" si="91"/>
        <v>1.0682447123141398E-12</v>
      </c>
      <c r="BG84" s="22">
        <f t="shared" si="61"/>
        <v>1.978932943548152E-12</v>
      </c>
      <c r="BH84" s="62">
        <f t="shared" si="62"/>
        <v>293.3333333333353</v>
      </c>
      <c r="BI84" s="62">
        <f ca="1">AVERAGE(OFFSET($BH$3,0,0,'Données projet'!$E$11+1,1))-AVERAGE(OFFSET($H$3,0,0,'Données projet'!$E$11+1,1))</f>
        <v>187.13674266165236</v>
      </c>
      <c r="BJ84" s="62">
        <f t="shared" si="92"/>
        <v>439.28159165815276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19.420024191096402</v>
      </c>
      <c r="BQ84" s="23">
        <f>EXP(-LN(2)/25)*BQ83+(1-EXP(-LN(2)/25))/(LN(2)/25)*Calculateur!BL84*Calculateur!BN84*VLOOKUP('Données projet'!$B$11,Paramètres!$A$1:$I$89,3,0)*0.475*44/12</f>
        <v>10.686758016881974</v>
      </c>
      <c r="BR84" s="23">
        <f>EXP(-LN(2)/2)*BR83+(1-EXP(-LN(2)/2))/(LN(2)/2)*BL84*BO84*VLOOKUP('Données projet'!$B$11,Paramètres!$A$1:$I$89,3,0)*0.475*44/12</f>
        <v>9.1811398352556695E-7</v>
      </c>
      <c r="BS84" s="24">
        <f t="shared" si="63"/>
        <v>30.10678312609236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1.9895196601282805E-13</v>
      </c>
      <c r="BZ84" s="14">
        <f>BY84*VLOOKUP('Données projet'!$B$12,Paramètres!$A$1:$I$89,3,0)*VLOOKUP('Données projet'!$B$12,Paramètres!$A$1:$I$89,5,0)</f>
        <v>1.8001173884840681E-13</v>
      </c>
      <c r="CA84" s="14">
        <f t="shared" si="93"/>
        <v>2.5254331426407198E-12</v>
      </c>
      <c r="CB84" s="22">
        <f t="shared" si="64"/>
        <v>4.7119831685935622E-12</v>
      </c>
      <c r="CC84" s="62">
        <f t="shared" si="65"/>
        <v>293.33333333333803</v>
      </c>
      <c r="CD84" s="62">
        <f ca="1">AVERAGE(OFFSET($CC$3,0,0,'Données projet'!$E$12+1,1))-AVERAGE(OFFSET($H$3,0,0,'Données projet'!$E$12+1,1))</f>
        <v>302.6112905010138</v>
      </c>
      <c r="CE84" s="62">
        <f t="shared" si="94"/>
        <v>423.44006663873375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3.0365255218370666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3.0365255218370666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187.13674266165236</v>
      </c>
      <c r="T85" s="62">
        <f t="shared" si="88"/>
        <v>439.28159165815276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3</v>
      </c>
      <c r="AI85" s="14">
        <f>IF('Données projet'!$A$62&gt;35,AI84+AH85-AQ84,IF(A85&lt;'Données projet'!$A$62,$AF$205^A85,IF(A85='Données projet'!$A$62,'Données projet'!$B$62,AI84+AH85-AQ84)))</f>
        <v>225.99999999999991</v>
      </c>
      <c r="AJ85" s="14">
        <f>AI85*VLOOKUP('Données projet'!$B$10,Paramètres!$A$1:$I$89,3,0)*VLOOKUP('Données projet'!$B$10,Paramètres!$A$1:$I$89,5,0)</f>
        <v>197.43359999999996</v>
      </c>
      <c r="AK85" s="14">
        <f t="shared" si="89"/>
        <v>49.179727436837609</v>
      </c>
      <c r="AL85" s="22">
        <f t="shared" si="58"/>
        <v>429.51821195249204</v>
      </c>
      <c r="AM85" s="62">
        <f t="shared" si="59"/>
        <v>722.8515452858253</v>
      </c>
      <c r="AN85" s="62">
        <f ca="1">AVERAGE(OFFSET($AM$3,0,0,'Données projet'!$E$10+1,1))-AVERAGE(OFFSET($H$3,0,0,'Données projet'!$E$10+1,1))</f>
        <v>327.826081588335</v>
      </c>
      <c r="AO85" s="62">
        <f t="shared" si="90"/>
        <v>348.84706693879735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3.7473996435353905</v>
      </c>
      <c r="AW85" s="23">
        <f>EXP(-LN(2)/2)*AW84+(1-EXP(-LN(2)/2))/(LN(2)/2)*AQ85*AT85*VLOOKUP('Données projet'!$B$10,Paramètres!$A$1:$I$89,3,0)*0.475*44/12</f>
        <v>2.2194943764151578E-7</v>
      </c>
      <c r="AX85" s="23">
        <f t="shared" si="60"/>
        <v>3.747399865484828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1.1368683772161603E-13</v>
      </c>
      <c r="BE85" s="14">
        <f>BD85*VLOOKUP('Données projet'!$B$11,Paramètres!$A$1:$I$89,3,0)*VLOOKUP('Données projet'!$B$11,Paramètres!$A$1:$I$89,5,0)</f>
        <v>6.7984728957526396E-14</v>
      </c>
      <c r="BF85" s="14">
        <f t="shared" si="91"/>
        <v>1.0682447123141398E-12</v>
      </c>
      <c r="BG85" s="22">
        <f t="shared" si="61"/>
        <v>1.978932943548152E-12</v>
      </c>
      <c r="BH85" s="62">
        <f t="shared" si="62"/>
        <v>293.3333333333353</v>
      </c>
      <c r="BI85" s="62">
        <f ca="1">AVERAGE(OFFSET($BH$3,0,0,'Données projet'!$E$11+1,1))-AVERAGE(OFFSET($H$3,0,0,'Données projet'!$E$11+1,1))</f>
        <v>187.13674266165236</v>
      </c>
      <c r="BJ85" s="62">
        <f t="shared" si="92"/>
        <v>439.28159165815276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19.039209361754157</v>
      </c>
      <c r="BQ85" s="23">
        <f>EXP(-LN(2)/25)*BQ84+(1-EXP(-LN(2)/25))/(LN(2)/25)*Calculateur!BL85*Calculateur!BN85*VLOOKUP('Données projet'!$B$11,Paramètres!$A$1:$I$89,3,0)*0.475*44/12</f>
        <v>10.394528056918157</v>
      </c>
      <c r="BR85" s="23">
        <f>EXP(-LN(2)/2)*BR84+(1-EXP(-LN(2)/2))/(LN(2)/2)*BL85*BO85*VLOOKUP('Données projet'!$B$11,Paramètres!$A$1:$I$89,3,0)*0.475*44/12</f>
        <v>6.4920462365312265E-7</v>
      </c>
      <c r="BS85" s="24">
        <f t="shared" si="63"/>
        <v>29.433738067876938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1.9895196601282805E-13</v>
      </c>
      <c r="BZ85" s="14">
        <f>BY85*VLOOKUP('Données projet'!$B$12,Paramètres!$A$1:$I$89,3,0)*VLOOKUP('Données projet'!$B$12,Paramètres!$A$1:$I$89,5,0)</f>
        <v>1.8001173884840681E-13</v>
      </c>
      <c r="CA85" s="14">
        <f t="shared" si="93"/>
        <v>2.5254331426407198E-12</v>
      </c>
      <c r="CB85" s="22">
        <f t="shared" si="64"/>
        <v>4.7119831685935622E-12</v>
      </c>
      <c r="CC85" s="62">
        <f t="shared" si="65"/>
        <v>293.33333333333803</v>
      </c>
      <c r="CD85" s="62">
        <f ca="1">AVERAGE(OFFSET($CC$3,0,0,'Données projet'!$E$12+1,1))-AVERAGE(OFFSET($H$3,0,0,'Données projet'!$E$12+1,1))</f>
        <v>302.6112905010138</v>
      </c>
      <c r="CE85" s="62">
        <f t="shared" si="94"/>
        <v>423.44006663873375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2.9769811084515307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2.9769811084515307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187.13674266165236</v>
      </c>
      <c r="T86" s="62">
        <f t="shared" si="88"/>
        <v>439.28159165815276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3</v>
      </c>
      <c r="AI86" s="14">
        <f>IF('Données projet'!$A$62&gt;35,AI85+AH86-AQ85,IF(A86&lt;'Données projet'!$A$62,$AF$205^A86,IF(A86='Données projet'!$A$62,'Données projet'!$B$62,AI85+AH86-AQ85)))</f>
        <v>228.99999999999991</v>
      </c>
      <c r="AJ86" s="14">
        <f>AI86*VLOOKUP('Données projet'!$B$10,Paramètres!$A$1:$I$89,3,0)*VLOOKUP('Données projet'!$B$10,Paramètres!$A$1:$I$89,5,0)</f>
        <v>200.05439999999993</v>
      </c>
      <c r="AK86" s="14">
        <f t="shared" si="89"/>
        <v>49.756123009618186</v>
      </c>
      <c r="AL86" s="22">
        <f t="shared" si="58"/>
        <v>435.0866609084182</v>
      </c>
      <c r="AM86" s="62">
        <f t="shared" si="59"/>
        <v>728.41999424175151</v>
      </c>
      <c r="AN86" s="62">
        <f ca="1">AVERAGE(OFFSET($AM$3,0,0,'Données projet'!$E$10+1,1))-AVERAGE(OFFSET($H$3,0,0,'Données projet'!$E$10+1,1))</f>
        <v>327.826081588335</v>
      </c>
      <c r="AO86" s="62">
        <f t="shared" si="90"/>
        <v>348.84706693879735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3.6449268032157329</v>
      </c>
      <c r="AW86" s="23">
        <f>EXP(-LN(2)/2)*AW85+(1-EXP(-LN(2)/2))/(LN(2)/2)*AQ86*AT86*VLOOKUP('Données projet'!$B$10,Paramètres!$A$1:$I$89,3,0)*0.475*44/12</f>
        <v>1.5694195243685657E-7</v>
      </c>
      <c r="AX86" s="23">
        <f t="shared" si="60"/>
        <v>3.6449269601576852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1.1368683772161603E-13</v>
      </c>
      <c r="BE86" s="14">
        <f>BD86*VLOOKUP('Données projet'!$B$11,Paramètres!$A$1:$I$89,3,0)*VLOOKUP('Données projet'!$B$11,Paramètres!$A$1:$I$89,5,0)</f>
        <v>6.7984728957526396E-14</v>
      </c>
      <c r="BF86" s="14">
        <f t="shared" si="91"/>
        <v>1.0682447123141398E-12</v>
      </c>
      <c r="BG86" s="22">
        <f t="shared" si="61"/>
        <v>1.978932943548152E-12</v>
      </c>
      <c r="BH86" s="62">
        <f t="shared" si="62"/>
        <v>293.3333333333353</v>
      </c>
      <c r="BI86" s="62">
        <f ca="1">AVERAGE(OFFSET($BH$3,0,0,'Données projet'!$E$11+1,1))-AVERAGE(OFFSET($H$3,0,0,'Données projet'!$E$11+1,1))</f>
        <v>187.13674266165236</v>
      </c>
      <c r="BJ86" s="62">
        <f t="shared" si="92"/>
        <v>439.28159165815276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18.665862078941203</v>
      </c>
      <c r="BQ86" s="23">
        <f>EXP(-LN(2)/25)*BQ85+(1-EXP(-LN(2)/25))/(LN(2)/25)*Calculateur!BL86*Calculateur!BN86*VLOOKUP('Données projet'!$B$11,Paramètres!$A$1:$I$89,3,0)*0.475*44/12</f>
        <v>10.110289140577256</v>
      </c>
      <c r="BR86" s="23">
        <f>EXP(-LN(2)/2)*BR85+(1-EXP(-LN(2)/2))/(LN(2)/2)*BL86*BO86*VLOOKUP('Données projet'!$B$11,Paramètres!$A$1:$I$89,3,0)*0.475*44/12</f>
        <v>4.5905699176278358E-7</v>
      </c>
      <c r="BS86" s="24">
        <f t="shared" si="63"/>
        <v>28.776151678575452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1.9895196601282805E-13</v>
      </c>
      <c r="BZ86" s="14">
        <f>BY86*VLOOKUP('Données projet'!$B$12,Paramètres!$A$1:$I$89,3,0)*VLOOKUP('Données projet'!$B$12,Paramètres!$A$1:$I$89,5,0)</f>
        <v>1.8001173884840681E-13</v>
      </c>
      <c r="CA86" s="14">
        <f t="shared" si="93"/>
        <v>2.5254331426407198E-12</v>
      </c>
      <c r="CB86" s="22">
        <f t="shared" si="64"/>
        <v>4.7119831685935622E-12</v>
      </c>
      <c r="CC86" s="62">
        <f t="shared" si="65"/>
        <v>293.33333333333803</v>
      </c>
      <c r="CD86" s="62">
        <f ca="1">AVERAGE(OFFSET($CC$3,0,0,'Données projet'!$E$12+1,1))-AVERAGE(OFFSET($H$3,0,0,'Données projet'!$E$12+1,1))</f>
        <v>302.6112905010138</v>
      </c>
      <c r="CE86" s="62">
        <f t="shared" si="94"/>
        <v>423.44006663873375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2.918604324693979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2.918604324693979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187.13674266165236</v>
      </c>
      <c r="T87" s="62">
        <f t="shared" si="88"/>
        <v>439.28159165815276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3</v>
      </c>
      <c r="AI87" s="14">
        <f>IF('Données projet'!$A$62&gt;35,AI86+AH87-AQ86,IF(A87&lt;'Données projet'!$A$62,$AF$205^A87,IF(A87='Données projet'!$A$62,'Données projet'!$B$62,AI86+AH87-AQ86)))</f>
        <v>231.99999999999991</v>
      </c>
      <c r="AJ87" s="14">
        <f>AI87*VLOOKUP('Données projet'!$B$10,Paramètres!$A$1:$I$89,3,0)*VLOOKUP('Données projet'!$B$10,Paramètres!$A$1:$I$89,5,0)</f>
        <v>202.67519999999993</v>
      </c>
      <c r="AK87" s="14">
        <f t="shared" si="89"/>
        <v>50.33164028531364</v>
      </c>
      <c r="AL87" s="22">
        <f t="shared" si="58"/>
        <v>440.65358016358778</v>
      </c>
      <c r="AM87" s="62">
        <f t="shared" si="59"/>
        <v>733.98691349692103</v>
      </c>
      <c r="AN87" s="62">
        <f ca="1">AVERAGE(OFFSET($AM$3,0,0,'Données projet'!$E$10+1,1))-AVERAGE(OFFSET($H$3,0,0,'Données projet'!$E$10+1,1))</f>
        <v>327.826081588335</v>
      </c>
      <c r="AO87" s="62">
        <f t="shared" si="90"/>
        <v>348.84706693879735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3.5452560881034287</v>
      </c>
      <c r="AW87" s="23">
        <f>EXP(-LN(2)/2)*AW86+(1-EXP(-LN(2)/2))/(LN(2)/2)*AQ87*AT87*VLOOKUP('Données projet'!$B$10,Paramètres!$A$1:$I$89,3,0)*0.475*44/12</f>
        <v>1.1097471882075789E-7</v>
      </c>
      <c r="AX87" s="23">
        <f t="shared" si="60"/>
        <v>3.5452561990781475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1.1368683772161603E-13</v>
      </c>
      <c r="BE87" s="14">
        <f>BD87*VLOOKUP('Données projet'!$B$11,Paramètres!$A$1:$I$89,3,0)*VLOOKUP('Données projet'!$B$11,Paramètres!$A$1:$I$89,5,0)</f>
        <v>6.7984728957526396E-14</v>
      </c>
      <c r="BF87" s="14">
        <f t="shared" si="91"/>
        <v>1.0682447123141398E-12</v>
      </c>
      <c r="BG87" s="22">
        <f t="shared" si="61"/>
        <v>1.978932943548152E-12</v>
      </c>
      <c r="BH87" s="62">
        <f t="shared" si="62"/>
        <v>293.3333333333353</v>
      </c>
      <c r="BI87" s="62">
        <f ca="1">AVERAGE(OFFSET($BH$3,0,0,'Données projet'!$E$11+1,1))-AVERAGE(OFFSET($H$3,0,0,'Données projet'!$E$11+1,1))</f>
        <v>187.13674266165236</v>
      </c>
      <c r="BJ87" s="62">
        <f t="shared" si="92"/>
        <v>439.28159165815276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18.299835908624853</v>
      </c>
      <c r="BQ87" s="23">
        <f>EXP(-LN(2)/25)*BQ86+(1-EXP(-LN(2)/25))/(LN(2)/25)*Calculateur!BL87*Calculateur!BN87*VLOOKUP('Données projet'!$B$11,Paramètres!$A$1:$I$89,3,0)*0.475*44/12</f>
        <v>9.833822752351173</v>
      </c>
      <c r="BR87" s="23">
        <f>EXP(-LN(2)/2)*BR86+(1-EXP(-LN(2)/2))/(LN(2)/2)*BL87*BO87*VLOOKUP('Données projet'!$B$11,Paramètres!$A$1:$I$89,3,0)*0.475*44/12</f>
        <v>3.2460231182656138E-7</v>
      </c>
      <c r="BS87" s="24">
        <f t="shared" si="63"/>
        <v>28.133658985578336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1.9895196601282805E-13</v>
      </c>
      <c r="BZ87" s="14">
        <f>BY87*VLOOKUP('Données projet'!$B$12,Paramètres!$A$1:$I$89,3,0)*VLOOKUP('Données projet'!$B$12,Paramètres!$A$1:$I$89,5,0)</f>
        <v>1.8001173884840681E-13</v>
      </c>
      <c r="CA87" s="14">
        <f t="shared" si="93"/>
        <v>2.5254331426407198E-12</v>
      </c>
      <c r="CB87" s="22">
        <f t="shared" si="64"/>
        <v>4.7119831685935622E-12</v>
      </c>
      <c r="CC87" s="62">
        <f t="shared" si="65"/>
        <v>293.33333333333803</v>
      </c>
      <c r="CD87" s="62">
        <f ca="1">AVERAGE(OFFSET($CC$3,0,0,'Données projet'!$E$12+1,1))-AVERAGE(OFFSET($H$3,0,0,'Données projet'!$E$12+1,1))</f>
        <v>302.6112905010138</v>
      </c>
      <c r="CE87" s="62">
        <f t="shared" si="94"/>
        <v>423.44006663873375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2.8613722740595908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2.8613722740595908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187.13674266165236</v>
      </c>
      <c r="T88" s="62">
        <f t="shared" si="88"/>
        <v>439.28159165815276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235</v>
      </c>
      <c r="AG88" s="13">
        <f>VLOOKUP(A88,'Données projet'!$A$61:$I$81,9,0)</f>
        <v>3</v>
      </c>
      <c r="AH88" s="13">
        <f t="array" ref="AH88">INDEX(AG:AG,MIN(IF(ISNUMBER(AG88:AG284),ROW(AG88:AG284),"")))</f>
        <v>3</v>
      </c>
      <c r="AI88" s="14">
        <f>IF('Données projet'!$A$62&gt;35,AI87+AH88-AQ87,IF(A88&lt;'Données projet'!$A$62,$AF$205^A88,IF(A88='Données projet'!$A$62,'Données projet'!$B$62,AI87+AH88-AQ87)))</f>
        <v>234.99999999999991</v>
      </c>
      <c r="AJ88" s="14">
        <f>AI88*VLOOKUP('Données projet'!$B$10,Paramètres!$A$1:$I$89,3,0)*VLOOKUP('Données projet'!$B$10,Paramètres!$A$1:$I$89,5,0)</f>
        <v>205.29599999999996</v>
      </c>
      <c r="AK88" s="14">
        <f t="shared" si="89"/>
        <v>50.906291934375353</v>
      </c>
      <c r="AL88" s="22">
        <f t="shared" si="58"/>
        <v>446.21899178570357</v>
      </c>
      <c r="AM88" s="62">
        <f t="shared" si="59"/>
        <v>739.55232511903682</v>
      </c>
      <c r="AN88" s="62">
        <f ca="1">AVERAGE(OFFSET($AM$3,0,0,'Données projet'!$E$10+1,1))-AVERAGE(OFFSET($H$3,0,0,'Données projet'!$E$10+1,1))</f>
        <v>327.826081588335</v>
      </c>
      <c r="AO88" s="62">
        <f t="shared" si="90"/>
        <v>348.84706693879735</v>
      </c>
      <c r="AP88" s="16">
        <f>IF(ISNA(VLOOKUP(A88,'Données projet'!$A$61:$I$81,3,0)),0,VLOOKUP(A88,'Données projet'!$A$61:$I$81,3,0))</f>
        <v>14</v>
      </c>
      <c r="AQ88" s="16">
        <f>IF(ISNA(VLOOKUP(A88,'Données projet'!$A$61:$I$81,4,0)),0,VLOOKUP(A88,'Données projet'!$A$61:$I$81,4,0))</f>
        <v>12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3.4483108739373254</v>
      </c>
      <c r="AW88" s="23">
        <f>EXP(-LN(2)/2)*AW87+(1-EXP(-LN(2)/2))/(LN(2)/2)*AQ88*AT88*VLOOKUP('Données projet'!$B$10,Paramètres!$A$1:$I$89,3,0)*0.475*44/12</f>
        <v>7.8470976218428284E-8</v>
      </c>
      <c r="AX88" s="23">
        <f t="shared" si="60"/>
        <v>3.4483109524083018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1.1368683772161603E-13</v>
      </c>
      <c r="BE88" s="14">
        <f>BD88*VLOOKUP('Données projet'!$B$11,Paramètres!$A$1:$I$89,3,0)*VLOOKUP('Données projet'!$B$11,Paramètres!$A$1:$I$89,5,0)</f>
        <v>6.7984728957526396E-14</v>
      </c>
      <c r="BF88" s="14">
        <f t="shared" si="91"/>
        <v>1.0682447123141398E-12</v>
      </c>
      <c r="BG88" s="22">
        <f t="shared" si="61"/>
        <v>1.978932943548152E-12</v>
      </c>
      <c r="BH88" s="62">
        <f t="shared" si="62"/>
        <v>293.3333333333353</v>
      </c>
      <c r="BI88" s="62">
        <f ca="1">AVERAGE(OFFSET($BH$3,0,0,'Données projet'!$E$11+1,1))-AVERAGE(OFFSET($H$3,0,0,'Données projet'!$E$11+1,1))</f>
        <v>187.13674266165236</v>
      </c>
      <c r="BJ88" s="62">
        <f t="shared" si="92"/>
        <v>439.28159165815276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17.940987288254487</v>
      </c>
      <c r="BQ88" s="23">
        <f>EXP(-LN(2)/25)*BQ87+(1-EXP(-LN(2)/25))/(LN(2)/25)*Calculateur!BL88*Calculateur!BN88*VLOOKUP('Données projet'!$B$11,Paramètres!$A$1:$I$89,3,0)*0.475*44/12</f>
        <v>9.5649163520498668</v>
      </c>
      <c r="BR88" s="23">
        <f>EXP(-LN(2)/2)*BR87+(1-EXP(-LN(2)/2))/(LN(2)/2)*BL88*BO88*VLOOKUP('Données projet'!$B$11,Paramètres!$A$1:$I$89,3,0)*0.475*44/12</f>
        <v>2.2952849588139182E-7</v>
      </c>
      <c r="BS88" s="24">
        <f t="shared" si="63"/>
        <v>27.505903869832849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1.9895196601282805E-13</v>
      </c>
      <c r="BZ88" s="14">
        <f>BY88*VLOOKUP('Données projet'!$B$12,Paramètres!$A$1:$I$89,3,0)*VLOOKUP('Données projet'!$B$12,Paramètres!$A$1:$I$89,5,0)</f>
        <v>1.8001173884840681E-13</v>
      </c>
      <c r="CA88" s="14">
        <f t="shared" si="93"/>
        <v>2.5254331426407198E-12</v>
      </c>
      <c r="CB88" s="22">
        <f t="shared" si="64"/>
        <v>4.7119831685935622E-12</v>
      </c>
      <c r="CC88" s="62">
        <f t="shared" si="65"/>
        <v>293.33333333333803</v>
      </c>
      <c r="CD88" s="62">
        <f ca="1">AVERAGE(OFFSET($CC$3,0,0,'Données projet'!$E$12+1,1))-AVERAGE(OFFSET($H$3,0,0,'Données projet'!$E$12+1,1))</f>
        <v>302.6112905010138</v>
      </c>
      <c r="CE88" s="62">
        <f t="shared" si="94"/>
        <v>423.44006663873375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2.8052625090300389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2.8052625090300389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187.13674266165236</v>
      </c>
      <c r="T89" s="62">
        <f t="shared" si="88"/>
        <v>439.28159165815276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2.6</v>
      </c>
      <c r="AI89" s="14">
        <f>IF('Données projet'!$A$62&gt;35,AI88+AH89-AQ88,IF(A89&lt;'Données projet'!$A$62,$AF$205^A89,IF(A89='Données projet'!$A$62,'Données projet'!$B$62,AI88+AH89-AQ88)))</f>
        <v>225.59999999999991</v>
      </c>
      <c r="AJ89" s="14">
        <f>AI89*VLOOKUP('Données projet'!$B$10,Paramètres!$A$1:$I$89,3,0)*VLOOKUP('Données projet'!$B$10,Paramètres!$A$1:$I$89,5,0)</f>
        <v>197.08415999999994</v>
      </c>
      <c r="AK89" s="14">
        <f t="shared" si="89"/>
        <v>49.102807637925878</v>
      </c>
      <c r="AL89" s="22">
        <f t="shared" si="58"/>
        <v>428.77563530272073</v>
      </c>
      <c r="AM89" s="62">
        <f t="shared" si="59"/>
        <v>722.10896863605399</v>
      </c>
      <c r="AN89" s="62">
        <f ca="1">AVERAGE(OFFSET($AM$3,0,0,'Données projet'!$E$10+1,1))-AVERAGE(OFFSET($H$3,0,0,'Données projet'!$E$10+1,1))</f>
        <v>327.826081588335</v>
      </c>
      <c r="AO89" s="62">
        <f t="shared" si="90"/>
        <v>348.84706693879735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3.3540166317507216</v>
      </c>
      <c r="AW89" s="23">
        <f>EXP(-LN(2)/2)*AW88+(1-EXP(-LN(2)/2))/(LN(2)/2)*AQ89*AT89*VLOOKUP('Données projet'!$B$10,Paramètres!$A$1:$I$89,3,0)*0.475*44/12</f>
        <v>5.5487359410378944E-8</v>
      </c>
      <c r="AX89" s="23">
        <f t="shared" si="60"/>
        <v>3.3540166872380812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1.1368683772161603E-13</v>
      </c>
      <c r="BE89" s="14">
        <f>BD89*VLOOKUP('Données projet'!$B$11,Paramètres!$A$1:$I$89,3,0)*VLOOKUP('Données projet'!$B$11,Paramètres!$A$1:$I$89,5,0)</f>
        <v>6.7984728957526396E-14</v>
      </c>
      <c r="BF89" s="14">
        <f t="shared" si="91"/>
        <v>1.0682447123141398E-12</v>
      </c>
      <c r="BG89" s="22">
        <f t="shared" si="61"/>
        <v>1.978932943548152E-12</v>
      </c>
      <c r="BH89" s="62">
        <f t="shared" si="62"/>
        <v>293.3333333333353</v>
      </c>
      <c r="BI89" s="62">
        <f ca="1">AVERAGE(OFFSET($BH$3,0,0,'Données projet'!$E$11+1,1))-AVERAGE(OFFSET($H$3,0,0,'Données projet'!$E$11+1,1))</f>
        <v>187.13674266165236</v>
      </c>
      <c r="BJ89" s="62">
        <f t="shared" si="92"/>
        <v>439.28159165815276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17.589175470453537</v>
      </c>
      <c r="BQ89" s="23">
        <f>EXP(-LN(2)/25)*BQ88+(1-EXP(-LN(2)/25))/(LN(2)/25)*Calculateur!BL89*Calculateur!BN89*VLOOKUP('Données projet'!$B$11,Paramètres!$A$1:$I$89,3,0)*0.475*44/12</f>
        <v>9.3033632114059728</v>
      </c>
      <c r="BR89" s="23">
        <f>EXP(-LN(2)/2)*BR88+(1-EXP(-LN(2)/2))/(LN(2)/2)*BL89*BO89*VLOOKUP('Données projet'!$B$11,Paramètres!$A$1:$I$89,3,0)*0.475*44/12</f>
        <v>1.6230115591328072E-7</v>
      </c>
      <c r="BS89" s="24">
        <f t="shared" si="63"/>
        <v>26.892538844160665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1.9895196601282805E-13</v>
      </c>
      <c r="BZ89" s="14">
        <f>BY89*VLOOKUP('Données projet'!$B$12,Paramètres!$A$1:$I$89,3,0)*VLOOKUP('Données projet'!$B$12,Paramètres!$A$1:$I$89,5,0)</f>
        <v>1.8001173884840681E-13</v>
      </c>
      <c r="CA89" s="14">
        <f t="shared" si="93"/>
        <v>2.5254331426407198E-12</v>
      </c>
      <c r="CB89" s="22">
        <f t="shared" si="64"/>
        <v>4.7119831685935622E-12</v>
      </c>
      <c r="CC89" s="62">
        <f t="shared" si="65"/>
        <v>293.33333333333803</v>
      </c>
      <c r="CD89" s="62">
        <f ca="1">AVERAGE(OFFSET($CC$3,0,0,'Données projet'!$E$12+1,1))-AVERAGE(OFFSET($H$3,0,0,'Données projet'!$E$12+1,1))</f>
        <v>302.6112905010138</v>
      </c>
      <c r="CE89" s="62">
        <f t="shared" si="94"/>
        <v>423.44006663873375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2.7502530222691393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2.7502530222691393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187.13674266165236</v>
      </c>
      <c r="T90" s="62">
        <f t="shared" si="88"/>
        <v>439.28159165815276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2.6</v>
      </c>
      <c r="AI90" s="14">
        <f>IF('Données projet'!$A$62&gt;35,AI89+AH90-AQ89,IF(A90&lt;'Données projet'!$A$62,$AF$205^A90,IF(A90='Données projet'!$A$62,'Données projet'!$B$62,AI89+AH90-AQ89)))</f>
        <v>228.1999999999999</v>
      </c>
      <c r="AJ90" s="14">
        <f>AI90*VLOOKUP('Données projet'!$B$10,Paramètres!$A$1:$I$89,3,0)*VLOOKUP('Données projet'!$B$10,Paramètres!$A$1:$I$89,5,0)</f>
        <v>199.35551999999996</v>
      </c>
      <c r="AK90" s="14">
        <f t="shared" si="89"/>
        <v>49.602503932783179</v>
      </c>
      <c r="AL90" s="22">
        <f t="shared" si="58"/>
        <v>433.60189168293056</v>
      </c>
      <c r="AM90" s="62">
        <f t="shared" si="59"/>
        <v>726.93522501626387</v>
      </c>
      <c r="AN90" s="62">
        <f ca="1">AVERAGE(OFFSET($AM$3,0,0,'Données projet'!$E$10+1,1))-AVERAGE(OFFSET($H$3,0,0,'Données projet'!$E$10+1,1))</f>
        <v>327.826081588335</v>
      </c>
      <c r="AO90" s="62">
        <f t="shared" si="90"/>
        <v>348.84706693879735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3.2623008705754293</v>
      </c>
      <c r="AW90" s="23">
        <f>EXP(-LN(2)/2)*AW89+(1-EXP(-LN(2)/2))/(LN(2)/2)*AQ90*AT90*VLOOKUP('Données projet'!$B$10,Paramètres!$A$1:$I$89,3,0)*0.475*44/12</f>
        <v>3.9235488109214142E-8</v>
      </c>
      <c r="AX90" s="23">
        <f t="shared" si="60"/>
        <v>3.2623009098109175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1.1368683772161603E-13</v>
      </c>
      <c r="BE90" s="14">
        <f>BD90*VLOOKUP('Données projet'!$B$11,Paramètres!$A$1:$I$89,3,0)*VLOOKUP('Données projet'!$B$11,Paramètres!$A$1:$I$89,5,0)</f>
        <v>6.7984728957526396E-14</v>
      </c>
      <c r="BF90" s="14">
        <f t="shared" si="91"/>
        <v>1.0682447123141398E-12</v>
      </c>
      <c r="BG90" s="22">
        <f t="shared" si="61"/>
        <v>1.978932943548152E-12</v>
      </c>
      <c r="BH90" s="62">
        <f t="shared" si="62"/>
        <v>293.3333333333353</v>
      </c>
      <c r="BI90" s="62">
        <f ca="1">AVERAGE(OFFSET($BH$3,0,0,'Données projet'!$E$11+1,1))-AVERAGE(OFFSET($H$3,0,0,'Données projet'!$E$11+1,1))</f>
        <v>187.13674266165236</v>
      </c>
      <c r="BJ90" s="62">
        <f t="shared" si="92"/>
        <v>439.28159165815276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17.244262467815645</v>
      </c>
      <c r="BQ90" s="23">
        <f>EXP(-LN(2)/25)*BQ89+(1-EXP(-LN(2)/25))/(LN(2)/25)*Calculateur!BL90*Calculateur!BN90*VLOOKUP('Données projet'!$B$11,Paramètres!$A$1:$I$89,3,0)*0.475*44/12</f>
        <v>9.0489622551474689</v>
      </c>
      <c r="BR90" s="23">
        <f>EXP(-LN(2)/2)*BR89+(1-EXP(-LN(2)/2))/(LN(2)/2)*BL90*BO90*VLOOKUP('Données projet'!$B$11,Paramètres!$A$1:$I$89,3,0)*0.475*44/12</f>
        <v>1.1476424794069594E-7</v>
      </c>
      <c r="BS90" s="24">
        <f t="shared" si="63"/>
        <v>26.293224837727362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1.9895196601282805E-13</v>
      </c>
      <c r="BZ90" s="14">
        <f>BY90*VLOOKUP('Données projet'!$B$12,Paramètres!$A$1:$I$89,3,0)*VLOOKUP('Données projet'!$B$12,Paramètres!$A$1:$I$89,5,0)</f>
        <v>1.8001173884840681E-13</v>
      </c>
      <c r="CA90" s="14">
        <f t="shared" si="93"/>
        <v>2.5254331426407198E-12</v>
      </c>
      <c r="CB90" s="22">
        <f t="shared" si="64"/>
        <v>4.7119831685935622E-12</v>
      </c>
      <c r="CC90" s="62">
        <f t="shared" si="65"/>
        <v>293.33333333333803</v>
      </c>
      <c r="CD90" s="62">
        <f ca="1">AVERAGE(OFFSET($CC$3,0,0,'Données projet'!$E$12+1,1))-AVERAGE(OFFSET($H$3,0,0,'Données projet'!$E$12+1,1))</f>
        <v>302.6112905010138</v>
      </c>
      <c r="CE90" s="62">
        <f t="shared" si="94"/>
        <v>423.44006663873375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2.6963222379911467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2.6963222379911467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187.13674266165236</v>
      </c>
      <c r="T91" s="62">
        <f t="shared" si="88"/>
        <v>439.28159165815276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2.6</v>
      </c>
      <c r="AI91" s="14">
        <f>IF('Données projet'!$A$62&gt;35,AI90+AH91-AQ90,IF(A91&lt;'Données projet'!$A$62,$AF$205^A91,IF(A91='Données projet'!$A$62,'Données projet'!$B$62,AI90+AH91-AQ90)))</f>
        <v>230.7999999999999</v>
      </c>
      <c r="AJ91" s="14">
        <f>AI91*VLOOKUP('Données projet'!$B$10,Paramètres!$A$1:$I$89,3,0)*VLOOKUP('Données projet'!$B$10,Paramètres!$A$1:$I$89,5,0)</f>
        <v>201.62687999999994</v>
      </c>
      <c r="AK91" s="14">
        <f t="shared" si="89"/>
        <v>50.101537951964936</v>
      </c>
      <c r="AL91" s="22">
        <f t="shared" si="58"/>
        <v>438.42699459967213</v>
      </c>
      <c r="AM91" s="62">
        <f t="shared" si="59"/>
        <v>731.76032793300544</v>
      </c>
      <c r="AN91" s="62">
        <f ca="1">AVERAGE(OFFSET($AM$3,0,0,'Données projet'!$E$10+1,1))-AVERAGE(OFFSET($H$3,0,0,'Données projet'!$E$10+1,1))</f>
        <v>327.826081588335</v>
      </c>
      <c r="AO91" s="62">
        <f t="shared" si="90"/>
        <v>348.84706693879735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3.1730930817125973</v>
      </c>
      <c r="AW91" s="23">
        <f>EXP(-LN(2)/2)*AW90+(1-EXP(-LN(2)/2))/(LN(2)/2)*AQ91*AT91*VLOOKUP('Données projet'!$B$10,Paramètres!$A$1:$I$89,3,0)*0.475*44/12</f>
        <v>2.7743679705189472E-8</v>
      </c>
      <c r="AX91" s="23">
        <f t="shared" si="60"/>
        <v>3.1730931094562771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1.1368683772161603E-13</v>
      </c>
      <c r="BE91" s="14">
        <f>BD91*VLOOKUP('Données projet'!$B$11,Paramètres!$A$1:$I$89,3,0)*VLOOKUP('Données projet'!$B$11,Paramètres!$A$1:$I$89,5,0)</f>
        <v>6.7984728957526396E-14</v>
      </c>
      <c r="BF91" s="14">
        <f t="shared" si="91"/>
        <v>1.0682447123141398E-12</v>
      </c>
      <c r="BG91" s="22">
        <f t="shared" si="61"/>
        <v>1.978932943548152E-12</v>
      </c>
      <c r="BH91" s="62">
        <f t="shared" si="62"/>
        <v>293.3333333333353</v>
      </c>
      <c r="BI91" s="62">
        <f ca="1">AVERAGE(OFFSET($BH$3,0,0,'Données projet'!$E$11+1,1))-AVERAGE(OFFSET($H$3,0,0,'Données projet'!$E$11+1,1))</f>
        <v>187.13674266165236</v>
      </c>
      <c r="BJ91" s="62">
        <f t="shared" si="92"/>
        <v>439.28159165815276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16.906112998783325</v>
      </c>
      <c r="BQ91" s="23">
        <f>EXP(-LN(2)/25)*BQ90+(1-EXP(-LN(2)/25))/(LN(2)/25)*Calculateur!BL91*Calculateur!BN91*VLOOKUP('Données projet'!$B$11,Paramètres!$A$1:$I$89,3,0)*0.475*44/12</f>
        <v>8.8015179064162172</v>
      </c>
      <c r="BR91" s="23">
        <f>EXP(-LN(2)/2)*BR90+(1-EXP(-LN(2)/2))/(LN(2)/2)*BL91*BO91*VLOOKUP('Données projet'!$B$11,Paramètres!$A$1:$I$89,3,0)*0.475*44/12</f>
        <v>8.1150577956640371E-8</v>
      </c>
      <c r="BS91" s="24">
        <f t="shared" si="63"/>
        <v>25.707630986350122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1.9895196601282805E-13</v>
      </c>
      <c r="BZ91" s="14">
        <f>BY91*VLOOKUP('Données projet'!$B$12,Paramètres!$A$1:$I$89,3,0)*VLOOKUP('Données projet'!$B$12,Paramètres!$A$1:$I$89,5,0)</f>
        <v>1.8001173884840681E-13</v>
      </c>
      <c r="CA91" s="14">
        <f t="shared" si="93"/>
        <v>2.5254331426407198E-12</v>
      </c>
      <c r="CB91" s="22">
        <f t="shared" si="64"/>
        <v>4.7119831685935622E-12</v>
      </c>
      <c r="CC91" s="62">
        <f t="shared" si="65"/>
        <v>293.33333333333803</v>
      </c>
      <c r="CD91" s="62">
        <f ca="1">AVERAGE(OFFSET($CC$3,0,0,'Données projet'!$E$12+1,1))-AVERAGE(OFFSET($H$3,0,0,'Données projet'!$E$12+1,1))</f>
        <v>302.6112905010138</v>
      </c>
      <c r="CE91" s="62">
        <f t="shared" si="94"/>
        <v>423.44006663873375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2.6434490034983154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2.6434490034983154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187.13674266165236</v>
      </c>
      <c r="T92" s="62">
        <f t="shared" si="88"/>
        <v>439.28159165815276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2.6</v>
      </c>
      <c r="AI92" s="14">
        <f>IF('Données projet'!$A$62&gt;35,AI91+AH92-AQ91,IF(A92&lt;'Données projet'!$A$62,$AF$205^A92,IF(A92='Données projet'!$A$62,'Données projet'!$B$62,AI91+AH92-AQ91)))</f>
        <v>233.39999999999989</v>
      </c>
      <c r="AJ92" s="14">
        <f>AI92*VLOOKUP('Données projet'!$B$10,Paramètres!$A$1:$I$89,3,0)*VLOOKUP('Données projet'!$B$10,Paramètres!$A$1:$I$89,5,0)</f>
        <v>203.89823999999993</v>
      </c>
      <c r="AK92" s="14">
        <f t="shared" si="89"/>
        <v>50.59991801943017</v>
      </c>
      <c r="AL92" s="22">
        <f t="shared" si="58"/>
        <v>443.25095855050739</v>
      </c>
      <c r="AM92" s="62">
        <f t="shared" si="59"/>
        <v>736.58429188384071</v>
      </c>
      <c r="AN92" s="62">
        <f ca="1">AVERAGE(OFFSET($AM$3,0,0,'Données projet'!$E$10+1,1))-AVERAGE(OFFSET($H$3,0,0,'Données projet'!$E$10+1,1))</f>
        <v>327.826081588335</v>
      </c>
      <c r="AO92" s="62">
        <f t="shared" si="90"/>
        <v>348.84706693879735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3.0863246845274532</v>
      </c>
      <c r="AW92" s="23">
        <f>EXP(-LN(2)/2)*AW91+(1-EXP(-LN(2)/2))/(LN(2)/2)*AQ92*AT92*VLOOKUP('Données projet'!$B$10,Paramètres!$A$1:$I$89,3,0)*0.475*44/12</f>
        <v>1.9617744054607071E-8</v>
      </c>
      <c r="AX92" s="23">
        <f t="shared" si="60"/>
        <v>3.0863247041451971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1.1368683772161603E-13</v>
      </c>
      <c r="BE92" s="14">
        <f>BD92*VLOOKUP('Données projet'!$B$11,Paramètres!$A$1:$I$89,3,0)*VLOOKUP('Données projet'!$B$11,Paramètres!$A$1:$I$89,5,0)</f>
        <v>6.7984728957526396E-14</v>
      </c>
      <c r="BF92" s="14">
        <f t="shared" si="91"/>
        <v>1.0682447123141398E-12</v>
      </c>
      <c r="BG92" s="22">
        <f t="shared" si="61"/>
        <v>1.978932943548152E-12</v>
      </c>
      <c r="BH92" s="62">
        <f t="shared" si="62"/>
        <v>293.3333333333353</v>
      </c>
      <c r="BI92" s="62">
        <f ca="1">AVERAGE(OFFSET($BH$3,0,0,'Données projet'!$E$11+1,1))-AVERAGE(OFFSET($H$3,0,0,'Données projet'!$E$11+1,1))</f>
        <v>187.13674266165236</v>
      </c>
      <c r="BJ92" s="62">
        <f t="shared" si="92"/>
        <v>439.28159165815276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16.574594434587915</v>
      </c>
      <c r="BQ92" s="23">
        <f>EXP(-LN(2)/25)*BQ91+(1-EXP(-LN(2)/25))/(LN(2)/25)*Calculateur!BL92*Calculateur!BN92*VLOOKUP('Données projet'!$B$11,Paramètres!$A$1:$I$89,3,0)*0.475*44/12</f>
        <v>8.5608399364135543</v>
      </c>
      <c r="BR92" s="23">
        <f>EXP(-LN(2)/2)*BR91+(1-EXP(-LN(2)/2))/(LN(2)/2)*BL92*BO92*VLOOKUP('Données projet'!$B$11,Paramètres!$A$1:$I$89,3,0)*0.475*44/12</f>
        <v>5.7382123970347974E-8</v>
      </c>
      <c r="BS92" s="24">
        <f t="shared" si="63"/>
        <v>25.135434428383594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1.9895196601282805E-13</v>
      </c>
      <c r="BZ92" s="14">
        <f>BY92*VLOOKUP('Données projet'!$B$12,Paramètres!$A$1:$I$89,3,0)*VLOOKUP('Données projet'!$B$12,Paramètres!$A$1:$I$89,5,0)</f>
        <v>1.8001173884840681E-13</v>
      </c>
      <c r="CA92" s="14">
        <f t="shared" si="93"/>
        <v>2.5254331426407198E-12</v>
      </c>
      <c r="CB92" s="22">
        <f t="shared" si="64"/>
        <v>4.7119831685935622E-12</v>
      </c>
      <c r="CC92" s="62">
        <f t="shared" si="65"/>
        <v>293.33333333333803</v>
      </c>
      <c r="CD92" s="62">
        <f ca="1">AVERAGE(OFFSET($CC$3,0,0,'Données projet'!$E$12+1,1))-AVERAGE(OFFSET($H$3,0,0,'Données projet'!$E$12+1,1))</f>
        <v>302.6112905010138</v>
      </c>
      <c r="CE92" s="62">
        <f t="shared" si="94"/>
        <v>423.44006663873375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2.5916125808843997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2.5916125808843997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187.13674266165236</v>
      </c>
      <c r="T93" s="62">
        <f t="shared" si="88"/>
        <v>439.28159165815276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236</v>
      </c>
      <c r="AG93" s="13">
        <f>VLOOKUP(A93,'Données projet'!$A$61:$I$81,9,0)</f>
        <v>2.6</v>
      </c>
      <c r="AH93" s="13">
        <f t="array" ref="AH93">INDEX(AG:AG,MIN(IF(ISNUMBER(AG93:AG289),ROW(AG93:AG289),"")))</f>
        <v>2.6</v>
      </c>
      <c r="AI93" s="14">
        <f>IF('Données projet'!$A$62&gt;35,AI92+AH93-AQ92,IF(A93&lt;'Données projet'!$A$62,$AF$205^A93,IF(A93='Données projet'!$A$62,'Données projet'!$B$62,AI92+AH93-AQ92)))</f>
        <v>235.99999999999989</v>
      </c>
      <c r="AJ93" s="14">
        <f>AI93*VLOOKUP('Données projet'!$B$10,Paramètres!$A$1:$I$89,3,0)*VLOOKUP('Données projet'!$B$10,Paramètres!$A$1:$I$89,5,0)</f>
        <v>206.16959999999992</v>
      </c>
      <c r="AK93" s="14">
        <f t="shared" si="89"/>
        <v>51.097652263007333</v>
      </c>
      <c r="AL93" s="22">
        <f t="shared" si="58"/>
        <v>448.07379769140431</v>
      </c>
      <c r="AM93" s="62">
        <f t="shared" si="59"/>
        <v>741.40713102473762</v>
      </c>
      <c r="AN93" s="62">
        <f ca="1">AVERAGE(OFFSET($AM$3,0,0,'Données projet'!$E$10+1,1))-AVERAGE(OFFSET($H$3,0,0,'Données projet'!$E$10+1,1))</f>
        <v>327.826081588335</v>
      </c>
      <c r="AO93" s="62">
        <f t="shared" si="90"/>
        <v>348.84706693879735</v>
      </c>
      <c r="AP93" s="16">
        <f>IF(ISNA(VLOOKUP(A93,'Données projet'!$A$61:$I$81,3,0)),0,VLOOKUP(A93,'Données projet'!$A$61:$I$81,3,0))</f>
        <v>15</v>
      </c>
      <c r="AQ93" s="16">
        <f>IF(ISNA(VLOOKUP(A93,'Données projet'!$A$61:$I$81,4,0)),0,VLOOKUP(A93,'Données projet'!$A$61:$I$81,4,0))</f>
        <v>236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3.0019289737262889</v>
      </c>
      <c r="AW93" s="23">
        <f>EXP(-LN(2)/2)*AW92+(1-EXP(-LN(2)/2))/(LN(2)/2)*AQ93*AT93*VLOOKUP('Données projet'!$B$10,Paramètres!$A$1:$I$89,3,0)*0.475*44/12</f>
        <v>1.3871839852594736E-8</v>
      </c>
      <c r="AX93" s="23">
        <f t="shared" si="60"/>
        <v>3.0019289875981285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1.1368683772161603E-13</v>
      </c>
      <c r="BE93" s="14">
        <f>BD93*VLOOKUP('Données projet'!$B$11,Paramètres!$A$1:$I$89,3,0)*VLOOKUP('Données projet'!$B$11,Paramètres!$A$1:$I$89,5,0)</f>
        <v>6.7984728957526396E-14</v>
      </c>
      <c r="BF93" s="14">
        <f t="shared" si="91"/>
        <v>1.0682447123141398E-12</v>
      </c>
      <c r="BG93" s="22">
        <f t="shared" si="61"/>
        <v>1.978932943548152E-12</v>
      </c>
      <c r="BH93" s="62">
        <f t="shared" si="62"/>
        <v>293.3333333333353</v>
      </c>
      <c r="BI93" s="62">
        <f ca="1">AVERAGE(OFFSET($BH$3,0,0,'Données projet'!$E$11+1,1))-AVERAGE(OFFSET($H$3,0,0,'Données projet'!$E$11+1,1))</f>
        <v>187.13674266165236</v>
      </c>
      <c r="BJ93" s="62">
        <f t="shared" si="92"/>
        <v>439.28159165815276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16.249576747230019</v>
      </c>
      <c r="BQ93" s="23">
        <f>EXP(-LN(2)/25)*BQ92+(1-EXP(-LN(2)/25))/(LN(2)/25)*Calculateur!BL93*Calculateur!BN93*VLOOKUP('Données projet'!$B$11,Paramètres!$A$1:$I$89,3,0)*0.475*44/12</f>
        <v>8.3267433181573196</v>
      </c>
      <c r="BR93" s="23">
        <f>EXP(-LN(2)/2)*BR92+(1-EXP(-LN(2)/2))/(LN(2)/2)*BL93*BO93*VLOOKUP('Données projet'!$B$11,Paramètres!$A$1:$I$89,3,0)*0.475*44/12</f>
        <v>4.0575288978320192E-8</v>
      </c>
      <c r="BS93" s="24">
        <f t="shared" si="63"/>
        <v>24.57632010596263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1.9895196601282805E-13</v>
      </c>
      <c r="BZ93" s="14">
        <f>BY93*VLOOKUP('Données projet'!$B$12,Paramètres!$A$1:$I$89,3,0)*VLOOKUP('Données projet'!$B$12,Paramètres!$A$1:$I$89,5,0)</f>
        <v>1.8001173884840681E-13</v>
      </c>
      <c r="CA93" s="14">
        <f t="shared" si="93"/>
        <v>2.5254331426407198E-12</v>
      </c>
      <c r="CB93" s="22">
        <f t="shared" si="64"/>
        <v>4.7119831685935622E-12</v>
      </c>
      <c r="CC93" s="62">
        <f t="shared" si="65"/>
        <v>293.33333333333803</v>
      </c>
      <c r="CD93" s="62">
        <f ca="1">AVERAGE(OFFSET($CC$3,0,0,'Données projet'!$E$12+1,1))-AVERAGE(OFFSET($H$3,0,0,'Données projet'!$E$12+1,1))</f>
        <v>302.6112905010138</v>
      </c>
      <c r="CE93" s="62">
        <f t="shared" si="94"/>
        <v>423.44006663873375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2.5407926389008471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2.5407926389008471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187.13674266165236</v>
      </c>
      <c r="T94" s="62">
        <f t="shared" si="88"/>
        <v>439.28159165815276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-1.1368683772161603E-13</v>
      </c>
      <c r="AJ94" s="14">
        <f>AI94*VLOOKUP('Données projet'!$B$10,Paramètres!$A$1:$I$89,3,0)*VLOOKUP('Données projet'!$B$10,Paramètres!$A$1:$I$89,5,0)</f>
        <v>-9.9316821433603781E-14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327.826081588335</v>
      </c>
      <c r="AO94" s="62">
        <f t="shared" si="90"/>
        <v>348.84706693879735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2.9198410680751596</v>
      </c>
      <c r="AW94" s="23">
        <f>EXP(-LN(2)/2)*AW93+(1-EXP(-LN(2)/2))/(LN(2)/2)*AQ94*AT94*VLOOKUP('Données projet'!$B$10,Paramètres!$A$1:$I$89,3,0)*0.475*44/12</f>
        <v>9.8088720273035356E-9</v>
      </c>
      <c r="AX94" s="23">
        <f t="shared" si="60"/>
        <v>2.9198410778840316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1.1368683772161603E-13</v>
      </c>
      <c r="BE94" s="14">
        <f>BD94*VLOOKUP('Données projet'!$B$11,Paramètres!$A$1:$I$89,3,0)*VLOOKUP('Données projet'!$B$11,Paramètres!$A$1:$I$89,5,0)</f>
        <v>6.7984728957526396E-14</v>
      </c>
      <c r="BF94" s="14">
        <f t="shared" si="91"/>
        <v>1.0682447123141398E-12</v>
      </c>
      <c r="BG94" s="22">
        <f t="shared" si="61"/>
        <v>1.978932943548152E-12</v>
      </c>
      <c r="BH94" s="62">
        <f t="shared" si="62"/>
        <v>293.3333333333353</v>
      </c>
      <c r="BI94" s="62">
        <f ca="1">AVERAGE(OFFSET($BH$3,0,0,'Données projet'!$E$11+1,1))-AVERAGE(OFFSET($H$3,0,0,'Données projet'!$E$11+1,1))</f>
        <v>187.13674266165236</v>
      </c>
      <c r="BJ94" s="62">
        <f t="shared" si="92"/>
        <v>439.28159165815276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15.930932458479999</v>
      </c>
      <c r="BQ94" s="23">
        <f>EXP(-LN(2)/25)*BQ93+(1-EXP(-LN(2)/25))/(LN(2)/25)*Calculateur!BL94*Calculateur!BN94*VLOOKUP('Données projet'!$B$11,Paramètres!$A$1:$I$89,3,0)*0.475*44/12</f>
        <v>8.0990480842379071</v>
      </c>
      <c r="BR94" s="23">
        <f>EXP(-LN(2)/2)*BR93+(1-EXP(-LN(2)/2))/(LN(2)/2)*BL94*BO94*VLOOKUP('Données projet'!$B$11,Paramètres!$A$1:$I$89,3,0)*0.475*44/12</f>
        <v>2.869106198517399E-8</v>
      </c>
      <c r="BS94" s="24">
        <f t="shared" si="63"/>
        <v>24.02998057140897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1.9895196601282805E-13</v>
      </c>
      <c r="BZ94" s="14">
        <f>BY94*VLOOKUP('Données projet'!$B$12,Paramètres!$A$1:$I$89,3,0)*VLOOKUP('Données projet'!$B$12,Paramètres!$A$1:$I$89,5,0)</f>
        <v>1.8001173884840681E-13</v>
      </c>
      <c r="CA94" s="14">
        <f t="shared" si="93"/>
        <v>2.5254331426407198E-12</v>
      </c>
      <c r="CB94" s="22">
        <f t="shared" si="64"/>
        <v>4.7119831685935622E-12</v>
      </c>
      <c r="CC94" s="62">
        <f t="shared" si="65"/>
        <v>293.33333333333803</v>
      </c>
      <c r="CD94" s="62">
        <f ca="1">AVERAGE(OFFSET($CC$3,0,0,'Données projet'!$E$12+1,1))-AVERAGE(OFFSET($H$3,0,0,'Données projet'!$E$12+1,1))</f>
        <v>302.6112905010138</v>
      </c>
      <c r="CE94" s="62">
        <f t="shared" si="94"/>
        <v>423.44006663873375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2.4909692449824878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2.4909692449824878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187.13674266165236</v>
      </c>
      <c r="T95" s="62">
        <f t="shared" si="88"/>
        <v>439.28159165815276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-1.1368683772161603E-13</v>
      </c>
      <c r="AJ95" s="14">
        <f>AI95*VLOOKUP('Données projet'!$B$10,Paramètres!$A$1:$I$89,3,0)*VLOOKUP('Données projet'!$B$10,Paramètres!$A$1:$I$89,5,0)</f>
        <v>-9.9316821433603781E-14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327.826081588335</v>
      </c>
      <c r="AO95" s="62">
        <f t="shared" si="90"/>
        <v>348.84706693879735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2.8399978605208762</v>
      </c>
      <c r="AW95" s="23">
        <f>EXP(-LN(2)/2)*AW94+(1-EXP(-LN(2)/2))/(LN(2)/2)*AQ95*AT95*VLOOKUP('Données projet'!$B$10,Paramètres!$A$1:$I$89,3,0)*0.475*44/12</f>
        <v>6.935919926297368E-9</v>
      </c>
      <c r="AX95" s="23">
        <f t="shared" si="60"/>
        <v>2.8399978674567961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1.1368683772161603E-13</v>
      </c>
      <c r="BE95" s="14">
        <f>BD95*VLOOKUP('Données projet'!$B$11,Paramètres!$A$1:$I$89,3,0)*VLOOKUP('Données projet'!$B$11,Paramètres!$A$1:$I$89,5,0)</f>
        <v>6.7984728957526396E-14</v>
      </c>
      <c r="BF95" s="14">
        <f t="shared" si="91"/>
        <v>1.0682447123141398E-12</v>
      </c>
      <c r="BG95" s="22">
        <f t="shared" si="61"/>
        <v>1.978932943548152E-12</v>
      </c>
      <c r="BH95" s="62">
        <f t="shared" si="62"/>
        <v>293.3333333333353</v>
      </c>
      <c r="BI95" s="62">
        <f ca="1">AVERAGE(OFFSET($BH$3,0,0,'Données projet'!$E$11+1,1))-AVERAGE(OFFSET($H$3,0,0,'Données projet'!$E$11+1,1))</f>
        <v>187.13674266165236</v>
      </c>
      <c r="BJ95" s="62">
        <f t="shared" si="92"/>
        <v>439.28159165815276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15.618536589878541</v>
      </c>
      <c r="BQ95" s="23">
        <f>EXP(-LN(2)/25)*BQ94+(1-EXP(-LN(2)/25))/(LN(2)/25)*Calculateur!BL95*Calculateur!BN95*VLOOKUP('Données projet'!$B$11,Paramètres!$A$1:$I$89,3,0)*0.475*44/12</f>
        <v>7.8775791884639936</v>
      </c>
      <c r="BR95" s="23">
        <f>EXP(-LN(2)/2)*BR94+(1-EXP(-LN(2)/2))/(LN(2)/2)*BL95*BO95*VLOOKUP('Données projet'!$B$11,Paramètres!$A$1:$I$89,3,0)*0.475*44/12</f>
        <v>2.0287644489160099E-8</v>
      </c>
      <c r="BS95" s="24">
        <f t="shared" si="63"/>
        <v>23.496115798630179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1.9895196601282805E-13</v>
      </c>
      <c r="BZ95" s="14">
        <f>BY95*VLOOKUP('Données projet'!$B$12,Paramètres!$A$1:$I$89,3,0)*VLOOKUP('Données projet'!$B$12,Paramètres!$A$1:$I$89,5,0)</f>
        <v>1.8001173884840681E-13</v>
      </c>
      <c r="CA95" s="14">
        <f t="shared" si="93"/>
        <v>2.5254331426407198E-12</v>
      </c>
      <c r="CB95" s="22">
        <f t="shared" si="64"/>
        <v>4.7119831685935622E-12</v>
      </c>
      <c r="CC95" s="62">
        <f t="shared" si="65"/>
        <v>293.33333333333803</v>
      </c>
      <c r="CD95" s="62">
        <f ca="1">AVERAGE(OFFSET($CC$3,0,0,'Données projet'!$E$12+1,1))-AVERAGE(OFFSET($H$3,0,0,'Données projet'!$E$12+1,1))</f>
        <v>302.6112905010138</v>
      </c>
      <c r="CE95" s="62">
        <f t="shared" si="94"/>
        <v>423.44006663873375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2.4421228574295983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2.4421228574295983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187.13674266165236</v>
      </c>
      <c r="T96" s="62">
        <f t="shared" si="88"/>
        <v>439.28159165815276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-1.1368683772161603E-13</v>
      </c>
      <c r="AJ96" s="14">
        <f>AI96*VLOOKUP('Données projet'!$B$10,Paramètres!$A$1:$I$89,3,0)*VLOOKUP('Données projet'!$B$10,Paramètres!$A$1:$I$89,5,0)</f>
        <v>-9.9316821433603781E-14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327.826081588335</v>
      </c>
      <c r="AO96" s="62">
        <f t="shared" si="90"/>
        <v>348.84706693879735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2.7623379696759365</v>
      </c>
      <c r="AW96" s="23">
        <f>EXP(-LN(2)/2)*AW95+(1-EXP(-LN(2)/2))/(LN(2)/2)*AQ96*AT96*VLOOKUP('Données projet'!$B$10,Paramètres!$A$1:$I$89,3,0)*0.475*44/12</f>
        <v>4.9044360136517678E-9</v>
      </c>
      <c r="AX96" s="23">
        <f t="shared" si="60"/>
        <v>2.7623379745803724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1.1368683772161603E-13</v>
      </c>
      <c r="BE96" s="14">
        <f>BD96*VLOOKUP('Données projet'!$B$11,Paramètres!$A$1:$I$89,3,0)*VLOOKUP('Données projet'!$B$11,Paramètres!$A$1:$I$89,5,0)</f>
        <v>6.7984728957526396E-14</v>
      </c>
      <c r="BF96" s="14">
        <f t="shared" si="91"/>
        <v>1.0682447123141398E-12</v>
      </c>
      <c r="BG96" s="22">
        <f t="shared" si="61"/>
        <v>1.978932943548152E-12</v>
      </c>
      <c r="BH96" s="62">
        <f t="shared" si="62"/>
        <v>293.3333333333353</v>
      </c>
      <c r="BI96" s="62">
        <f ca="1">AVERAGE(OFFSET($BH$3,0,0,'Données projet'!$E$11+1,1))-AVERAGE(OFFSET($H$3,0,0,'Données projet'!$E$11+1,1))</f>
        <v>187.13674266165236</v>
      </c>
      <c r="BJ96" s="62">
        <f t="shared" si="92"/>
        <v>439.28159165815276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15.312266613717693</v>
      </c>
      <c r="BQ96" s="23">
        <f>EXP(-LN(2)/25)*BQ95+(1-EXP(-LN(2)/25))/(LN(2)/25)*Calculateur!BL96*Calculateur!BN96*VLOOKUP('Données projet'!$B$11,Paramètres!$A$1:$I$89,3,0)*0.475*44/12</f>
        <v>7.6621663712915611</v>
      </c>
      <c r="BR96" s="23">
        <f>EXP(-LN(2)/2)*BR95+(1-EXP(-LN(2)/2))/(LN(2)/2)*BL96*BO96*VLOOKUP('Données projet'!$B$11,Paramètres!$A$1:$I$89,3,0)*0.475*44/12</f>
        <v>1.4345530992586999E-8</v>
      </c>
      <c r="BS96" s="24">
        <f t="shared" si="63"/>
        <v>22.974432999354786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1.9895196601282805E-13</v>
      </c>
      <c r="BZ96" s="14">
        <f>BY96*VLOOKUP('Données projet'!$B$12,Paramètres!$A$1:$I$89,3,0)*VLOOKUP('Données projet'!$B$12,Paramètres!$A$1:$I$89,5,0)</f>
        <v>1.8001173884840681E-13</v>
      </c>
      <c r="CA96" s="14">
        <f t="shared" si="93"/>
        <v>2.5254331426407198E-12</v>
      </c>
      <c r="CB96" s="22">
        <f t="shared" si="64"/>
        <v>4.7119831685935622E-12</v>
      </c>
      <c r="CC96" s="62">
        <f t="shared" si="65"/>
        <v>293.33333333333803</v>
      </c>
      <c r="CD96" s="62">
        <f ca="1">AVERAGE(OFFSET($CC$3,0,0,'Données projet'!$E$12+1,1))-AVERAGE(OFFSET($H$3,0,0,'Données projet'!$E$12+1,1))</f>
        <v>302.6112905010138</v>
      </c>
      <c r="CE96" s="62">
        <f t="shared" si="94"/>
        <v>423.44006663873375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2.3942343177432663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2.3942343177432663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187.13674266165236</v>
      </c>
      <c r="T97" s="62">
        <f t="shared" si="88"/>
        <v>439.28159165815276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-1.1368683772161603E-13</v>
      </c>
      <c r="AJ97" s="14">
        <f>AI97*VLOOKUP('Données projet'!$B$10,Paramètres!$A$1:$I$89,3,0)*VLOOKUP('Données projet'!$B$10,Paramètres!$A$1:$I$89,5,0)</f>
        <v>-9.9316821433603781E-14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327.826081588335</v>
      </c>
      <c r="AO97" s="62">
        <f t="shared" si="90"/>
        <v>348.84706693879735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2.6868016926301075</v>
      </c>
      <c r="AW97" s="23">
        <f>EXP(-LN(2)/2)*AW96+(1-EXP(-LN(2)/2))/(LN(2)/2)*AQ97*AT97*VLOOKUP('Données projet'!$B$10,Paramètres!$A$1:$I$89,3,0)*0.475*44/12</f>
        <v>3.467959963148684E-9</v>
      </c>
      <c r="AX97" s="23">
        <f t="shared" si="60"/>
        <v>2.6868016960980676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1.1368683772161603E-13</v>
      </c>
      <c r="BE97" s="14">
        <f>BD97*VLOOKUP('Données projet'!$B$11,Paramètres!$A$1:$I$89,3,0)*VLOOKUP('Données projet'!$B$11,Paramètres!$A$1:$I$89,5,0)</f>
        <v>6.7984728957526396E-14</v>
      </c>
      <c r="BF97" s="14">
        <f t="shared" si="91"/>
        <v>1.0682447123141398E-12</v>
      </c>
      <c r="BG97" s="22">
        <f t="shared" si="61"/>
        <v>1.978932943548152E-12</v>
      </c>
      <c r="BH97" s="62">
        <f t="shared" si="62"/>
        <v>293.3333333333353</v>
      </c>
      <c r="BI97" s="62">
        <f ca="1">AVERAGE(OFFSET($BH$3,0,0,'Données projet'!$E$11+1,1))-AVERAGE(OFFSET($H$3,0,0,'Données projet'!$E$11+1,1))</f>
        <v>187.13674266165236</v>
      </c>
      <c r="BJ97" s="62">
        <f t="shared" si="92"/>
        <v>439.28159165815276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15.012002404983118</v>
      </c>
      <c r="BQ97" s="23">
        <f>EXP(-LN(2)/25)*BQ96+(1-EXP(-LN(2)/25))/(LN(2)/25)*Calculateur!BL97*Calculateur!BN97*VLOOKUP('Données projet'!$B$11,Paramètres!$A$1:$I$89,3,0)*0.475*44/12</f>
        <v>7.4526440289327756</v>
      </c>
      <c r="BR97" s="23">
        <f>EXP(-LN(2)/2)*BR96+(1-EXP(-LN(2)/2))/(LN(2)/2)*BL97*BO97*VLOOKUP('Données projet'!$B$11,Paramètres!$A$1:$I$89,3,0)*0.475*44/12</f>
        <v>1.0143822244580051E-8</v>
      </c>
      <c r="BS97" s="24">
        <f t="shared" si="63"/>
        <v>22.464646444059717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1.9895196601282805E-13</v>
      </c>
      <c r="BZ97" s="14">
        <f>BY97*VLOOKUP('Données projet'!$B$12,Paramètres!$A$1:$I$89,3,0)*VLOOKUP('Données projet'!$B$12,Paramètres!$A$1:$I$89,5,0)</f>
        <v>1.8001173884840681E-13</v>
      </c>
      <c r="CA97" s="14">
        <f t="shared" si="93"/>
        <v>2.5254331426407198E-12</v>
      </c>
      <c r="CB97" s="22">
        <f t="shared" si="64"/>
        <v>4.7119831685935622E-12</v>
      </c>
      <c r="CC97" s="62">
        <f t="shared" si="65"/>
        <v>293.33333333333803</v>
      </c>
      <c r="CD97" s="62">
        <f ca="1">AVERAGE(OFFSET($CC$3,0,0,'Données projet'!$E$12+1,1))-AVERAGE(OFFSET($H$3,0,0,'Données projet'!$E$12+1,1))</f>
        <v>302.6112905010138</v>
      </c>
      <c r="CE97" s="62">
        <f t="shared" si="94"/>
        <v>423.44006663873375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2.3472848431110584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2.3472848431110584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187.13674266165236</v>
      </c>
      <c r="T98" s="62">
        <f t="shared" si="88"/>
        <v>439.28159165815276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-1.1368683772161603E-13</v>
      </c>
      <c r="AJ98" s="14">
        <f>AI98*VLOOKUP('Données projet'!$B$10,Paramètres!$A$1:$I$89,3,0)*VLOOKUP('Données projet'!$B$10,Paramètres!$A$1:$I$89,5,0)</f>
        <v>-9.9316821433603781E-14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327.826081588335</v>
      </c>
      <c r="AO98" s="62">
        <f t="shared" si="90"/>
        <v>348.84706693879735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2.613330959052377</v>
      </c>
      <c r="AW98" s="23">
        <f>EXP(-LN(2)/2)*AW97+(1-EXP(-LN(2)/2))/(LN(2)/2)*AQ98*AT98*VLOOKUP('Données projet'!$B$10,Paramètres!$A$1:$I$89,3,0)*0.475*44/12</f>
        <v>2.4522180068258839E-9</v>
      </c>
      <c r="AX98" s="23">
        <f t="shared" si="60"/>
        <v>2.613330961504595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1.1368683772161603E-13</v>
      </c>
      <c r="BE98" s="14">
        <f>BD98*VLOOKUP('Données projet'!$B$11,Paramètres!$A$1:$I$89,3,0)*VLOOKUP('Données projet'!$B$11,Paramètres!$A$1:$I$89,5,0)</f>
        <v>6.7984728957526396E-14</v>
      </c>
      <c r="BF98" s="14">
        <f t="shared" si="91"/>
        <v>1.0682447123141398E-12</v>
      </c>
      <c r="BG98" s="22">
        <f t="shared" si="61"/>
        <v>1.978932943548152E-12</v>
      </c>
      <c r="BH98" s="62">
        <f t="shared" si="62"/>
        <v>293.3333333333353</v>
      </c>
      <c r="BI98" s="62">
        <f ca="1">AVERAGE(OFFSET($BH$3,0,0,'Données projet'!$E$11+1,1))-AVERAGE(OFFSET($H$3,0,0,'Données projet'!$E$11+1,1))</f>
        <v>187.13674266165236</v>
      </c>
      <c r="BJ98" s="62">
        <f t="shared" si="92"/>
        <v>439.28159165815276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14.717626194238745</v>
      </c>
      <c r="BQ98" s="23">
        <f>EXP(-LN(2)/25)*BQ97+(1-EXP(-LN(2)/25))/(LN(2)/25)*Calculateur!BL98*Calculateur!BN98*VLOOKUP('Données projet'!$B$11,Paramètres!$A$1:$I$89,3,0)*0.475*44/12</f>
        <v>7.2488510860440929</v>
      </c>
      <c r="BR98" s="23">
        <f>EXP(-LN(2)/2)*BR97+(1-EXP(-LN(2)/2))/(LN(2)/2)*BL98*BO98*VLOOKUP('Données projet'!$B$11,Paramètres!$A$1:$I$89,3,0)*0.475*44/12</f>
        <v>7.1727654962935001E-9</v>
      </c>
      <c r="BS98" s="24">
        <f t="shared" si="63"/>
        <v>21.966477287455604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1.9895196601282805E-13</v>
      </c>
      <c r="BZ98" s="14">
        <f>BY98*VLOOKUP('Données projet'!$B$12,Paramètres!$A$1:$I$89,3,0)*VLOOKUP('Données projet'!$B$12,Paramètres!$A$1:$I$89,5,0)</f>
        <v>1.8001173884840681E-13</v>
      </c>
      <c r="CA98" s="14">
        <f t="shared" si="93"/>
        <v>2.5254331426407198E-12</v>
      </c>
      <c r="CB98" s="22">
        <f t="shared" si="64"/>
        <v>4.7119831685935622E-12</v>
      </c>
      <c r="CC98" s="62">
        <f t="shared" si="65"/>
        <v>293.33333333333803</v>
      </c>
      <c r="CD98" s="62">
        <f ca="1">AVERAGE(OFFSET($CC$3,0,0,'Données projet'!$E$12+1,1))-AVERAGE(OFFSET($H$3,0,0,'Données projet'!$E$12+1,1))</f>
        <v>302.6112905010138</v>
      </c>
      <c r="CE98" s="62">
        <f t="shared" si="94"/>
        <v>423.44006663873375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2.3012560190400362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2.3012560190400362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187.13674266165236</v>
      </c>
      <c r="T99" s="62">
        <f t="shared" si="88"/>
        <v>439.28159165815276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-1.1368683772161603E-13</v>
      </c>
      <c r="AJ99" s="14">
        <f>AI99*VLOOKUP('Données projet'!$B$10,Paramètres!$A$1:$I$89,3,0)*VLOOKUP('Données projet'!$B$10,Paramètres!$A$1:$I$89,5,0)</f>
        <v>-9.9316821433603781E-14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327.826081588335</v>
      </c>
      <c r="AO99" s="62">
        <f t="shared" si="90"/>
        <v>348.84706693879735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2.5418692865479873</v>
      </c>
      <c r="AW99" s="23">
        <f>EXP(-LN(2)/2)*AW98+(1-EXP(-LN(2)/2))/(LN(2)/2)*AQ99*AT99*VLOOKUP('Données projet'!$B$10,Paramètres!$A$1:$I$89,3,0)*0.475*44/12</f>
        <v>1.733979981574342E-9</v>
      </c>
      <c r="AX99" s="23">
        <f t="shared" si="60"/>
        <v>2.5418692882819673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1.1368683772161603E-13</v>
      </c>
      <c r="BE99" s="14">
        <f>BD99*VLOOKUP('Données projet'!$B$11,Paramètres!$A$1:$I$89,3,0)*VLOOKUP('Données projet'!$B$11,Paramètres!$A$1:$I$89,5,0)</f>
        <v>6.7984728957526396E-14</v>
      </c>
      <c r="BF99" s="14">
        <f t="shared" si="91"/>
        <v>1.0682447123141398E-12</v>
      </c>
      <c r="BG99" s="22">
        <f t="shared" si="61"/>
        <v>1.978932943548152E-12</v>
      </c>
      <c r="BH99" s="62">
        <f t="shared" si="62"/>
        <v>293.3333333333353</v>
      </c>
      <c r="BI99" s="62">
        <f ca="1">AVERAGE(OFFSET($BH$3,0,0,'Données projet'!$E$11+1,1))-AVERAGE(OFFSET($H$3,0,0,'Données projet'!$E$11+1,1))</f>
        <v>187.13674266165236</v>
      </c>
      <c r="BJ99" s="62">
        <f t="shared" si="92"/>
        <v>439.28159165815276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14.429022521435311</v>
      </c>
      <c r="BQ99" s="23">
        <f>EXP(-LN(2)/25)*BQ98+(1-EXP(-LN(2)/25))/(LN(2)/25)*Calculateur!BL99*Calculateur!BN99*VLOOKUP('Données projet'!$B$11,Paramètres!$A$1:$I$89,3,0)*0.475*44/12</f>
        <v>7.0506308718957058</v>
      </c>
      <c r="BR99" s="23">
        <f>EXP(-LN(2)/2)*BR98+(1-EXP(-LN(2)/2))/(LN(2)/2)*BL99*BO99*VLOOKUP('Données projet'!$B$11,Paramètres!$A$1:$I$89,3,0)*0.475*44/12</f>
        <v>5.0719111222900265E-9</v>
      </c>
      <c r="BS99" s="24">
        <f t="shared" si="63"/>
        <v>21.479653398402927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1.9895196601282805E-13</v>
      </c>
      <c r="BZ99" s="14">
        <f>BY99*VLOOKUP('Données projet'!$B$12,Paramètres!$A$1:$I$89,3,0)*VLOOKUP('Données projet'!$B$12,Paramètres!$A$1:$I$89,5,0)</f>
        <v>1.8001173884840681E-13</v>
      </c>
      <c r="CA99" s="14">
        <f t="shared" si="93"/>
        <v>2.5254331426407198E-12</v>
      </c>
      <c r="CB99" s="22">
        <f t="shared" si="64"/>
        <v>4.7119831685935622E-12</v>
      </c>
      <c r="CC99" s="62">
        <f t="shared" si="65"/>
        <v>293.33333333333803</v>
      </c>
      <c r="CD99" s="62">
        <f ca="1">AVERAGE(OFFSET($CC$3,0,0,'Données projet'!$E$12+1,1))-AVERAGE(OFFSET($H$3,0,0,'Données projet'!$E$12+1,1))</f>
        <v>302.6112905010138</v>
      </c>
      <c r="CE99" s="62">
        <f t="shared" si="94"/>
        <v>423.44006663873375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2.256129792134236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2.256129792134236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187.13674266165236</v>
      </c>
      <c r="T100" s="62">
        <f t="shared" si="88"/>
        <v>439.28159165815276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-1.1368683772161603E-13</v>
      </c>
      <c r="AJ100" s="14">
        <f>AI100*VLOOKUP('Données projet'!$B$10,Paramètres!$A$1:$I$89,3,0)*VLOOKUP('Données projet'!$B$10,Paramètres!$A$1:$I$89,5,0)</f>
        <v>-9.9316821433603781E-14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327.826081588335</v>
      </c>
      <c r="AO100" s="62">
        <f t="shared" si="90"/>
        <v>348.84706693879735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2.4723617372362363</v>
      </c>
      <c r="AW100" s="23">
        <f>EXP(-LN(2)/2)*AW99+(1-EXP(-LN(2)/2))/(LN(2)/2)*AQ100*AT100*VLOOKUP('Données projet'!$B$10,Paramètres!$A$1:$I$89,3,0)*0.475*44/12</f>
        <v>1.2261090034129419E-9</v>
      </c>
      <c r="AX100" s="23">
        <f t="shared" si="60"/>
        <v>2.4723617384623453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1.1368683772161603E-13</v>
      </c>
      <c r="BE100" s="14">
        <f>BD100*VLOOKUP('Données projet'!$B$11,Paramètres!$A$1:$I$89,3,0)*VLOOKUP('Données projet'!$B$11,Paramètres!$A$1:$I$89,5,0)</f>
        <v>6.7984728957526396E-14</v>
      </c>
      <c r="BF100" s="14">
        <f t="shared" si="91"/>
        <v>1.0682447123141398E-12</v>
      </c>
      <c r="BG100" s="22">
        <f t="shared" si="61"/>
        <v>1.978932943548152E-12</v>
      </c>
      <c r="BH100" s="62">
        <f t="shared" si="62"/>
        <v>293.3333333333353</v>
      </c>
      <c r="BI100" s="62">
        <f ca="1">AVERAGE(OFFSET($BH$3,0,0,'Données projet'!$E$11+1,1))-AVERAGE(OFFSET($H$3,0,0,'Données projet'!$E$11+1,1))</f>
        <v>187.13674266165236</v>
      </c>
      <c r="BJ100" s="62">
        <f t="shared" si="92"/>
        <v>439.28159165815276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14.146078190624692</v>
      </c>
      <c r="BQ100" s="23">
        <f>EXP(-LN(2)/25)*BQ99+(1-EXP(-LN(2)/25))/(LN(2)/25)*Calculateur!BL100*Calculateur!BN100*VLOOKUP('Données projet'!$B$11,Paramètres!$A$1:$I$89,3,0)*0.475*44/12</f>
        <v>6.8578309999271543</v>
      </c>
      <c r="BR100" s="23">
        <f>EXP(-LN(2)/2)*BR99+(1-EXP(-LN(2)/2))/(LN(2)/2)*BL100*BO100*VLOOKUP('Données projet'!$B$11,Paramètres!$A$1:$I$89,3,0)*0.475*44/12</f>
        <v>3.5863827481467509E-9</v>
      </c>
      <c r="BS100" s="24">
        <f t="shared" si="63"/>
        <v>21.003909194138227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1.9895196601282805E-13</v>
      </c>
      <c r="BZ100" s="14">
        <f>BY100*VLOOKUP('Données projet'!$B$12,Paramètres!$A$1:$I$89,3,0)*VLOOKUP('Données projet'!$B$12,Paramètres!$A$1:$I$89,5,0)</f>
        <v>1.8001173884840681E-13</v>
      </c>
      <c r="CA100" s="14">
        <f t="shared" si="93"/>
        <v>2.5254331426407198E-12</v>
      </c>
      <c r="CB100" s="22">
        <f t="shared" si="64"/>
        <v>4.7119831685935622E-12</v>
      </c>
      <c r="CC100" s="62">
        <f t="shared" si="65"/>
        <v>293.33333333333803</v>
      </c>
      <c r="CD100" s="62">
        <f ca="1">AVERAGE(OFFSET($CC$3,0,0,'Données projet'!$E$12+1,1))-AVERAGE(OFFSET($H$3,0,0,'Données projet'!$E$12+1,1))</f>
        <v>302.6112905010138</v>
      </c>
      <c r="CE100" s="62">
        <f t="shared" si="94"/>
        <v>423.44006663873375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2.2118884630137781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2.2118884630137781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187.13674266165236</v>
      </c>
      <c r="T101" s="62">
        <f t="shared" si="88"/>
        <v>439.28159165815276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-1.1368683772161603E-13</v>
      </c>
      <c r="AJ101" s="14">
        <f>AI101*VLOOKUP('Données projet'!$B$10,Paramètres!$A$1:$I$89,3,0)*VLOOKUP('Données projet'!$B$10,Paramètres!$A$1:$I$89,5,0)</f>
        <v>-9.9316821433603781E-14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327.826081588335</v>
      </c>
      <c r="AO101" s="62">
        <f t="shared" si="90"/>
        <v>348.84706693879735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2.4047548755156583</v>
      </c>
      <c r="AW101" s="23">
        <f>EXP(-LN(2)/2)*AW100+(1-EXP(-LN(2)/2))/(LN(2)/2)*AQ101*AT101*VLOOKUP('Données projet'!$B$10,Paramètres!$A$1:$I$89,3,0)*0.475*44/12</f>
        <v>8.66989990787171E-10</v>
      </c>
      <c r="AX101" s="23">
        <f t="shared" si="60"/>
        <v>2.4047548763826483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1.1368683772161603E-13</v>
      </c>
      <c r="BE101" s="14">
        <f>BD101*VLOOKUP('Données projet'!$B$11,Paramètres!$A$1:$I$89,3,0)*VLOOKUP('Données projet'!$B$11,Paramètres!$A$1:$I$89,5,0)</f>
        <v>6.7984728957526396E-14</v>
      </c>
      <c r="BF101" s="14">
        <f t="shared" si="91"/>
        <v>1.0682447123141398E-12</v>
      </c>
      <c r="BG101" s="22">
        <f t="shared" si="61"/>
        <v>1.978932943548152E-12</v>
      </c>
      <c r="BH101" s="62">
        <f t="shared" si="62"/>
        <v>293.3333333333353</v>
      </c>
      <c r="BI101" s="62">
        <f ca="1">AVERAGE(OFFSET($BH$3,0,0,'Données projet'!$E$11+1,1))-AVERAGE(OFFSET($H$3,0,0,'Données projet'!$E$11+1,1))</f>
        <v>187.13674266165236</v>
      </c>
      <c r="BJ101" s="62">
        <f t="shared" si="92"/>
        <v>439.28159165815276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13.868682225562269</v>
      </c>
      <c r="BQ101" s="23">
        <f>EXP(-LN(2)/25)*BQ100+(1-EXP(-LN(2)/25))/(LN(2)/25)*Calculateur!BL101*Calculateur!BN101*VLOOKUP('Données projet'!$B$11,Paramètres!$A$1:$I$89,3,0)*0.475*44/12</f>
        <v>6.6703032505964881</v>
      </c>
      <c r="BR101" s="23">
        <f>EXP(-LN(2)/2)*BR100+(1-EXP(-LN(2)/2))/(LN(2)/2)*BL101*BO101*VLOOKUP('Données projet'!$B$11,Paramètres!$A$1:$I$89,3,0)*0.475*44/12</f>
        <v>2.5359555611450137E-9</v>
      </c>
      <c r="BS101" s="24">
        <f t="shared" si="63"/>
        <v>20.538985478694713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1.9895196601282805E-13</v>
      </c>
      <c r="BZ101" s="14">
        <f>BY101*VLOOKUP('Données projet'!$B$12,Paramètres!$A$1:$I$89,3,0)*VLOOKUP('Données projet'!$B$12,Paramètres!$A$1:$I$89,5,0)</f>
        <v>1.8001173884840681E-13</v>
      </c>
      <c r="CA101" s="14">
        <f t="shared" si="93"/>
        <v>2.5254331426407198E-12</v>
      </c>
      <c r="CB101" s="22">
        <f t="shared" si="64"/>
        <v>4.7119831685935622E-12</v>
      </c>
      <c r="CC101" s="62">
        <f t="shared" si="65"/>
        <v>293.33333333333803</v>
      </c>
      <c r="CD101" s="62">
        <f ca="1">AVERAGE(OFFSET($CC$3,0,0,'Données projet'!$E$12+1,1))-AVERAGE(OFFSET($H$3,0,0,'Données projet'!$E$12+1,1))</f>
        <v>302.6112905010138</v>
      </c>
      <c r="CE101" s="62">
        <f t="shared" si="94"/>
        <v>423.44006663873375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2.168514679372826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2.168514679372826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187.13674266165236</v>
      </c>
      <c r="T102" s="62">
        <f t="shared" si="88"/>
        <v>439.28159165815276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-1.1368683772161603E-13</v>
      </c>
      <c r="AJ102" s="14">
        <f>AI102*VLOOKUP('Données projet'!$B$10,Paramètres!$A$1:$I$89,3,0)*VLOOKUP('Données projet'!$B$10,Paramètres!$A$1:$I$89,5,0)</f>
        <v>-9.9316821433603781E-14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327.826081588335</v>
      </c>
      <c r="AO102" s="62">
        <f t="shared" si="90"/>
        <v>348.84706693879735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2.3389967269841199</v>
      </c>
      <c r="AW102" s="23">
        <f>EXP(-LN(2)/2)*AW101+(1-EXP(-LN(2)/2))/(LN(2)/2)*AQ102*AT102*VLOOKUP('Données projet'!$B$10,Paramètres!$A$1:$I$89,3,0)*0.475*44/12</f>
        <v>6.1305450170647097E-10</v>
      </c>
      <c r="AX102" s="23">
        <f t="shared" si="60"/>
        <v>2.3389967275971744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1.1368683772161603E-13</v>
      </c>
      <c r="BE102" s="14">
        <f>BD102*VLOOKUP('Données projet'!$B$11,Paramètres!$A$1:$I$89,3,0)*VLOOKUP('Données projet'!$B$11,Paramètres!$A$1:$I$89,5,0)</f>
        <v>6.7984728957526396E-14</v>
      </c>
      <c r="BF102" s="14">
        <f t="shared" si="91"/>
        <v>1.0682447123141398E-12</v>
      </c>
      <c r="BG102" s="22">
        <f t="shared" si="61"/>
        <v>1.978932943548152E-12</v>
      </c>
      <c r="BH102" s="62">
        <f t="shared" si="62"/>
        <v>293.3333333333353</v>
      </c>
      <c r="BI102" s="62">
        <f ca="1">AVERAGE(OFFSET($BH$3,0,0,'Données projet'!$E$11+1,1))-AVERAGE(OFFSET($H$3,0,0,'Données projet'!$E$11+1,1))</f>
        <v>187.13674266165236</v>
      </c>
      <c r="BJ102" s="62">
        <f t="shared" si="92"/>
        <v>439.28159165815276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13.596725826179888</v>
      </c>
      <c r="BQ102" s="23">
        <f>EXP(-LN(2)/25)*BQ101+(1-EXP(-LN(2)/25))/(LN(2)/25)*Calculateur!BL102*Calculateur!BN102*VLOOKUP('Données projet'!$B$11,Paramètres!$A$1:$I$89,3,0)*0.475*44/12</f>
        <v>6.4879034574329246</v>
      </c>
      <c r="BR102" s="23">
        <f>EXP(-LN(2)/2)*BR101+(1-EXP(-LN(2)/2))/(LN(2)/2)*BL102*BO102*VLOOKUP('Données projet'!$B$11,Paramètres!$A$1:$I$89,3,0)*0.475*44/12</f>
        <v>1.7931913740733756E-9</v>
      </c>
      <c r="BS102" s="24">
        <f t="shared" si="63"/>
        <v>20.084629285406006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1.9895196601282805E-13</v>
      </c>
      <c r="BZ102" s="14">
        <f>BY102*VLOOKUP('Données projet'!$B$12,Paramètres!$A$1:$I$89,3,0)*VLOOKUP('Données projet'!$B$12,Paramètres!$A$1:$I$89,5,0)</f>
        <v>1.8001173884840681E-13</v>
      </c>
      <c r="CA102" s="14">
        <f t="shared" si="93"/>
        <v>2.5254331426407198E-12</v>
      </c>
      <c r="CB102" s="22">
        <f t="shared" si="64"/>
        <v>4.7119831685935622E-12</v>
      </c>
      <c r="CC102" s="62">
        <f t="shared" si="65"/>
        <v>293.33333333333803</v>
      </c>
      <c r="CD102" s="62">
        <f ca="1">AVERAGE(OFFSET($CC$3,0,0,'Données projet'!$E$12+1,1))-AVERAGE(OFFSET($H$3,0,0,'Données projet'!$E$12+1,1))</f>
        <v>302.6112905010138</v>
      </c>
      <c r="CE102" s="62">
        <f t="shared" si="94"/>
        <v>423.44006663873375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2.125991429173677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2.125991429173677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187.13674266165236</v>
      </c>
      <c r="T103" s="62">
        <f t="shared" si="88"/>
        <v>439.28159165815276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-1.1368683772161603E-13</v>
      </c>
      <c r="AJ103" s="14">
        <f>AI103*VLOOKUP('Données projet'!$B$10,Paramètres!$A$1:$I$89,3,0)*VLOOKUP('Données projet'!$B$10,Paramètres!$A$1:$I$89,5,0)</f>
        <v>-9.9316821433603781E-14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327.826081588335</v>
      </c>
      <c r="AO103" s="62">
        <f t="shared" si="90"/>
        <v>348.84706693879735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2.275036738482247</v>
      </c>
      <c r="AW103" s="23">
        <f>EXP(-LN(2)/2)*AW102+(1-EXP(-LN(2)/2))/(LN(2)/2)*AQ103*AT103*VLOOKUP('Données projet'!$B$10,Paramètres!$A$1:$I$89,3,0)*0.475*44/12</f>
        <v>4.334949953935855E-10</v>
      </c>
      <c r="AX103" s="23">
        <f t="shared" si="60"/>
        <v>2.275036738915742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1.1368683772161603E-13</v>
      </c>
      <c r="BE103" s="14">
        <f>BD103*VLOOKUP('Données projet'!$B$11,Paramètres!$A$1:$I$89,3,0)*VLOOKUP('Données projet'!$B$11,Paramètres!$A$1:$I$89,5,0)</f>
        <v>6.7984728957526396E-14</v>
      </c>
      <c r="BF103" s="14">
        <f t="shared" si="91"/>
        <v>1.0682447123141398E-12</v>
      </c>
      <c r="BG103" s="22">
        <f t="shared" si="61"/>
        <v>1.978932943548152E-12</v>
      </c>
      <c r="BH103" s="62">
        <f t="shared" si="62"/>
        <v>293.3333333333353</v>
      </c>
      <c r="BI103" s="62">
        <f ca="1">AVERAGE(OFFSET($BH$3,0,0,'Données projet'!$E$11+1,1))-AVERAGE(OFFSET($H$3,0,0,'Données projet'!$E$11+1,1))</f>
        <v>187.13674266165236</v>
      </c>
      <c r="BJ103" s="62">
        <f t="shared" si="92"/>
        <v>439.28159165815276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13.330102325912371</v>
      </c>
      <c r="BQ103" s="23">
        <f>EXP(-LN(2)/25)*BQ102+(1-EXP(-LN(2)/25))/(LN(2)/25)*Calculateur!BL103*Calculateur!BN103*VLOOKUP('Données projet'!$B$11,Paramètres!$A$1:$I$89,3,0)*0.475*44/12</f>
        <v>6.310491396205407</v>
      </c>
      <c r="BR103" s="23">
        <f>EXP(-LN(2)/2)*BR102+(1-EXP(-LN(2)/2))/(LN(2)/2)*BL103*BO103*VLOOKUP('Données projet'!$B$11,Paramètres!$A$1:$I$89,3,0)*0.475*44/12</f>
        <v>1.267977780572507E-9</v>
      </c>
      <c r="BS103" s="24">
        <f t="shared" si="63"/>
        <v>19.640593723385756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1.9895196601282805E-13</v>
      </c>
      <c r="BZ103" s="14">
        <f>BY103*VLOOKUP('Données projet'!$B$12,Paramètres!$A$1:$I$89,3,0)*VLOOKUP('Données projet'!$B$12,Paramètres!$A$1:$I$89,5,0)</f>
        <v>1.8001173884840681E-13</v>
      </c>
      <c r="CA103" s="14">
        <f t="shared" si="93"/>
        <v>2.5254331426407198E-12</v>
      </c>
      <c r="CB103" s="22">
        <f t="shared" si="64"/>
        <v>4.7119831685935622E-12</v>
      </c>
      <c r="CC103" s="62">
        <f t="shared" si="65"/>
        <v>293.33333333333803</v>
      </c>
      <c r="CD103" s="62">
        <f ca="1">AVERAGE(OFFSET($CC$3,0,0,'Données projet'!$E$12+1,1))-AVERAGE(OFFSET($H$3,0,0,'Données projet'!$E$12+1,1))</f>
        <v>302.6112905010138</v>
      </c>
      <c r="CE103" s="62">
        <f t="shared" si="94"/>
        <v>423.44006663873375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2.0843020339743119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2.0843020339743119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187.13674266165236</v>
      </c>
      <c r="T104" s="62">
        <f t="shared" si="88"/>
        <v>439.28159165815276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-1.1368683772161603E-13</v>
      </c>
      <c r="AJ104" s="14">
        <f>AI104*VLOOKUP('Données projet'!$B$10,Paramètres!$A$1:$I$89,3,0)*VLOOKUP('Données projet'!$B$10,Paramètres!$A$1:$I$89,5,0)</f>
        <v>-9.9316821433603781E-14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327.826081588335</v>
      </c>
      <c r="AO104" s="62">
        <f t="shared" si="90"/>
        <v>348.84706693879735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2.2128257392294675</v>
      </c>
      <c r="AW104" s="23">
        <f>EXP(-LN(2)/2)*AW103+(1-EXP(-LN(2)/2))/(LN(2)/2)*AQ104*AT104*VLOOKUP('Données projet'!$B$10,Paramètres!$A$1:$I$89,3,0)*0.475*44/12</f>
        <v>3.0652725085323549E-10</v>
      </c>
      <c r="AX104" s="23">
        <f t="shared" si="60"/>
        <v>2.2128257395359947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1.1368683772161603E-13</v>
      </c>
      <c r="BE104" s="14">
        <f>BD104*VLOOKUP('Données projet'!$B$11,Paramètres!$A$1:$I$89,3,0)*VLOOKUP('Données projet'!$B$11,Paramètres!$A$1:$I$89,5,0)</f>
        <v>6.7984728957526396E-14</v>
      </c>
      <c r="BF104" s="14">
        <f t="shared" si="91"/>
        <v>1.0682447123141398E-12</v>
      </c>
      <c r="BG104" s="22">
        <f t="shared" si="61"/>
        <v>1.978932943548152E-12</v>
      </c>
      <c r="BH104" s="62">
        <f t="shared" si="62"/>
        <v>293.3333333333353</v>
      </c>
      <c r="BI104" s="62">
        <f ca="1">AVERAGE(OFFSET($BH$3,0,0,'Données projet'!$E$11+1,1))-AVERAGE(OFFSET($H$3,0,0,'Données projet'!$E$11+1,1))</f>
        <v>187.13674266165236</v>
      </c>
      <c r="BJ104" s="62">
        <f t="shared" si="92"/>
        <v>439.28159165815276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13.068707149860822</v>
      </c>
      <c r="BQ104" s="23">
        <f>EXP(-LN(2)/25)*BQ103+(1-EXP(-LN(2)/25))/(LN(2)/25)*Calculateur!BL104*Calculateur!BN104*VLOOKUP('Données projet'!$B$11,Paramètres!$A$1:$I$89,3,0)*0.475*44/12</f>
        <v>6.13793067712185</v>
      </c>
      <c r="BR104" s="23">
        <f>EXP(-LN(2)/2)*BR103+(1-EXP(-LN(2)/2))/(LN(2)/2)*BL104*BO104*VLOOKUP('Données projet'!$B$11,Paramètres!$A$1:$I$89,3,0)*0.475*44/12</f>
        <v>8.9659568703668793E-10</v>
      </c>
      <c r="BS104" s="24">
        <f t="shared" si="63"/>
        <v>19.206637827879266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1.9895196601282805E-13</v>
      </c>
      <c r="BZ104" s="14">
        <f>BY104*VLOOKUP('Données projet'!$B$12,Paramètres!$A$1:$I$89,3,0)*VLOOKUP('Données projet'!$B$12,Paramètres!$A$1:$I$89,5,0)</f>
        <v>1.8001173884840681E-13</v>
      </c>
      <c r="CA104" s="14">
        <f t="shared" si="93"/>
        <v>2.5254331426407198E-12</v>
      </c>
      <c r="CB104" s="22">
        <f t="shared" si="64"/>
        <v>4.7119831685935622E-12</v>
      </c>
      <c r="CC104" s="62">
        <f t="shared" si="65"/>
        <v>293.33333333333803</v>
      </c>
      <c r="CD104" s="62">
        <f ca="1">AVERAGE(OFFSET($CC$3,0,0,'Données projet'!$E$12+1,1))-AVERAGE(OFFSET($H$3,0,0,'Données projet'!$E$12+1,1))</f>
        <v>302.6112905010138</v>
      </c>
      <c r="CE104" s="62">
        <f t="shared" si="94"/>
        <v>423.44006663873375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2.0434301423867862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2.0434301423867862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187.13674266165236</v>
      </c>
      <c r="T105" s="62">
        <f t="shared" si="88"/>
        <v>439.28159165815276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-1.1368683772161603E-13</v>
      </c>
      <c r="AJ105" s="14">
        <f>AI105*VLOOKUP('Données projet'!$B$10,Paramètres!$A$1:$I$89,3,0)*VLOOKUP('Données projet'!$B$10,Paramètres!$A$1:$I$89,5,0)</f>
        <v>-9.9316821433603781E-14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327.826081588335</v>
      </c>
      <c r="AO105" s="62">
        <f t="shared" si="90"/>
        <v>348.84706693879735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2.1523159030227896</v>
      </c>
      <c r="AW105" s="23">
        <f>EXP(-LN(2)/2)*AW104+(1-EXP(-LN(2)/2))/(LN(2)/2)*AQ105*AT105*VLOOKUP('Données projet'!$B$10,Paramètres!$A$1:$I$89,3,0)*0.475*44/12</f>
        <v>2.1674749769679275E-10</v>
      </c>
      <c r="AX105" s="23">
        <f t="shared" si="60"/>
        <v>2.1523159032395371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1.1368683772161603E-13</v>
      </c>
      <c r="BE105" s="14">
        <f>BD105*VLOOKUP('Données projet'!$B$11,Paramètres!$A$1:$I$89,3,0)*VLOOKUP('Données projet'!$B$11,Paramètres!$A$1:$I$89,5,0)</f>
        <v>6.7984728957526396E-14</v>
      </c>
      <c r="BF105" s="14">
        <f t="shared" si="91"/>
        <v>1.0682447123141398E-12</v>
      </c>
      <c r="BG105" s="22">
        <f t="shared" si="61"/>
        <v>1.978932943548152E-12</v>
      </c>
      <c r="BH105" s="62">
        <f t="shared" si="62"/>
        <v>293.3333333333353</v>
      </c>
      <c r="BI105" s="62">
        <f ca="1">AVERAGE(OFFSET($BH$3,0,0,'Données projet'!$E$11+1,1))-AVERAGE(OFFSET($H$3,0,0,'Données projet'!$E$11+1,1))</f>
        <v>187.13674266165236</v>
      </c>
      <c r="BJ105" s="62">
        <f t="shared" si="92"/>
        <v>439.28159165815276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12.812437773776329</v>
      </c>
      <c r="BQ105" s="23">
        <f>EXP(-LN(2)/25)*BQ104+(1-EXP(-LN(2)/25))/(LN(2)/25)*Calculateur!BL105*Calculateur!BN105*VLOOKUP('Données projet'!$B$11,Paramètres!$A$1:$I$89,3,0)*0.475*44/12</f>
        <v>5.9700886399762068</v>
      </c>
      <c r="BR105" s="23">
        <f>EXP(-LN(2)/2)*BR104+(1-EXP(-LN(2)/2))/(LN(2)/2)*BL105*BO105*VLOOKUP('Données projet'!$B$11,Paramètres!$A$1:$I$89,3,0)*0.475*44/12</f>
        <v>6.3398889028625362E-10</v>
      </c>
      <c r="BS105" s="24">
        <f t="shared" si="63"/>
        <v>18.782526414386524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1.9895196601282805E-13</v>
      </c>
      <c r="BZ105" s="14">
        <f>BY105*VLOOKUP('Données projet'!$B$12,Paramètres!$A$1:$I$89,3,0)*VLOOKUP('Données projet'!$B$12,Paramètres!$A$1:$I$89,5,0)</f>
        <v>1.8001173884840681E-13</v>
      </c>
      <c r="CA105" s="14">
        <f t="shared" si="93"/>
        <v>2.5254331426407198E-12</v>
      </c>
      <c r="CB105" s="22">
        <f t="shared" si="64"/>
        <v>4.7119831685935622E-12</v>
      </c>
      <c r="CC105" s="62">
        <f t="shared" si="65"/>
        <v>293.33333333333803</v>
      </c>
      <c r="CD105" s="62">
        <f ca="1">AVERAGE(OFFSET($CC$3,0,0,'Données projet'!$E$12+1,1))-AVERAGE(OFFSET($H$3,0,0,'Données projet'!$E$12+1,1))</f>
        <v>302.6112905010138</v>
      </c>
      <c r="CE105" s="62">
        <f t="shared" si="94"/>
        <v>423.44006663873375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2.0033597236638996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2.0033597236638996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187.13674266165236</v>
      </c>
      <c r="T106" s="62">
        <f t="shared" si="88"/>
        <v>439.28159165815276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-1.1368683772161603E-13</v>
      </c>
      <c r="AJ106" s="14">
        <f>AI106*VLOOKUP('Données projet'!$B$10,Paramètres!$A$1:$I$89,3,0)*VLOOKUP('Données projet'!$B$10,Paramètres!$A$1:$I$89,5,0)</f>
        <v>-9.9316821433603781E-14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327.826081588335</v>
      </c>
      <c r="AO106" s="62">
        <f t="shared" si="90"/>
        <v>348.84706693879735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2.0934607114692572</v>
      </c>
      <c r="AW106" s="23">
        <f>EXP(-LN(2)/2)*AW105+(1-EXP(-LN(2)/2))/(LN(2)/2)*AQ106*AT106*VLOOKUP('Données projet'!$B$10,Paramètres!$A$1:$I$89,3,0)*0.475*44/12</f>
        <v>1.5326362542661774E-10</v>
      </c>
      <c r="AX106" s="23">
        <f t="shared" si="60"/>
        <v>2.0934607116225208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1.1368683772161603E-13</v>
      </c>
      <c r="BE106" s="14">
        <f>BD106*VLOOKUP('Données projet'!$B$11,Paramètres!$A$1:$I$89,3,0)*VLOOKUP('Données projet'!$B$11,Paramètres!$A$1:$I$89,5,0)</f>
        <v>6.7984728957526396E-14</v>
      </c>
      <c r="BF106" s="14">
        <f t="shared" si="91"/>
        <v>1.0682447123141398E-12</v>
      </c>
      <c r="BG106" s="22">
        <f t="shared" si="61"/>
        <v>1.978932943548152E-12</v>
      </c>
      <c r="BH106" s="62">
        <f t="shared" si="62"/>
        <v>293.3333333333353</v>
      </c>
      <c r="BI106" s="62">
        <f ca="1">AVERAGE(OFFSET($BH$3,0,0,'Données projet'!$E$11+1,1))-AVERAGE(OFFSET($H$3,0,0,'Données projet'!$E$11+1,1))</f>
        <v>187.13674266165236</v>
      </c>
      <c r="BJ106" s="62">
        <f t="shared" si="92"/>
        <v>439.28159165815276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12.561193683847968</v>
      </c>
      <c r="BQ106" s="23">
        <f>EXP(-LN(2)/25)*BQ105+(1-EXP(-LN(2)/25))/(LN(2)/25)*Calculateur!BL106*Calculateur!BN106*VLOOKUP('Données projet'!$B$11,Paramètres!$A$1:$I$89,3,0)*0.475*44/12</f>
        <v>5.806836252162741</v>
      </c>
      <c r="BR106" s="23">
        <f>EXP(-LN(2)/2)*BR105+(1-EXP(-LN(2)/2))/(LN(2)/2)*BL106*BO106*VLOOKUP('Données projet'!$B$11,Paramètres!$A$1:$I$89,3,0)*0.475*44/12</f>
        <v>4.4829784351834407E-10</v>
      </c>
      <c r="BS106" s="24">
        <f t="shared" si="63"/>
        <v>18.368029936459006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1.9895196601282805E-13</v>
      </c>
      <c r="BZ106" s="14">
        <f>BY106*VLOOKUP('Données projet'!$B$12,Paramètres!$A$1:$I$89,3,0)*VLOOKUP('Données projet'!$B$12,Paramètres!$A$1:$I$89,5,0)</f>
        <v>1.8001173884840681E-13</v>
      </c>
      <c r="CA106" s="14">
        <f t="shared" si="93"/>
        <v>2.5254331426407198E-12</v>
      </c>
      <c r="CB106" s="22">
        <f t="shared" si="64"/>
        <v>4.7119831685935622E-12</v>
      </c>
      <c r="CC106" s="62">
        <f t="shared" si="65"/>
        <v>293.33333333333803</v>
      </c>
      <c r="CD106" s="62">
        <f ca="1">AVERAGE(OFFSET($CC$3,0,0,'Données projet'!$E$12+1,1))-AVERAGE(OFFSET($H$3,0,0,'Données projet'!$E$12+1,1))</f>
        <v>302.6112905010138</v>
      </c>
      <c r="CE106" s="62">
        <f t="shared" si="94"/>
        <v>423.44006663873375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1.9640750614116265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1.9640750614116265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187.13674266165236</v>
      </c>
      <c r="T107" s="62">
        <f t="shared" si="88"/>
        <v>439.28159165815276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-1.1368683772161603E-13</v>
      </c>
      <c r="AJ107" s="14">
        <f>AI107*VLOOKUP('Données projet'!$B$10,Paramètres!$A$1:$I$89,3,0)*VLOOKUP('Données projet'!$B$10,Paramètres!$A$1:$I$89,5,0)</f>
        <v>-9.9316821433603781E-14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327.826081588335</v>
      </c>
      <c r="AO107" s="62">
        <f t="shared" si="90"/>
        <v>348.84706693879735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2.0362149182238163</v>
      </c>
      <c r="AW107" s="23">
        <f>EXP(-LN(2)/2)*AW106+(1-EXP(-LN(2)/2))/(LN(2)/2)*AQ107*AT107*VLOOKUP('Données projet'!$B$10,Paramètres!$A$1:$I$89,3,0)*0.475*44/12</f>
        <v>1.0837374884839638E-10</v>
      </c>
      <c r="AX107" s="23">
        <f t="shared" si="60"/>
        <v>2.03621491833219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1.1368683772161603E-13</v>
      </c>
      <c r="BE107" s="14">
        <f>BD107*VLOOKUP('Données projet'!$B$11,Paramètres!$A$1:$I$89,3,0)*VLOOKUP('Données projet'!$B$11,Paramètres!$A$1:$I$89,5,0)</f>
        <v>6.7984728957526396E-14</v>
      </c>
      <c r="BF107" s="14">
        <f t="shared" si="91"/>
        <v>1.0682447123141398E-12</v>
      </c>
      <c r="BG107" s="22">
        <f t="shared" si="61"/>
        <v>1.978932943548152E-12</v>
      </c>
      <c r="BH107" s="62">
        <f t="shared" si="62"/>
        <v>293.3333333333353</v>
      </c>
      <c r="BI107" s="62">
        <f ca="1">AVERAGE(OFFSET($BH$3,0,0,'Données projet'!$E$11+1,1))-AVERAGE(OFFSET($H$3,0,0,'Données projet'!$E$11+1,1))</f>
        <v>187.13674266165236</v>
      </c>
      <c r="BJ107" s="62">
        <f t="shared" si="92"/>
        <v>439.28159165815276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12.314876337279339</v>
      </c>
      <c r="BQ107" s="23">
        <f>EXP(-LN(2)/25)*BQ106+(1-EXP(-LN(2)/25))/(LN(2)/25)*Calculateur!BL107*Calculateur!BN107*VLOOKUP('Données projet'!$B$11,Paramètres!$A$1:$I$89,3,0)*0.475*44/12</f>
        <v>5.6480480094791039</v>
      </c>
      <c r="BR107" s="23">
        <f>EXP(-LN(2)/2)*BR106+(1-EXP(-LN(2)/2))/(LN(2)/2)*BL107*BO107*VLOOKUP('Données projet'!$B$11,Paramètres!$A$1:$I$89,3,0)*0.475*44/12</f>
        <v>3.1699444514312686E-10</v>
      </c>
      <c r="BS107" s="24">
        <f t="shared" si="63"/>
        <v>17.962924347075436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1.9895196601282805E-13</v>
      </c>
      <c r="BZ107" s="14">
        <f>BY107*VLOOKUP('Données projet'!$B$12,Paramètres!$A$1:$I$89,3,0)*VLOOKUP('Données projet'!$B$12,Paramètres!$A$1:$I$89,5,0)</f>
        <v>1.8001173884840681E-13</v>
      </c>
      <c r="CA107" s="14">
        <f t="shared" si="93"/>
        <v>2.5254331426407198E-12</v>
      </c>
      <c r="CB107" s="22">
        <f t="shared" si="64"/>
        <v>4.7119831685935622E-12</v>
      </c>
      <c r="CC107" s="62">
        <f t="shared" si="65"/>
        <v>293.33333333333803</v>
      </c>
      <c r="CD107" s="62">
        <f ca="1">AVERAGE(OFFSET($CC$3,0,0,'Données projet'!$E$12+1,1))-AVERAGE(OFFSET($H$3,0,0,'Données projet'!$E$12+1,1))</f>
        <v>302.6112905010138</v>
      </c>
      <c r="CE107" s="62">
        <f t="shared" si="94"/>
        <v>423.44006663873375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1.9255607474248424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1.9255607474248424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187.13674266165236</v>
      </c>
      <c r="T108" s="62">
        <f t="shared" si="88"/>
        <v>439.28159165815276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-1.1368683772161603E-13</v>
      </c>
      <c r="AJ108" s="14">
        <f>AI108*VLOOKUP('Données projet'!$B$10,Paramètres!$A$1:$I$89,3,0)*VLOOKUP('Données projet'!$B$10,Paramètres!$A$1:$I$89,5,0)</f>
        <v>-9.9316821433603781E-14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327.826081588335</v>
      </c>
      <c r="AO108" s="62">
        <f t="shared" si="90"/>
        <v>348.84706693879735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1.9805345142050974</v>
      </c>
      <c r="AW108" s="23">
        <f>EXP(-LN(2)/2)*AW107+(1-EXP(-LN(2)/2))/(LN(2)/2)*AQ108*AT108*VLOOKUP('Données projet'!$B$10,Paramètres!$A$1:$I$89,3,0)*0.475*44/12</f>
        <v>7.6631812713308872E-11</v>
      </c>
      <c r="AX108" s="23">
        <f t="shared" si="60"/>
        <v>1.9805345142817292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1.1368683772161603E-13</v>
      </c>
      <c r="BE108" s="14">
        <f>BD108*VLOOKUP('Données projet'!$B$11,Paramètres!$A$1:$I$89,3,0)*VLOOKUP('Données projet'!$B$11,Paramètres!$A$1:$I$89,5,0)</f>
        <v>6.7984728957526396E-14</v>
      </c>
      <c r="BF108" s="14">
        <f t="shared" si="91"/>
        <v>1.0682447123141398E-12</v>
      </c>
      <c r="BG108" s="22">
        <f t="shared" si="61"/>
        <v>1.978932943548152E-12</v>
      </c>
      <c r="BH108" s="62">
        <f t="shared" si="62"/>
        <v>293.3333333333353</v>
      </c>
      <c r="BI108" s="62">
        <f ca="1">AVERAGE(OFFSET($BH$3,0,0,'Données projet'!$E$11+1,1))-AVERAGE(OFFSET($H$3,0,0,'Données projet'!$E$11+1,1))</f>
        <v>187.13674266165236</v>
      </c>
      <c r="BJ108" s="62">
        <f t="shared" si="92"/>
        <v>439.28159165815276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12.073389123638174</v>
      </c>
      <c r="BQ108" s="23">
        <f>EXP(-LN(2)/25)*BQ107+(1-EXP(-LN(2)/25))/(LN(2)/25)*Calculateur!BL108*Calculateur!BN108*VLOOKUP('Données projet'!$B$11,Paramètres!$A$1:$I$89,3,0)*0.475*44/12</f>
        <v>5.4936018396419621</v>
      </c>
      <c r="BR108" s="23">
        <f>EXP(-LN(2)/2)*BR107+(1-EXP(-LN(2)/2))/(LN(2)/2)*BL108*BO108*VLOOKUP('Données projet'!$B$11,Paramètres!$A$1:$I$89,3,0)*0.475*44/12</f>
        <v>2.2414892175917206E-10</v>
      </c>
      <c r="BS108" s="24">
        <f t="shared" si="63"/>
        <v>17.566990963504285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1.9895196601282805E-13</v>
      </c>
      <c r="BZ108" s="14">
        <f>BY108*VLOOKUP('Données projet'!$B$12,Paramètres!$A$1:$I$89,3,0)*VLOOKUP('Données projet'!$B$12,Paramètres!$A$1:$I$89,5,0)</f>
        <v>1.8001173884840681E-13</v>
      </c>
      <c r="CA108" s="14">
        <f t="shared" si="93"/>
        <v>2.5254331426407198E-12</v>
      </c>
      <c r="CB108" s="22">
        <f t="shared" si="64"/>
        <v>4.7119831685935622E-12</v>
      </c>
      <c r="CC108" s="62">
        <f t="shared" si="65"/>
        <v>293.33333333333803</v>
      </c>
      <c r="CD108" s="62">
        <f ca="1">AVERAGE(OFFSET($CC$3,0,0,'Données projet'!$E$12+1,1))-AVERAGE(OFFSET($H$3,0,0,'Données projet'!$E$12+1,1))</f>
        <v>302.6112905010138</v>
      </c>
      <c r="CE108" s="62">
        <f t="shared" si="94"/>
        <v>423.44006663873375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1.8878016756439273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1.8878016756439273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187.13674266165236</v>
      </c>
      <c r="T109" s="62">
        <f t="shared" si="88"/>
        <v>439.28159165815276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-1.1368683772161603E-13</v>
      </c>
      <c r="AJ109" s="14">
        <f>AI109*VLOOKUP('Données projet'!$B$10,Paramètres!$A$1:$I$89,3,0)*VLOOKUP('Données projet'!$B$10,Paramètres!$A$1:$I$89,5,0)</f>
        <v>-9.9316821433603781E-14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327.826081588335</v>
      </c>
      <c r="AO109" s="62">
        <f t="shared" si="90"/>
        <v>348.84706693879735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1.9263766937623754</v>
      </c>
      <c r="AW109" s="23">
        <f>EXP(-LN(2)/2)*AW108+(1-EXP(-LN(2)/2))/(LN(2)/2)*AQ109*AT109*VLOOKUP('Données projet'!$B$10,Paramètres!$A$1:$I$89,3,0)*0.475*44/12</f>
        <v>5.4186874424198188E-11</v>
      </c>
      <c r="AX109" s="23">
        <f t="shared" si="60"/>
        <v>1.9263766938165623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1.1368683772161603E-13</v>
      </c>
      <c r="BE109" s="14">
        <f>BD109*VLOOKUP('Données projet'!$B$11,Paramètres!$A$1:$I$89,3,0)*VLOOKUP('Données projet'!$B$11,Paramètres!$A$1:$I$89,5,0)</f>
        <v>6.7984728957526396E-14</v>
      </c>
      <c r="BF109" s="14">
        <f t="shared" si="91"/>
        <v>1.0682447123141398E-12</v>
      </c>
      <c r="BG109" s="22">
        <f t="shared" si="61"/>
        <v>1.978932943548152E-12</v>
      </c>
      <c r="BH109" s="62">
        <f t="shared" si="62"/>
        <v>293.3333333333353</v>
      </c>
      <c r="BI109" s="62">
        <f ca="1">AVERAGE(OFFSET($BH$3,0,0,'Données projet'!$E$11+1,1))-AVERAGE(OFFSET($H$3,0,0,'Données projet'!$E$11+1,1))</f>
        <v>187.13674266165236</v>
      </c>
      <c r="BJ109" s="62">
        <f t="shared" si="92"/>
        <v>439.28159165815276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11.836637326963857</v>
      </c>
      <c r="BQ109" s="23">
        <f>EXP(-LN(2)/25)*BQ108+(1-EXP(-LN(2)/25))/(LN(2)/25)*Calculateur!BL109*Calculateur!BN109*VLOOKUP('Données projet'!$B$11,Paramètres!$A$1:$I$89,3,0)*0.475*44/12</f>
        <v>5.343379008440988</v>
      </c>
      <c r="BR109" s="23">
        <f>EXP(-LN(2)/2)*BR108+(1-EXP(-LN(2)/2))/(LN(2)/2)*BL109*BO109*VLOOKUP('Données projet'!$B$11,Paramètres!$A$1:$I$89,3,0)*0.475*44/12</f>
        <v>1.5849722257156346E-10</v>
      </c>
      <c r="BS109" s="24">
        <f t="shared" si="63"/>
        <v>17.180016335563341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1.9895196601282805E-13</v>
      </c>
      <c r="BZ109" s="14">
        <f>BY109*VLOOKUP('Données projet'!$B$12,Paramètres!$A$1:$I$89,3,0)*VLOOKUP('Données projet'!$B$12,Paramètres!$A$1:$I$89,5,0)</f>
        <v>1.8001173884840681E-13</v>
      </c>
      <c r="CA109" s="14">
        <f t="shared" si="93"/>
        <v>2.5254331426407198E-12</v>
      </c>
      <c r="CB109" s="22">
        <f t="shared" si="64"/>
        <v>4.7119831685935622E-12</v>
      </c>
      <c r="CC109" s="62">
        <f t="shared" si="65"/>
        <v>293.33333333333803</v>
      </c>
      <c r="CD109" s="62">
        <f ca="1">AVERAGE(OFFSET($CC$3,0,0,'Données projet'!$E$12+1,1))-AVERAGE(OFFSET($H$3,0,0,'Données projet'!$E$12+1,1))</f>
        <v>302.6112905010138</v>
      </c>
      <c r="CE109" s="62">
        <f t="shared" si="94"/>
        <v>423.44006663873375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1.8507830362298763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1.8507830362298763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187.13674266165236</v>
      </c>
      <c r="T110" s="62">
        <f t="shared" si="88"/>
        <v>439.28159165815276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-1.1368683772161603E-13</v>
      </c>
      <c r="AJ110" s="14">
        <f>AI110*VLOOKUP('Données projet'!$B$10,Paramètres!$A$1:$I$89,3,0)*VLOOKUP('Données projet'!$B$10,Paramètres!$A$1:$I$89,5,0)</f>
        <v>-9.9316821433603781E-14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327.826081588335</v>
      </c>
      <c r="AO110" s="62">
        <f t="shared" si="90"/>
        <v>348.84706693879735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1.8736998217676957</v>
      </c>
      <c r="AW110" s="23">
        <f>EXP(-LN(2)/2)*AW109+(1-EXP(-LN(2)/2))/(LN(2)/2)*AQ110*AT110*VLOOKUP('Données projet'!$B$10,Paramètres!$A$1:$I$89,3,0)*0.475*44/12</f>
        <v>3.8315906356654436E-11</v>
      </c>
      <c r="AX110" s="23">
        <f t="shared" si="60"/>
        <v>1.8736998218060117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1.1368683772161603E-13</v>
      </c>
      <c r="BE110" s="14">
        <f>BD110*VLOOKUP('Données projet'!$B$11,Paramètres!$A$1:$I$89,3,0)*VLOOKUP('Données projet'!$B$11,Paramètres!$A$1:$I$89,5,0)</f>
        <v>6.7984728957526396E-14</v>
      </c>
      <c r="BF110" s="14">
        <f t="shared" si="91"/>
        <v>1.0682447123141398E-12</v>
      </c>
      <c r="BG110" s="22">
        <f t="shared" si="61"/>
        <v>1.978932943548152E-12</v>
      </c>
      <c r="BH110" s="62">
        <f t="shared" si="62"/>
        <v>293.3333333333353</v>
      </c>
      <c r="BI110" s="62">
        <f ca="1">AVERAGE(OFFSET($BH$3,0,0,'Données projet'!$E$11+1,1))-AVERAGE(OFFSET($H$3,0,0,'Données projet'!$E$11+1,1))</f>
        <v>187.13674266165236</v>
      </c>
      <c r="BJ110" s="62">
        <f t="shared" si="92"/>
        <v>439.28159165815276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11.604528088617984</v>
      </c>
      <c r="BQ110" s="23">
        <f>EXP(-LN(2)/25)*BQ109+(1-EXP(-LN(2)/25))/(LN(2)/25)*Calculateur!BL110*Calculateur!BN110*VLOOKUP('Données projet'!$B$11,Paramètres!$A$1:$I$89,3,0)*0.475*44/12</f>
        <v>5.1972640284590792</v>
      </c>
      <c r="BR110" s="23">
        <f>EXP(-LN(2)/2)*BR109+(1-EXP(-LN(2)/2))/(LN(2)/2)*BL110*BO110*VLOOKUP('Données projet'!$B$11,Paramètres!$A$1:$I$89,3,0)*0.475*44/12</f>
        <v>1.1207446087958606E-10</v>
      </c>
      <c r="BS110" s="24">
        <f t="shared" si="63"/>
        <v>16.801792117189137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1.9895196601282805E-13</v>
      </c>
      <c r="BZ110" s="14">
        <f>BY110*VLOOKUP('Données projet'!$B$12,Paramètres!$A$1:$I$89,3,0)*VLOOKUP('Données projet'!$B$12,Paramètres!$A$1:$I$89,5,0)</f>
        <v>1.8001173884840681E-13</v>
      </c>
      <c r="CA110" s="14">
        <f t="shared" si="93"/>
        <v>2.5254331426407198E-12</v>
      </c>
      <c r="CB110" s="22">
        <f t="shared" si="64"/>
        <v>4.7119831685935622E-12</v>
      </c>
      <c r="CC110" s="62">
        <f t="shared" si="65"/>
        <v>293.33333333333803</v>
      </c>
      <c r="CD110" s="62">
        <f ca="1">AVERAGE(OFFSET($CC$3,0,0,'Données projet'!$E$12+1,1))-AVERAGE(OFFSET($H$3,0,0,'Données projet'!$E$12+1,1))</f>
        <v>302.6112905010138</v>
      </c>
      <c r="CE110" s="62">
        <f t="shared" si="94"/>
        <v>423.44006663873375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1.8144903097555942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1.8144903097555942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187.13674266165236</v>
      </c>
      <c r="T111" s="62">
        <f t="shared" si="88"/>
        <v>439.28159165815276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-1.1368683772161603E-13</v>
      </c>
      <c r="AJ111" s="14">
        <f>AI111*VLOOKUP('Données projet'!$B$10,Paramètres!$A$1:$I$89,3,0)*VLOOKUP('Données projet'!$B$10,Paramètres!$A$1:$I$89,5,0)</f>
        <v>-9.9316821433603781E-14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327.826081588335</v>
      </c>
      <c r="AO111" s="62">
        <f t="shared" si="90"/>
        <v>348.84706693879735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1.8224634016078669</v>
      </c>
      <c r="AW111" s="23">
        <f>EXP(-LN(2)/2)*AW110+(1-EXP(-LN(2)/2))/(LN(2)/2)*AQ111*AT111*VLOOKUP('Données projet'!$B$10,Paramètres!$A$1:$I$89,3,0)*0.475*44/12</f>
        <v>2.7093437212099094E-11</v>
      </c>
      <c r="AX111" s="23">
        <f t="shared" si="60"/>
        <v>1.8224634016349603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1.1368683772161603E-13</v>
      </c>
      <c r="BE111" s="14">
        <f>BD111*VLOOKUP('Données projet'!$B$11,Paramètres!$A$1:$I$89,3,0)*VLOOKUP('Données projet'!$B$11,Paramètres!$A$1:$I$89,5,0)</f>
        <v>6.7984728957526396E-14</v>
      </c>
      <c r="BF111" s="14">
        <f t="shared" si="91"/>
        <v>1.0682447123141398E-12</v>
      </c>
      <c r="BG111" s="22">
        <f t="shared" si="61"/>
        <v>1.978932943548152E-12</v>
      </c>
      <c r="BH111" s="62">
        <f t="shared" si="62"/>
        <v>293.3333333333353</v>
      </c>
      <c r="BI111" s="62">
        <f ca="1">AVERAGE(OFFSET($BH$3,0,0,'Données projet'!$E$11+1,1))-AVERAGE(OFFSET($H$3,0,0,'Données projet'!$E$11+1,1))</f>
        <v>187.13674266165236</v>
      </c>
      <c r="BJ111" s="62">
        <f t="shared" si="92"/>
        <v>439.28159165815276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11.376970370863418</v>
      </c>
      <c r="BQ111" s="23">
        <f>EXP(-LN(2)/25)*BQ110+(1-EXP(-LN(2)/25))/(LN(2)/25)*Calculateur!BL111*Calculateur!BN111*VLOOKUP('Données projet'!$B$11,Paramètres!$A$1:$I$89,3,0)*0.475*44/12</f>
        <v>5.0551445702886291</v>
      </c>
      <c r="BR111" s="23">
        <f>EXP(-LN(2)/2)*BR110+(1-EXP(-LN(2)/2))/(LN(2)/2)*BL111*BO111*VLOOKUP('Données projet'!$B$11,Paramètres!$A$1:$I$89,3,0)*0.475*44/12</f>
        <v>7.9248611285781742E-11</v>
      </c>
      <c r="BS111" s="24">
        <f t="shared" si="63"/>
        <v>16.432114941231298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1.9895196601282805E-13</v>
      </c>
      <c r="BZ111" s="14">
        <f>BY111*VLOOKUP('Données projet'!$B$12,Paramètres!$A$1:$I$89,3,0)*VLOOKUP('Données projet'!$B$12,Paramètres!$A$1:$I$89,5,0)</f>
        <v>1.8001173884840681E-13</v>
      </c>
      <c r="CA111" s="14">
        <f t="shared" si="93"/>
        <v>2.5254331426407198E-12</v>
      </c>
      <c r="CB111" s="22">
        <f t="shared" si="64"/>
        <v>4.7119831685935622E-12</v>
      </c>
      <c r="CC111" s="62">
        <f t="shared" si="65"/>
        <v>293.33333333333803</v>
      </c>
      <c r="CD111" s="62">
        <f ca="1">AVERAGE(OFFSET($CC$3,0,0,'Données projet'!$E$12+1,1))-AVERAGE(OFFSET($H$3,0,0,'Données projet'!$E$12+1,1))</f>
        <v>302.6112905010138</v>
      </c>
      <c r="CE111" s="62">
        <f t="shared" si="94"/>
        <v>423.44006663873375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1.7789092615110955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1.7789092615110955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187.13674266165236</v>
      </c>
      <c r="T112" s="62">
        <f t="shared" si="88"/>
        <v>439.28159165815276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-1.1368683772161603E-13</v>
      </c>
      <c r="AJ112" s="14">
        <f>AI112*VLOOKUP('Données projet'!$B$10,Paramètres!$A$1:$I$89,3,0)*VLOOKUP('Données projet'!$B$10,Paramètres!$A$1:$I$89,5,0)</f>
        <v>-9.9316821433603781E-14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327.826081588335</v>
      </c>
      <c r="AO112" s="62">
        <f t="shared" si="90"/>
        <v>348.84706693879735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1.7726280440517148</v>
      </c>
      <c r="AW112" s="23">
        <f>EXP(-LN(2)/2)*AW111+(1-EXP(-LN(2)/2))/(LN(2)/2)*AQ112*AT112*VLOOKUP('Données projet'!$B$10,Paramètres!$A$1:$I$89,3,0)*0.475*44/12</f>
        <v>1.9157953178327218E-11</v>
      </c>
      <c r="AX112" s="23">
        <f t="shared" si="60"/>
        <v>1.7726280440708728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1.1368683772161603E-13</v>
      </c>
      <c r="BE112" s="14">
        <f>BD112*VLOOKUP('Données projet'!$B$11,Paramètres!$A$1:$I$89,3,0)*VLOOKUP('Données projet'!$B$11,Paramètres!$A$1:$I$89,5,0)</f>
        <v>6.7984728957526396E-14</v>
      </c>
      <c r="BF112" s="14">
        <f t="shared" si="91"/>
        <v>1.0682447123141398E-12</v>
      </c>
      <c r="BG112" s="22">
        <f t="shared" si="61"/>
        <v>1.978932943548152E-12</v>
      </c>
      <c r="BH112" s="62">
        <f t="shared" si="62"/>
        <v>293.3333333333353</v>
      </c>
      <c r="BI112" s="62">
        <f ca="1">AVERAGE(OFFSET($BH$3,0,0,'Données projet'!$E$11+1,1))-AVERAGE(OFFSET($H$3,0,0,'Données projet'!$E$11+1,1))</f>
        <v>187.13674266165236</v>
      </c>
      <c r="BJ112" s="62">
        <f t="shared" si="92"/>
        <v>439.28159165815276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11.153874921157517</v>
      </c>
      <c r="BQ112" s="23">
        <f>EXP(-LN(2)/25)*BQ111+(1-EXP(-LN(2)/25))/(LN(2)/25)*Calculateur!BL112*Calculateur!BN112*VLOOKUP('Données projet'!$B$11,Paramètres!$A$1:$I$89,3,0)*0.475*44/12</f>
        <v>4.9169113761755874</v>
      </c>
      <c r="BR112" s="23">
        <f>EXP(-LN(2)/2)*BR111+(1-EXP(-LN(2)/2))/(LN(2)/2)*BL112*BO112*VLOOKUP('Données projet'!$B$11,Paramètres!$A$1:$I$89,3,0)*0.475*44/12</f>
        <v>5.6037230439793034E-11</v>
      </c>
      <c r="BS112" s="24">
        <f t="shared" si="63"/>
        <v>16.070786297389141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1.9895196601282805E-13</v>
      </c>
      <c r="BZ112" s="14">
        <f>BY112*VLOOKUP('Données projet'!$B$12,Paramètres!$A$1:$I$89,3,0)*VLOOKUP('Données projet'!$B$12,Paramètres!$A$1:$I$89,5,0)</f>
        <v>1.8001173884840681E-13</v>
      </c>
      <c r="CA112" s="14">
        <f t="shared" si="93"/>
        <v>2.5254331426407198E-12</v>
      </c>
      <c r="CB112" s="22">
        <f t="shared" si="64"/>
        <v>4.7119831685935622E-12</v>
      </c>
      <c r="CC112" s="62">
        <f t="shared" si="65"/>
        <v>293.33333333333803</v>
      </c>
      <c r="CD112" s="62">
        <f ca="1">AVERAGE(OFFSET($CC$3,0,0,'Données projet'!$E$12+1,1))-AVERAGE(OFFSET($H$3,0,0,'Données projet'!$E$12+1,1))</f>
        <v>302.6112905010138</v>
      </c>
      <c r="CE112" s="62">
        <f t="shared" si="94"/>
        <v>423.44006663873375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1.7440259359203749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1.7440259359203749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187.13674266165236</v>
      </c>
      <c r="T113" s="62">
        <f t="shared" si="88"/>
        <v>439.28159165815276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-1.1368683772161603E-13</v>
      </c>
      <c r="AJ113" s="14">
        <f>AI113*VLOOKUP('Données projet'!$B$10,Paramètres!$A$1:$I$89,3,0)*VLOOKUP('Données projet'!$B$10,Paramètres!$A$1:$I$89,5,0)</f>
        <v>-9.9316821433603781E-14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327.826081588335</v>
      </c>
      <c r="AO113" s="62">
        <f t="shared" si="90"/>
        <v>348.84706693879735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1.7241554369686631</v>
      </c>
      <c r="AW113" s="23">
        <f>EXP(-LN(2)/2)*AW112+(1-EXP(-LN(2)/2))/(LN(2)/2)*AQ113*AT113*VLOOKUP('Données projet'!$B$10,Paramètres!$A$1:$I$89,3,0)*0.475*44/12</f>
        <v>1.3546718606049547E-11</v>
      </c>
      <c r="AX113" s="23">
        <f t="shared" si="60"/>
        <v>1.7241554369822099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1.1368683772161603E-13</v>
      </c>
      <c r="BE113" s="14">
        <f>BD113*VLOOKUP('Données projet'!$B$11,Paramètres!$A$1:$I$89,3,0)*VLOOKUP('Données projet'!$B$11,Paramètres!$A$1:$I$89,5,0)</f>
        <v>6.7984728957526396E-14</v>
      </c>
      <c r="BF113" s="14">
        <f t="shared" si="91"/>
        <v>1.0682447123141398E-12</v>
      </c>
      <c r="BG113" s="22">
        <f t="shared" si="61"/>
        <v>1.978932943548152E-12</v>
      </c>
      <c r="BH113" s="62">
        <f t="shared" si="62"/>
        <v>293.3333333333353</v>
      </c>
      <c r="BI113" s="62">
        <f ca="1">AVERAGE(OFFSET($BH$3,0,0,'Données projet'!$E$11+1,1))-AVERAGE(OFFSET($H$3,0,0,'Données projet'!$E$11+1,1))</f>
        <v>187.13674266165236</v>
      </c>
      <c r="BJ113" s="62">
        <f t="shared" si="92"/>
        <v>439.28159165815276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10.935154237145561</v>
      </c>
      <c r="BQ113" s="23">
        <f>EXP(-LN(2)/25)*BQ112+(1-EXP(-LN(2)/25))/(LN(2)/25)*Calculateur!BL113*Calculateur!BN113*VLOOKUP('Données projet'!$B$11,Paramètres!$A$1:$I$89,3,0)*0.475*44/12</f>
        <v>4.7824581760249343</v>
      </c>
      <c r="BR113" s="23">
        <f>EXP(-LN(2)/2)*BR112+(1-EXP(-LN(2)/2))/(LN(2)/2)*BL113*BO113*VLOOKUP('Données projet'!$B$11,Paramètres!$A$1:$I$89,3,0)*0.475*44/12</f>
        <v>3.9624305642890877E-11</v>
      </c>
      <c r="BS113" s="24">
        <f t="shared" si="63"/>
        <v>15.717612413210121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1.9895196601282805E-13</v>
      </c>
      <c r="BZ113" s="14">
        <f>BY113*VLOOKUP('Données projet'!$B$12,Paramètres!$A$1:$I$89,3,0)*VLOOKUP('Données projet'!$B$12,Paramètres!$A$1:$I$89,5,0)</f>
        <v>1.8001173884840681E-13</v>
      </c>
      <c r="CA113" s="14">
        <f t="shared" si="93"/>
        <v>2.5254331426407198E-12</v>
      </c>
      <c r="CB113" s="22">
        <f t="shared" si="64"/>
        <v>4.7119831685935622E-12</v>
      </c>
      <c r="CC113" s="62">
        <f t="shared" si="65"/>
        <v>293.33333333333803</v>
      </c>
      <c r="CD113" s="62">
        <f ca="1">AVERAGE(OFFSET($CC$3,0,0,'Données projet'!$E$12+1,1))-AVERAGE(OFFSET($H$3,0,0,'Données projet'!$E$12+1,1))</f>
        <v>302.6112905010138</v>
      </c>
      <c r="CE113" s="62">
        <f t="shared" si="94"/>
        <v>423.44006663873375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1.7098266510677607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1.7098266510677607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187.13674266165236</v>
      </c>
      <c r="T114" s="62">
        <f t="shared" si="88"/>
        <v>439.28159165815276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-1.1368683772161603E-13</v>
      </c>
      <c r="AJ114" s="14">
        <f>AI114*VLOOKUP('Données projet'!$B$10,Paramètres!$A$1:$I$89,3,0)*VLOOKUP('Données projet'!$B$10,Paramètres!$A$1:$I$89,5,0)</f>
        <v>-9.9316821433603781E-14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327.826081588335</v>
      </c>
      <c r="AO114" s="62">
        <f t="shared" si="90"/>
        <v>348.84706693879735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1.6770083158753613</v>
      </c>
      <c r="AW114" s="23">
        <f>EXP(-LN(2)/2)*AW113+(1-EXP(-LN(2)/2))/(LN(2)/2)*AQ114*AT114*VLOOKUP('Données projet'!$B$10,Paramètres!$A$1:$I$89,3,0)*0.475*44/12</f>
        <v>9.5789765891636089E-12</v>
      </c>
      <c r="AX114" s="23">
        <f t="shared" si="60"/>
        <v>1.6770083158849403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1.1368683772161603E-13</v>
      </c>
      <c r="BE114" s="14">
        <f>BD114*VLOOKUP('Données projet'!$B$11,Paramètres!$A$1:$I$89,3,0)*VLOOKUP('Données projet'!$B$11,Paramètres!$A$1:$I$89,5,0)</f>
        <v>6.7984728957526396E-14</v>
      </c>
      <c r="BF114" s="14">
        <f t="shared" si="91"/>
        <v>1.0682447123141398E-12</v>
      </c>
      <c r="BG114" s="22">
        <f t="shared" si="61"/>
        <v>1.978932943548152E-12</v>
      </c>
      <c r="BH114" s="62">
        <f t="shared" si="62"/>
        <v>293.3333333333353</v>
      </c>
      <c r="BI114" s="62">
        <f ca="1">AVERAGE(OFFSET($BH$3,0,0,'Données projet'!$E$11+1,1))-AVERAGE(OFFSET($H$3,0,0,'Données projet'!$E$11+1,1))</f>
        <v>187.13674266165236</v>
      </c>
      <c r="BJ114" s="62">
        <f t="shared" si="92"/>
        <v>439.28159165815276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10.720722532340634</v>
      </c>
      <c r="BQ114" s="23">
        <f>EXP(-LN(2)/25)*BQ113+(1-EXP(-LN(2)/25))/(LN(2)/25)*Calculateur!BL114*Calculateur!BN114*VLOOKUP('Données projet'!$B$11,Paramètres!$A$1:$I$89,3,0)*0.475*44/12</f>
        <v>4.6516816057029873</v>
      </c>
      <c r="BR114" s="23">
        <f>EXP(-LN(2)/2)*BR113+(1-EXP(-LN(2)/2))/(LN(2)/2)*BL114*BO114*VLOOKUP('Données projet'!$B$11,Paramètres!$A$1:$I$89,3,0)*0.475*44/12</f>
        <v>2.801861521989652E-11</v>
      </c>
      <c r="BS114" s="24">
        <f t="shared" si="63"/>
        <v>15.372404138071639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1.9895196601282805E-13</v>
      </c>
      <c r="BZ114" s="14">
        <f>BY114*VLOOKUP('Données projet'!$B$12,Paramètres!$A$1:$I$89,3,0)*VLOOKUP('Données projet'!$B$12,Paramètres!$A$1:$I$89,5,0)</f>
        <v>1.8001173884840681E-13</v>
      </c>
      <c r="CA114" s="14">
        <f t="shared" si="93"/>
        <v>2.5254331426407198E-12</v>
      </c>
      <c r="CB114" s="22">
        <f t="shared" si="64"/>
        <v>4.7119831685935622E-12</v>
      </c>
      <c r="CC114" s="62">
        <f t="shared" si="65"/>
        <v>293.33333333333803</v>
      </c>
      <c r="CD114" s="62">
        <f ca="1">AVERAGE(OFFSET($CC$3,0,0,'Données projet'!$E$12+1,1))-AVERAGE(OFFSET($H$3,0,0,'Données projet'!$E$12+1,1))</f>
        <v>302.6112905010138</v>
      </c>
      <c r="CE114" s="62">
        <f t="shared" si="94"/>
        <v>423.44006663873375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1.676297993331602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1.676297993331602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187.13674266165236</v>
      </c>
      <c r="T115" s="62">
        <f t="shared" si="88"/>
        <v>439.28159165815276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-1.1368683772161603E-13</v>
      </c>
      <c r="AJ115" s="14">
        <f>AI115*VLOOKUP('Données projet'!$B$10,Paramètres!$A$1:$I$89,3,0)*VLOOKUP('Données projet'!$B$10,Paramètres!$A$1:$I$89,5,0)</f>
        <v>-9.9316821433603781E-14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327.826081588335</v>
      </c>
      <c r="AO115" s="62">
        <f t="shared" si="90"/>
        <v>348.84706693879735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1.6311504352877151</v>
      </c>
      <c r="AW115" s="23">
        <f>EXP(-LN(2)/2)*AW114+(1-EXP(-LN(2)/2))/(LN(2)/2)*AQ115*AT115*VLOOKUP('Données projet'!$B$10,Paramètres!$A$1:$I$89,3,0)*0.475*44/12</f>
        <v>6.7733593030247734E-12</v>
      </c>
      <c r="AX115" s="23">
        <f t="shared" si="60"/>
        <v>1.6311504352944883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1.1368683772161603E-13</v>
      </c>
      <c r="BE115" s="14">
        <f>BD115*VLOOKUP('Données projet'!$B$11,Paramètres!$A$1:$I$89,3,0)*VLOOKUP('Données projet'!$B$11,Paramètres!$A$1:$I$89,5,0)</f>
        <v>6.7984728957526396E-14</v>
      </c>
      <c r="BF115" s="14">
        <f t="shared" si="91"/>
        <v>1.0682447123141398E-12</v>
      </c>
      <c r="BG115" s="22">
        <f t="shared" si="61"/>
        <v>1.978932943548152E-12</v>
      </c>
      <c r="BH115" s="62">
        <f t="shared" si="62"/>
        <v>293.3333333333353</v>
      </c>
      <c r="BI115" s="62">
        <f ca="1">AVERAGE(OFFSET($BH$3,0,0,'Données projet'!$E$11+1,1))-AVERAGE(OFFSET($H$3,0,0,'Données projet'!$E$11+1,1))</f>
        <v>187.13674266165236</v>
      </c>
      <c r="BJ115" s="62">
        <f t="shared" si="92"/>
        <v>439.28159165815276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10.510495702476506</v>
      </c>
      <c r="BQ115" s="23">
        <f>EXP(-LN(2)/25)*BQ114+(1-EXP(-LN(2)/25))/(LN(2)/25)*Calculateur!BL115*Calculateur!BN115*VLOOKUP('Données projet'!$B$11,Paramètres!$A$1:$I$89,3,0)*0.475*44/12</f>
        <v>4.5244811275737353</v>
      </c>
      <c r="BR115" s="23">
        <f>EXP(-LN(2)/2)*BR114+(1-EXP(-LN(2)/2))/(LN(2)/2)*BL115*BO115*VLOOKUP('Données projet'!$B$11,Paramètres!$A$1:$I$89,3,0)*0.475*44/12</f>
        <v>1.9812152821445439E-11</v>
      </c>
      <c r="BS115" s="24">
        <f t="shared" si="63"/>
        <v>15.034976830070052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1.9895196601282805E-13</v>
      </c>
      <c r="BZ115" s="14">
        <f>BY115*VLOOKUP('Données projet'!$B$12,Paramètres!$A$1:$I$89,3,0)*VLOOKUP('Données projet'!$B$12,Paramètres!$A$1:$I$89,5,0)</f>
        <v>1.8001173884840681E-13</v>
      </c>
      <c r="CA115" s="14">
        <f t="shared" si="93"/>
        <v>2.5254331426407198E-12</v>
      </c>
      <c r="CB115" s="22">
        <f t="shared" si="64"/>
        <v>4.7119831685935622E-12</v>
      </c>
      <c r="CC115" s="62">
        <f t="shared" si="65"/>
        <v>293.33333333333803</v>
      </c>
      <c r="CD115" s="62">
        <f ca="1">AVERAGE(OFFSET($CC$3,0,0,'Données projet'!$E$12+1,1))-AVERAGE(OFFSET($H$3,0,0,'Données projet'!$E$12+1,1))</f>
        <v>302.6112905010138</v>
      </c>
      <c r="CE115" s="62">
        <f t="shared" si="94"/>
        <v>423.44006663873375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1.6434268121231876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1.6434268121231876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187.13674266165236</v>
      </c>
      <c r="T116" s="62">
        <f t="shared" si="88"/>
        <v>439.28159165815276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-1.1368683772161603E-13</v>
      </c>
      <c r="AJ116" s="14">
        <f>AI116*VLOOKUP('Données projet'!$B$10,Paramètres!$A$1:$I$89,3,0)*VLOOKUP('Données projet'!$B$10,Paramètres!$A$1:$I$89,5,0)</f>
        <v>-9.9316821433603781E-14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327.826081588335</v>
      </c>
      <c r="AO116" s="62">
        <f t="shared" si="90"/>
        <v>348.84706693879735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1.5865465408562991</v>
      </c>
      <c r="AW116" s="23">
        <f>EXP(-LN(2)/2)*AW115+(1-EXP(-LN(2)/2))/(LN(2)/2)*AQ116*AT116*VLOOKUP('Données projet'!$B$10,Paramètres!$A$1:$I$89,3,0)*0.475*44/12</f>
        <v>4.7894882945818045E-12</v>
      </c>
      <c r="AX116" s="23">
        <f t="shared" si="60"/>
        <v>1.5865465408610886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1.1368683772161603E-13</v>
      </c>
      <c r="BE116" s="14">
        <f>BD116*VLOOKUP('Données projet'!$B$11,Paramètres!$A$1:$I$89,3,0)*VLOOKUP('Données projet'!$B$11,Paramètres!$A$1:$I$89,5,0)</f>
        <v>6.7984728957526396E-14</v>
      </c>
      <c r="BF116" s="14">
        <f t="shared" si="91"/>
        <v>1.0682447123141398E-12</v>
      </c>
      <c r="BG116" s="22">
        <f t="shared" si="61"/>
        <v>1.978932943548152E-12</v>
      </c>
      <c r="BH116" s="62">
        <f t="shared" si="62"/>
        <v>293.3333333333353</v>
      </c>
      <c r="BI116" s="62">
        <f ca="1">AVERAGE(OFFSET($BH$3,0,0,'Données projet'!$E$11+1,1))-AVERAGE(OFFSET($H$3,0,0,'Données projet'!$E$11+1,1))</f>
        <v>187.13674266165236</v>
      </c>
      <c r="BJ116" s="62">
        <f t="shared" si="92"/>
        <v>439.28159165815276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10.304391292520309</v>
      </c>
      <c r="BQ116" s="23">
        <f>EXP(-LN(2)/25)*BQ115+(1-EXP(-LN(2)/25))/(LN(2)/25)*Calculateur!BL116*Calculateur!BN116*VLOOKUP('Données projet'!$B$11,Paramètres!$A$1:$I$89,3,0)*0.475*44/12</f>
        <v>4.4007589532081095</v>
      </c>
      <c r="BR116" s="23">
        <f>EXP(-LN(2)/2)*BR115+(1-EXP(-LN(2)/2))/(LN(2)/2)*BL116*BO116*VLOOKUP('Données projet'!$B$11,Paramètres!$A$1:$I$89,3,0)*0.475*44/12</f>
        <v>1.400930760994826E-11</v>
      </c>
      <c r="BS116" s="24">
        <f t="shared" si="63"/>
        <v>14.705150245742429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1.9895196601282805E-13</v>
      </c>
      <c r="BZ116" s="14">
        <f>BY116*VLOOKUP('Données projet'!$B$12,Paramètres!$A$1:$I$89,3,0)*VLOOKUP('Données projet'!$B$12,Paramètres!$A$1:$I$89,5,0)</f>
        <v>1.8001173884840681E-13</v>
      </c>
      <c r="CA116" s="14">
        <f t="shared" si="93"/>
        <v>2.5254331426407198E-12</v>
      </c>
      <c r="CB116" s="22">
        <f t="shared" si="64"/>
        <v>4.7119831685935622E-12</v>
      </c>
      <c r="CC116" s="62">
        <f t="shared" si="65"/>
        <v>293.33333333333803</v>
      </c>
      <c r="CD116" s="62">
        <f ca="1">AVERAGE(OFFSET($CC$3,0,0,'Données projet'!$E$12+1,1))-AVERAGE(OFFSET($H$3,0,0,'Données projet'!$E$12+1,1))</f>
        <v>302.6112905010138</v>
      </c>
      <c r="CE116" s="62">
        <f t="shared" si="94"/>
        <v>423.44006663873375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1.6112002147288293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1.6112002147288293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187.13674266165236</v>
      </c>
      <c r="T117" s="62">
        <f t="shared" si="88"/>
        <v>439.28159165815276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-1.1368683772161603E-13</v>
      </c>
      <c r="AJ117" s="14">
        <f>AI117*VLOOKUP('Données projet'!$B$10,Paramètres!$A$1:$I$89,3,0)*VLOOKUP('Données projet'!$B$10,Paramètres!$A$1:$I$89,5,0)</f>
        <v>-9.9316821433603781E-14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327.826081588335</v>
      </c>
      <c r="AO117" s="62">
        <f t="shared" si="90"/>
        <v>348.84706693879735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1.5431623422637271</v>
      </c>
      <c r="AW117" s="23">
        <f>EXP(-LN(2)/2)*AW116+(1-EXP(-LN(2)/2))/(LN(2)/2)*AQ117*AT117*VLOOKUP('Données projet'!$B$10,Paramètres!$A$1:$I$89,3,0)*0.475*44/12</f>
        <v>3.3866796515123867E-12</v>
      </c>
      <c r="AX117" s="23">
        <f t="shared" si="60"/>
        <v>1.5431623422671137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1.1368683772161603E-13</v>
      </c>
      <c r="BE117" s="14">
        <f>BD117*VLOOKUP('Données projet'!$B$11,Paramètres!$A$1:$I$89,3,0)*VLOOKUP('Données projet'!$B$11,Paramètres!$A$1:$I$89,5,0)</f>
        <v>6.7984728957526396E-14</v>
      </c>
      <c r="BF117" s="14">
        <f t="shared" si="91"/>
        <v>1.0682447123141398E-12</v>
      </c>
      <c r="BG117" s="22">
        <f t="shared" si="61"/>
        <v>1.978932943548152E-12</v>
      </c>
      <c r="BH117" s="62">
        <f t="shared" si="62"/>
        <v>293.3333333333353</v>
      </c>
      <c r="BI117" s="62">
        <f ca="1">AVERAGE(OFFSET($BH$3,0,0,'Données projet'!$E$11+1,1))-AVERAGE(OFFSET($H$3,0,0,'Données projet'!$E$11+1,1))</f>
        <v>187.13674266165236</v>
      </c>
      <c r="BJ117" s="62">
        <f t="shared" si="92"/>
        <v>439.28159165815276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10.102328464332077</v>
      </c>
      <c r="BQ117" s="23">
        <f>EXP(-LN(2)/25)*BQ116+(1-EXP(-LN(2)/25))/(LN(2)/25)*Calculateur!BL117*Calculateur!BN117*VLOOKUP('Données projet'!$B$11,Paramètres!$A$1:$I$89,3,0)*0.475*44/12</f>
        <v>4.2804199682067781</v>
      </c>
      <c r="BR117" s="23">
        <f>EXP(-LN(2)/2)*BR116+(1-EXP(-LN(2)/2))/(LN(2)/2)*BL117*BO117*VLOOKUP('Données projet'!$B$11,Paramètres!$A$1:$I$89,3,0)*0.475*44/12</f>
        <v>9.9060764107227193E-12</v>
      </c>
      <c r="BS117" s="24">
        <f t="shared" si="63"/>
        <v>14.382748432548761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1.9895196601282805E-13</v>
      </c>
      <c r="BZ117" s="14">
        <f>BY117*VLOOKUP('Données projet'!$B$12,Paramètres!$A$1:$I$89,3,0)*VLOOKUP('Données projet'!$B$12,Paramètres!$A$1:$I$89,5,0)</f>
        <v>1.8001173884840681E-13</v>
      </c>
      <c r="CA117" s="14">
        <f t="shared" si="93"/>
        <v>2.5254331426407198E-12</v>
      </c>
      <c r="CB117" s="22">
        <f t="shared" si="64"/>
        <v>4.7119831685935622E-12</v>
      </c>
      <c r="CC117" s="62">
        <f t="shared" si="65"/>
        <v>293.33333333333803</v>
      </c>
      <c r="CD117" s="62">
        <f ca="1">AVERAGE(OFFSET($CC$3,0,0,'Données projet'!$E$12+1,1))-AVERAGE(OFFSET($H$3,0,0,'Données projet'!$E$12+1,1))</f>
        <v>302.6112905010138</v>
      </c>
      <c r="CE117" s="62">
        <f t="shared" si="94"/>
        <v>423.44006663873375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1.579605561253091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1.579605561253091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187.13674266165236</v>
      </c>
      <c r="T118" s="62">
        <f t="shared" si="88"/>
        <v>439.28159165815276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-1.1368683772161603E-13</v>
      </c>
      <c r="AJ118" s="14">
        <f>AI118*VLOOKUP('Données projet'!$B$10,Paramètres!$A$1:$I$89,3,0)*VLOOKUP('Données projet'!$B$10,Paramètres!$A$1:$I$89,5,0)</f>
        <v>-9.9316821433603781E-14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327.826081588335</v>
      </c>
      <c r="AO118" s="62">
        <f t="shared" si="90"/>
        <v>348.84706693879735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1.5009644868631449</v>
      </c>
      <c r="AW118" s="23">
        <f>EXP(-LN(2)/2)*AW117+(1-EXP(-LN(2)/2))/(LN(2)/2)*AQ118*AT118*VLOOKUP('Données projet'!$B$10,Paramètres!$A$1:$I$89,3,0)*0.475*44/12</f>
        <v>2.3947441472909022E-12</v>
      </c>
      <c r="AX118" s="23">
        <f t="shared" si="60"/>
        <v>1.5009644868655396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1.1368683772161603E-13</v>
      </c>
      <c r="BE118" s="14">
        <f>BD118*VLOOKUP('Données projet'!$B$11,Paramètres!$A$1:$I$89,3,0)*VLOOKUP('Données projet'!$B$11,Paramètres!$A$1:$I$89,5,0)</f>
        <v>6.7984728957526396E-14</v>
      </c>
      <c r="BF118" s="14">
        <f t="shared" si="91"/>
        <v>1.0682447123141398E-12</v>
      </c>
      <c r="BG118" s="22">
        <f t="shared" si="61"/>
        <v>1.978932943548152E-12</v>
      </c>
      <c r="BH118" s="62">
        <f t="shared" si="62"/>
        <v>293.3333333333353</v>
      </c>
      <c r="BI118" s="62">
        <f ca="1">AVERAGE(OFFSET($BH$3,0,0,'Données projet'!$E$11+1,1))-AVERAGE(OFFSET($H$3,0,0,'Données projet'!$E$11+1,1))</f>
        <v>187.13674266165236</v>
      </c>
      <c r="BJ118" s="62">
        <f t="shared" si="92"/>
        <v>439.28159165815276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9.9042279649584604</v>
      </c>
      <c r="BQ118" s="23">
        <f>EXP(-LN(2)/25)*BQ117+(1-EXP(-LN(2)/25))/(LN(2)/25)*Calculateur!BL118*Calculateur!BN118*VLOOKUP('Données projet'!$B$11,Paramètres!$A$1:$I$89,3,0)*0.475*44/12</f>
        <v>4.1633716590786607</v>
      </c>
      <c r="BR118" s="23">
        <f>EXP(-LN(2)/2)*BR117+(1-EXP(-LN(2)/2))/(LN(2)/2)*BL118*BO118*VLOOKUP('Données projet'!$B$11,Paramètres!$A$1:$I$89,3,0)*0.475*44/12</f>
        <v>7.0046538049741301E-12</v>
      </c>
      <c r="BS118" s="24">
        <f t="shared" si="63"/>
        <v>14.067599624044126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1.9895196601282805E-13</v>
      </c>
      <c r="BZ118" s="14">
        <f>BY118*VLOOKUP('Données projet'!$B$12,Paramètres!$A$1:$I$89,3,0)*VLOOKUP('Données projet'!$B$12,Paramètres!$A$1:$I$89,5,0)</f>
        <v>1.8001173884840681E-13</v>
      </c>
      <c r="CA118" s="14">
        <f t="shared" si="93"/>
        <v>2.5254331426407198E-12</v>
      </c>
      <c r="CB118" s="22">
        <f t="shared" si="64"/>
        <v>4.7119831685935622E-12</v>
      </c>
      <c r="CC118" s="62">
        <f t="shared" si="65"/>
        <v>293.33333333333803</v>
      </c>
      <c r="CD118" s="62">
        <f ca="1">AVERAGE(OFFSET($CC$3,0,0,'Données projet'!$E$12+1,1))-AVERAGE(OFFSET($H$3,0,0,'Données projet'!$E$12+1,1))</f>
        <v>302.6112905010138</v>
      </c>
      <c r="CE118" s="62">
        <f t="shared" si="94"/>
        <v>423.44006663873375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1.5486304596611762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1.5486304596611762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187.13674266165236</v>
      </c>
      <c r="T119" s="62">
        <f t="shared" si="88"/>
        <v>439.28159165815276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-1.1368683772161603E-13</v>
      </c>
      <c r="AJ119" s="14">
        <f>AI119*VLOOKUP('Données projet'!$B$10,Paramètres!$A$1:$I$89,3,0)*VLOOKUP('Données projet'!$B$10,Paramètres!$A$1:$I$89,5,0)</f>
        <v>-9.9316821433603781E-14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327.826081588335</v>
      </c>
      <c r="AO119" s="62">
        <f t="shared" si="90"/>
        <v>348.84706693879735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1.4599205340375803</v>
      </c>
      <c r="AW119" s="23">
        <f>EXP(-LN(2)/2)*AW118+(1-EXP(-LN(2)/2))/(LN(2)/2)*AQ119*AT119*VLOOKUP('Données projet'!$B$10,Paramètres!$A$1:$I$89,3,0)*0.475*44/12</f>
        <v>1.6933398257561934E-12</v>
      </c>
      <c r="AX119" s="23">
        <f t="shared" si="60"/>
        <v>1.4599205340392736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1.1368683772161603E-13</v>
      </c>
      <c r="BE119" s="14">
        <f>BD119*VLOOKUP('Données projet'!$B$11,Paramètres!$A$1:$I$89,3,0)*VLOOKUP('Données projet'!$B$11,Paramètres!$A$1:$I$89,5,0)</f>
        <v>6.7984728957526396E-14</v>
      </c>
      <c r="BF119" s="14">
        <f t="shared" si="91"/>
        <v>1.0682447123141398E-12</v>
      </c>
      <c r="BG119" s="22">
        <f t="shared" si="61"/>
        <v>1.978932943548152E-12</v>
      </c>
      <c r="BH119" s="62">
        <f t="shared" si="62"/>
        <v>293.3333333333353</v>
      </c>
      <c r="BI119" s="62">
        <f ca="1">AVERAGE(OFFSET($BH$3,0,0,'Données projet'!$E$11+1,1))-AVERAGE(OFFSET($H$3,0,0,'Données projet'!$E$11+1,1))</f>
        <v>187.13674266165236</v>
      </c>
      <c r="BJ119" s="62">
        <f t="shared" si="92"/>
        <v>439.28159165815276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9.7100120955481852</v>
      </c>
      <c r="BQ119" s="23">
        <f>EXP(-LN(2)/25)*BQ118+(1-EXP(-LN(2)/25))/(LN(2)/25)*Calculateur!BL119*Calculateur!BN119*VLOOKUP('Données projet'!$B$11,Paramètres!$A$1:$I$89,3,0)*0.475*44/12</f>
        <v>4.0495240421189544</v>
      </c>
      <c r="BR119" s="23">
        <f>EXP(-LN(2)/2)*BR118+(1-EXP(-LN(2)/2))/(LN(2)/2)*BL119*BO119*VLOOKUP('Données projet'!$B$11,Paramètres!$A$1:$I$89,3,0)*0.475*44/12</f>
        <v>4.9530382053613597E-12</v>
      </c>
      <c r="BS119" s="24">
        <f t="shared" si="63"/>
        <v>13.759536137672093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1.9895196601282805E-13</v>
      </c>
      <c r="BZ119" s="14">
        <f>BY119*VLOOKUP('Données projet'!$B$12,Paramètres!$A$1:$I$89,3,0)*VLOOKUP('Données projet'!$B$12,Paramètres!$A$1:$I$89,5,0)</f>
        <v>1.8001173884840681E-13</v>
      </c>
      <c r="CA119" s="14">
        <f t="shared" si="93"/>
        <v>2.5254331426407198E-12</v>
      </c>
      <c r="CB119" s="22">
        <f t="shared" si="64"/>
        <v>4.7119831685935622E-12</v>
      </c>
      <c r="CC119" s="62">
        <f t="shared" si="65"/>
        <v>293.33333333333803</v>
      </c>
      <c r="CD119" s="62">
        <f ca="1">AVERAGE(OFFSET($CC$3,0,0,'Données projet'!$E$12+1,1))-AVERAGE(OFFSET($H$3,0,0,'Données projet'!$E$12+1,1))</f>
        <v>302.6112905010138</v>
      </c>
      <c r="CE119" s="62">
        <f t="shared" si="94"/>
        <v>423.44006663873375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1.5182627609185322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1.5182627609185322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187.13674266165236</v>
      </c>
      <c r="T120" s="62">
        <f t="shared" si="88"/>
        <v>439.28159165815276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-1.1368683772161603E-13</v>
      </c>
      <c r="AJ120" s="14">
        <f>AI120*VLOOKUP('Données projet'!$B$10,Paramètres!$A$1:$I$89,3,0)*VLOOKUP('Données projet'!$B$10,Paramètres!$A$1:$I$89,5,0)</f>
        <v>-9.9316821433603781E-14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327.826081588335</v>
      </c>
      <c r="AO120" s="62">
        <f t="shared" si="90"/>
        <v>348.84706693879735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1.4199989302604383</v>
      </c>
      <c r="AW120" s="23">
        <f>EXP(-LN(2)/2)*AW119+(1-EXP(-LN(2)/2))/(LN(2)/2)*AQ120*AT120*VLOOKUP('Données projet'!$B$10,Paramètres!$A$1:$I$89,3,0)*0.475*44/12</f>
        <v>1.1973720736454511E-12</v>
      </c>
      <c r="AX120" s="23">
        <f t="shared" si="60"/>
        <v>1.4199989302616356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1.1368683772161603E-13</v>
      </c>
      <c r="BE120" s="14">
        <f>BD120*VLOOKUP('Données projet'!$B$11,Paramètres!$A$1:$I$89,3,0)*VLOOKUP('Données projet'!$B$11,Paramètres!$A$1:$I$89,5,0)</f>
        <v>6.7984728957526396E-14</v>
      </c>
      <c r="BF120" s="14">
        <f t="shared" si="91"/>
        <v>1.0682447123141398E-12</v>
      </c>
      <c r="BG120" s="22">
        <f t="shared" si="61"/>
        <v>1.978932943548152E-12</v>
      </c>
      <c r="BH120" s="62">
        <f t="shared" si="62"/>
        <v>293.3333333333353</v>
      </c>
      <c r="BI120" s="62">
        <f ca="1">AVERAGE(OFFSET($BH$3,0,0,'Données projet'!$E$11+1,1))-AVERAGE(OFFSET($H$3,0,0,'Données projet'!$E$11+1,1))</f>
        <v>187.13674266165236</v>
      </c>
      <c r="BJ120" s="62">
        <f t="shared" si="92"/>
        <v>439.28159165815276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9.5196046808770625</v>
      </c>
      <c r="BQ120" s="23">
        <f>EXP(-LN(2)/25)*BQ119+(1-EXP(-LN(2)/25))/(LN(2)/25)*Calculateur!BL120*Calculateur!BN120*VLOOKUP('Données projet'!$B$11,Paramètres!$A$1:$I$89,3,0)*0.475*44/12</f>
        <v>3.9387895942319977</v>
      </c>
      <c r="BR120" s="23">
        <f>EXP(-LN(2)/2)*BR119+(1-EXP(-LN(2)/2))/(LN(2)/2)*BL120*BO120*VLOOKUP('Données projet'!$B$11,Paramètres!$A$1:$I$89,3,0)*0.475*44/12</f>
        <v>3.502326902487065E-12</v>
      </c>
      <c r="BS120" s="24">
        <f t="shared" si="63"/>
        <v>13.458394275112564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1.9895196601282805E-13</v>
      </c>
      <c r="BZ120" s="14">
        <f>BY120*VLOOKUP('Données projet'!$B$12,Paramètres!$A$1:$I$89,3,0)*VLOOKUP('Données projet'!$B$12,Paramètres!$A$1:$I$89,5,0)</f>
        <v>1.8001173884840681E-13</v>
      </c>
      <c r="CA120" s="14">
        <f t="shared" si="93"/>
        <v>2.5254331426407198E-12</v>
      </c>
      <c r="CB120" s="22">
        <f t="shared" si="64"/>
        <v>4.7119831685935622E-12</v>
      </c>
      <c r="CC120" s="62">
        <f t="shared" si="65"/>
        <v>293.33333333333803</v>
      </c>
      <c r="CD120" s="62">
        <f ca="1">AVERAGE(OFFSET($CC$3,0,0,'Données projet'!$E$12+1,1))-AVERAGE(OFFSET($H$3,0,0,'Données projet'!$E$12+1,1))</f>
        <v>302.6112905010138</v>
      </c>
      <c r="CE120" s="62">
        <f t="shared" si="94"/>
        <v>423.44006663873375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1.4884905542257643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1.4884905542257643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187.13674266165236</v>
      </c>
      <c r="T121" s="62">
        <f t="shared" si="88"/>
        <v>439.28159165815276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-1.1368683772161603E-13</v>
      </c>
      <c r="AJ121" s="14">
        <f>AI121*VLOOKUP('Données projet'!$B$10,Paramètres!$A$1:$I$89,3,0)*VLOOKUP('Données projet'!$B$10,Paramètres!$A$1:$I$89,5,0)</f>
        <v>-9.9316821433603781E-14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327.826081588335</v>
      </c>
      <c r="AO121" s="62">
        <f t="shared" si="90"/>
        <v>348.84706693879735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1.3811689848379685</v>
      </c>
      <c r="AW121" s="23">
        <f>EXP(-LN(2)/2)*AW120+(1-EXP(-LN(2)/2))/(LN(2)/2)*AQ121*AT121*VLOOKUP('Données projet'!$B$10,Paramètres!$A$1:$I$89,3,0)*0.475*44/12</f>
        <v>8.4666991287809668E-13</v>
      </c>
      <c r="AX121" s="23">
        <f t="shared" si="60"/>
        <v>1.3811689848388151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1.1368683772161603E-13</v>
      </c>
      <c r="BE121" s="14">
        <f>BD121*VLOOKUP('Données projet'!$B$11,Paramètres!$A$1:$I$89,3,0)*VLOOKUP('Données projet'!$B$11,Paramètres!$A$1:$I$89,5,0)</f>
        <v>6.7984728957526396E-14</v>
      </c>
      <c r="BF121" s="14">
        <f t="shared" si="91"/>
        <v>1.0682447123141398E-12</v>
      </c>
      <c r="BG121" s="22">
        <f t="shared" si="61"/>
        <v>1.978932943548152E-12</v>
      </c>
      <c r="BH121" s="62">
        <f t="shared" si="62"/>
        <v>293.3333333333353</v>
      </c>
      <c r="BI121" s="62">
        <f ca="1">AVERAGE(OFFSET($BH$3,0,0,'Données projet'!$E$11+1,1))-AVERAGE(OFFSET($H$3,0,0,'Données projet'!$E$11+1,1))</f>
        <v>187.13674266165236</v>
      </c>
      <c r="BJ121" s="62">
        <f t="shared" si="92"/>
        <v>439.28159165815276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9.3329310394705853</v>
      </c>
      <c r="BQ121" s="23">
        <f>EXP(-LN(2)/25)*BQ120+(1-EXP(-LN(2)/25))/(LN(2)/25)*Calculateur!BL121*Calculateur!BN121*VLOOKUP('Données projet'!$B$11,Paramètres!$A$1:$I$89,3,0)*0.475*44/12</f>
        <v>3.831083185645781</v>
      </c>
      <c r="BR121" s="23">
        <f>EXP(-LN(2)/2)*BR120+(1-EXP(-LN(2)/2))/(LN(2)/2)*BL121*BO121*VLOOKUP('Données projet'!$B$11,Paramètres!$A$1:$I$89,3,0)*0.475*44/12</f>
        <v>2.4765191026806798E-12</v>
      </c>
      <c r="BS121" s="24">
        <f t="shared" si="63"/>
        <v>13.164014225118843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1.9895196601282805E-13</v>
      </c>
      <c r="BZ121" s="14">
        <f>BY121*VLOOKUP('Données projet'!$B$12,Paramètres!$A$1:$I$89,3,0)*VLOOKUP('Données projet'!$B$12,Paramètres!$A$1:$I$89,5,0)</f>
        <v>1.8001173884840681E-13</v>
      </c>
      <c r="CA121" s="14">
        <f t="shared" si="93"/>
        <v>2.5254331426407198E-12</v>
      </c>
      <c r="CB121" s="22">
        <f t="shared" si="64"/>
        <v>4.7119831685935622E-12</v>
      </c>
      <c r="CC121" s="62">
        <f t="shared" si="65"/>
        <v>293.33333333333803</v>
      </c>
      <c r="CD121" s="62">
        <f ca="1">AVERAGE(OFFSET($CC$3,0,0,'Données projet'!$E$12+1,1))-AVERAGE(OFFSET($H$3,0,0,'Données projet'!$E$12+1,1))</f>
        <v>302.6112905010138</v>
      </c>
      <c r="CE121" s="62">
        <f t="shared" si="94"/>
        <v>423.44006663873375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1.4593021623469884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1.4593021623469884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187.13674266165236</v>
      </c>
      <c r="T122" s="62">
        <f t="shared" si="88"/>
        <v>439.28159165815276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-1.1368683772161603E-13</v>
      </c>
      <c r="AJ122" s="14">
        <f>AI122*VLOOKUP('Données projet'!$B$10,Paramètres!$A$1:$I$89,3,0)*VLOOKUP('Données projet'!$B$10,Paramètres!$A$1:$I$89,5,0)</f>
        <v>-9.9316821433603781E-14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327.826081588335</v>
      </c>
      <c r="AO122" s="62">
        <f t="shared" si="90"/>
        <v>348.84706693879735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1.343400846315054</v>
      </c>
      <c r="AW122" s="23">
        <f>EXP(-LN(2)/2)*AW121+(1-EXP(-LN(2)/2))/(LN(2)/2)*AQ122*AT122*VLOOKUP('Données projet'!$B$10,Paramètres!$A$1:$I$89,3,0)*0.475*44/12</f>
        <v>5.9868603682272556E-13</v>
      </c>
      <c r="AX122" s="23">
        <f t="shared" si="60"/>
        <v>1.3434008463156526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1.1368683772161603E-13</v>
      </c>
      <c r="BE122" s="14">
        <f>BD122*VLOOKUP('Données projet'!$B$11,Paramètres!$A$1:$I$89,3,0)*VLOOKUP('Données projet'!$B$11,Paramètres!$A$1:$I$89,5,0)</f>
        <v>6.7984728957526396E-14</v>
      </c>
      <c r="BF122" s="14">
        <f t="shared" si="91"/>
        <v>1.0682447123141398E-12</v>
      </c>
      <c r="BG122" s="22">
        <f t="shared" si="61"/>
        <v>1.978932943548152E-12</v>
      </c>
      <c r="BH122" s="62">
        <f t="shared" si="62"/>
        <v>293.3333333333353</v>
      </c>
      <c r="BI122" s="62">
        <f ca="1">AVERAGE(OFFSET($BH$3,0,0,'Données projet'!$E$11+1,1))-AVERAGE(OFFSET($H$3,0,0,'Données projet'!$E$11+1,1))</f>
        <v>187.13674266165236</v>
      </c>
      <c r="BJ122" s="62">
        <f t="shared" si="92"/>
        <v>439.28159165815276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9.1499179543124107</v>
      </c>
      <c r="BQ122" s="23">
        <f>EXP(-LN(2)/25)*BQ121+(1-EXP(-LN(2)/25))/(LN(2)/25)*Calculateur!BL122*Calculateur!BN122*VLOOKUP('Données projet'!$B$11,Paramètres!$A$1:$I$89,3,0)*0.475*44/12</f>
        <v>3.7263220144663882</v>
      </c>
      <c r="BR122" s="23">
        <f>EXP(-LN(2)/2)*BR121+(1-EXP(-LN(2)/2))/(LN(2)/2)*BL122*BO122*VLOOKUP('Données projet'!$B$11,Paramètres!$A$1:$I$89,3,0)*0.475*44/12</f>
        <v>1.7511634512435325E-12</v>
      </c>
      <c r="BS122" s="24">
        <f t="shared" si="63"/>
        <v>12.876239968780551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1.9895196601282805E-13</v>
      </c>
      <c r="BZ122" s="14">
        <f>BY122*VLOOKUP('Données projet'!$B$12,Paramètres!$A$1:$I$89,3,0)*VLOOKUP('Données projet'!$B$12,Paramètres!$A$1:$I$89,5,0)</f>
        <v>1.8001173884840681E-13</v>
      </c>
      <c r="CA122" s="14">
        <f t="shared" si="93"/>
        <v>2.5254331426407198E-12</v>
      </c>
      <c r="CB122" s="22">
        <f t="shared" si="64"/>
        <v>4.7119831685935622E-12</v>
      </c>
      <c r="CC122" s="62">
        <f t="shared" si="65"/>
        <v>293.33333333333803</v>
      </c>
      <c r="CD122" s="62">
        <f ca="1">AVERAGE(OFFSET($CC$3,0,0,'Données projet'!$E$12+1,1))-AVERAGE(OFFSET($H$3,0,0,'Données projet'!$E$12+1,1))</f>
        <v>302.6112905010138</v>
      </c>
      <c r="CE122" s="62">
        <f t="shared" si="94"/>
        <v>423.44006663873375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1.4306861370297943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1.4306861370297943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187.13674266165236</v>
      </c>
      <c r="T123" s="62">
        <f t="shared" si="88"/>
        <v>439.28159165815276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-1.1368683772161603E-13</v>
      </c>
      <c r="AJ123" s="14">
        <f>AI123*VLOOKUP('Données projet'!$B$10,Paramètres!$A$1:$I$89,3,0)*VLOOKUP('Données projet'!$B$10,Paramètres!$A$1:$I$89,5,0)</f>
        <v>-9.9316821433603781E-14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327.826081588335</v>
      </c>
      <c r="AO123" s="62">
        <f t="shared" si="90"/>
        <v>348.84706693879735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1.3066654795261887</v>
      </c>
      <c r="AW123" s="23">
        <f>EXP(-LN(2)/2)*AW122+(1-EXP(-LN(2)/2))/(LN(2)/2)*AQ123*AT123*VLOOKUP('Données projet'!$B$10,Paramètres!$A$1:$I$89,3,0)*0.475*44/12</f>
        <v>4.2333495643904834E-13</v>
      </c>
      <c r="AX123" s="23">
        <f t="shared" si="60"/>
        <v>1.3066654795266122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1.1368683772161603E-13</v>
      </c>
      <c r="BE123" s="14">
        <f>BD123*VLOOKUP('Données projet'!$B$11,Paramètres!$A$1:$I$89,3,0)*VLOOKUP('Données projet'!$B$11,Paramètres!$A$1:$I$89,5,0)</f>
        <v>6.7984728957526396E-14</v>
      </c>
      <c r="BF123" s="14">
        <f t="shared" si="91"/>
        <v>1.0682447123141398E-12</v>
      </c>
      <c r="BG123" s="22">
        <f t="shared" si="61"/>
        <v>1.978932943548152E-12</v>
      </c>
      <c r="BH123" s="62">
        <f t="shared" si="62"/>
        <v>293.3333333333353</v>
      </c>
      <c r="BI123" s="62">
        <f ca="1">AVERAGE(OFFSET($BH$3,0,0,'Données projet'!$E$11+1,1))-AVERAGE(OFFSET($H$3,0,0,'Données projet'!$E$11+1,1))</f>
        <v>187.13674266165236</v>
      </c>
      <c r="BJ123" s="62">
        <f t="shared" si="92"/>
        <v>439.28159165815276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8.9704936441272292</v>
      </c>
      <c r="BQ123" s="23">
        <f>EXP(-LN(2)/25)*BQ122+(1-EXP(-LN(2)/25))/(LN(2)/25)*Calculateur!BL123*Calculateur!BN123*VLOOKUP('Données projet'!$B$11,Paramètres!$A$1:$I$89,3,0)*0.475*44/12</f>
        <v>3.6244255430220469</v>
      </c>
      <c r="BR123" s="23">
        <f>EXP(-LN(2)/2)*BR122+(1-EXP(-LN(2)/2))/(LN(2)/2)*BL123*BO123*VLOOKUP('Données projet'!$B$11,Paramètres!$A$1:$I$89,3,0)*0.475*44/12</f>
        <v>1.2382595513403399E-12</v>
      </c>
      <c r="BS123" s="24">
        <f t="shared" si="63"/>
        <v>12.594919187150515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1.9895196601282805E-13</v>
      </c>
      <c r="BZ123" s="14">
        <f>BY123*VLOOKUP('Données projet'!$B$12,Paramètres!$A$1:$I$89,3,0)*VLOOKUP('Données projet'!$B$12,Paramètres!$A$1:$I$89,5,0)</f>
        <v>1.8001173884840681E-13</v>
      </c>
      <c r="CA123" s="14">
        <f t="shared" si="93"/>
        <v>2.5254331426407198E-12</v>
      </c>
      <c r="CB123" s="22">
        <f t="shared" si="64"/>
        <v>4.7119831685935622E-12</v>
      </c>
      <c r="CC123" s="62">
        <f t="shared" si="65"/>
        <v>293.33333333333803</v>
      </c>
      <c r="CD123" s="62">
        <f ca="1">AVERAGE(OFFSET($CC$3,0,0,'Données projet'!$E$12+1,1))-AVERAGE(OFFSET($H$3,0,0,'Données projet'!$E$12+1,1))</f>
        <v>302.6112905010138</v>
      </c>
      <c r="CE123" s="62">
        <f t="shared" si="94"/>
        <v>423.44006663873375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1.4026312545150184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1.4026312545150184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187.13674266165236</v>
      </c>
      <c r="T124" s="62">
        <f t="shared" si="88"/>
        <v>439.28159165815276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-1.1368683772161603E-13</v>
      </c>
      <c r="AJ124" s="14">
        <f>AI124*VLOOKUP('Données projet'!$B$10,Paramètres!$A$1:$I$89,3,0)*VLOOKUP('Données projet'!$B$10,Paramètres!$A$1:$I$89,5,0)</f>
        <v>-9.9316821433603781E-14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327.826081588335</v>
      </c>
      <c r="AO124" s="62">
        <f t="shared" si="90"/>
        <v>348.84706693879735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1.2709346432739939</v>
      </c>
      <c r="AW124" s="23">
        <f>EXP(-LN(2)/2)*AW123+(1-EXP(-LN(2)/2))/(LN(2)/2)*AQ124*AT124*VLOOKUP('Données projet'!$B$10,Paramètres!$A$1:$I$89,3,0)*0.475*44/12</f>
        <v>2.9934301841136278E-13</v>
      </c>
      <c r="AX124" s="23">
        <f t="shared" si="60"/>
        <v>1.2709346432742932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1.1368683772161603E-13</v>
      </c>
      <c r="BE124" s="14">
        <f>BD124*VLOOKUP('Données projet'!$B$11,Paramètres!$A$1:$I$89,3,0)*VLOOKUP('Données projet'!$B$11,Paramètres!$A$1:$I$89,5,0)</f>
        <v>6.7984728957526396E-14</v>
      </c>
      <c r="BF124" s="14">
        <f t="shared" si="91"/>
        <v>1.0682447123141398E-12</v>
      </c>
      <c r="BG124" s="22">
        <f t="shared" si="61"/>
        <v>1.978932943548152E-12</v>
      </c>
      <c r="BH124" s="62">
        <f t="shared" si="62"/>
        <v>293.3333333333353</v>
      </c>
      <c r="BI124" s="62">
        <f ca="1">AVERAGE(OFFSET($BH$3,0,0,'Données projet'!$E$11+1,1))-AVERAGE(OFFSET($H$3,0,0,'Données projet'!$E$11+1,1))</f>
        <v>187.13674266165236</v>
      </c>
      <c r="BJ124" s="62">
        <f t="shared" si="92"/>
        <v>439.28159165815276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8.7945877352267559</v>
      </c>
      <c r="BQ124" s="23">
        <f>EXP(-LN(2)/25)*BQ123+(1-EXP(-LN(2)/25))/(LN(2)/25)*Calculateur!BL124*Calculateur!BN124*VLOOKUP('Données projet'!$B$11,Paramètres!$A$1:$I$89,3,0)*0.475*44/12</f>
        <v>3.5253154359478533</v>
      </c>
      <c r="BR124" s="23">
        <f>EXP(-LN(2)/2)*BR123+(1-EXP(-LN(2)/2))/(LN(2)/2)*BL124*BO124*VLOOKUP('Données projet'!$B$11,Paramètres!$A$1:$I$89,3,0)*0.475*44/12</f>
        <v>8.7558172562176626E-13</v>
      </c>
      <c r="BS124" s="24">
        <f t="shared" si="63"/>
        <v>12.319903171175485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1.9895196601282805E-13</v>
      </c>
      <c r="BZ124" s="14">
        <f>BY124*VLOOKUP('Données projet'!$B$12,Paramètres!$A$1:$I$89,3,0)*VLOOKUP('Données projet'!$B$12,Paramètres!$A$1:$I$89,5,0)</f>
        <v>1.8001173884840681E-13</v>
      </c>
      <c r="CA124" s="14">
        <f t="shared" si="93"/>
        <v>2.5254331426407198E-12</v>
      </c>
      <c r="CB124" s="22">
        <f t="shared" si="64"/>
        <v>4.7119831685935622E-12</v>
      </c>
      <c r="CC124" s="62">
        <f t="shared" si="65"/>
        <v>293.33333333333803</v>
      </c>
      <c r="CD124" s="62">
        <f ca="1">AVERAGE(OFFSET($CC$3,0,0,'Données projet'!$E$12+1,1))-AVERAGE(OFFSET($H$3,0,0,'Données projet'!$E$12+1,1))</f>
        <v>302.6112905010138</v>
      </c>
      <c r="CE124" s="62">
        <f t="shared" si="94"/>
        <v>423.44006663873375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1.3751265111345685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1.3751265111345685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187.13674266165236</v>
      </c>
      <c r="T125" s="62">
        <f t="shared" si="88"/>
        <v>439.28159165815276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-1.1368683772161603E-13</v>
      </c>
      <c r="AJ125" s="14">
        <f>AI125*VLOOKUP('Données projet'!$B$10,Paramètres!$A$1:$I$89,3,0)*VLOOKUP('Données projet'!$B$10,Paramètres!$A$1:$I$89,5,0)</f>
        <v>-9.9316821433603781E-14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327.826081588335</v>
      </c>
      <c r="AO125" s="62">
        <f t="shared" si="90"/>
        <v>348.84706693879735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1.2361808686181184</v>
      </c>
      <c r="AW125" s="23">
        <f>EXP(-LN(2)/2)*AW124+(1-EXP(-LN(2)/2))/(LN(2)/2)*AQ125*AT125*VLOOKUP('Données projet'!$B$10,Paramètres!$A$1:$I$89,3,0)*0.475*44/12</f>
        <v>2.1166747821952417E-13</v>
      </c>
      <c r="AX125" s="23">
        <f t="shared" si="60"/>
        <v>1.23618086861833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1.1368683772161603E-13</v>
      </c>
      <c r="BE125" s="14">
        <f>BD125*VLOOKUP('Données projet'!$B$11,Paramètres!$A$1:$I$89,3,0)*VLOOKUP('Données projet'!$B$11,Paramètres!$A$1:$I$89,5,0)</f>
        <v>6.7984728957526396E-14</v>
      </c>
      <c r="BF125" s="14">
        <f t="shared" si="91"/>
        <v>1.0682447123141398E-12</v>
      </c>
      <c r="BG125" s="22">
        <f t="shared" si="61"/>
        <v>1.978932943548152E-12</v>
      </c>
      <c r="BH125" s="62">
        <f t="shared" si="62"/>
        <v>293.3333333333353</v>
      </c>
      <c r="BI125" s="62">
        <f ca="1">AVERAGE(OFFSET($BH$3,0,0,'Données projet'!$E$11+1,1))-AVERAGE(OFFSET($H$3,0,0,'Données projet'!$E$11+1,1))</f>
        <v>187.13674266165236</v>
      </c>
      <c r="BJ125" s="62">
        <f t="shared" si="92"/>
        <v>439.28159165815276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8.62213123390781</v>
      </c>
      <c r="BQ125" s="23">
        <f>EXP(-LN(2)/25)*BQ124+(1-EXP(-LN(2)/25))/(LN(2)/25)*Calculateur!BL125*Calculateur!BN125*VLOOKUP('Données projet'!$B$11,Paramètres!$A$1:$I$89,3,0)*0.475*44/12</f>
        <v>3.4289154999635776</v>
      </c>
      <c r="BR125" s="23">
        <f>EXP(-LN(2)/2)*BR124+(1-EXP(-LN(2)/2))/(LN(2)/2)*BL125*BO125*VLOOKUP('Données projet'!$B$11,Paramètres!$A$1:$I$89,3,0)*0.475*44/12</f>
        <v>6.1912977567016996E-13</v>
      </c>
      <c r="BS125" s="24">
        <f t="shared" si="63"/>
        <v>12.051046733872008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1.9895196601282805E-13</v>
      </c>
      <c r="BZ125" s="14">
        <f>BY125*VLOOKUP('Données projet'!$B$12,Paramètres!$A$1:$I$89,3,0)*VLOOKUP('Données projet'!$B$12,Paramètres!$A$1:$I$89,5,0)</f>
        <v>1.8001173884840681E-13</v>
      </c>
      <c r="CA125" s="14">
        <f t="shared" si="93"/>
        <v>2.5254331426407198E-12</v>
      </c>
      <c r="CB125" s="22">
        <f t="shared" si="64"/>
        <v>4.7119831685935622E-12</v>
      </c>
      <c r="CC125" s="62">
        <f t="shared" si="65"/>
        <v>293.33333333333803</v>
      </c>
      <c r="CD125" s="62">
        <f ca="1">AVERAGE(OFFSET($CC$3,0,0,'Données projet'!$E$12+1,1))-AVERAGE(OFFSET($H$3,0,0,'Données projet'!$E$12+1,1))</f>
        <v>302.6112905010138</v>
      </c>
      <c r="CE125" s="62">
        <f t="shared" si="94"/>
        <v>423.44006663873375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1.3481611189955722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1.3481611189955722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187.13674266165236</v>
      </c>
      <c r="T126" s="62">
        <f t="shared" si="88"/>
        <v>439.28159165815276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-1.1368683772161603E-13</v>
      </c>
      <c r="AJ126" s="14">
        <f>AI126*VLOOKUP('Données projet'!$B$10,Paramètres!$A$1:$I$89,3,0)*VLOOKUP('Données projet'!$B$10,Paramètres!$A$1:$I$89,5,0)</f>
        <v>-9.9316821433603781E-14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327.826081588335</v>
      </c>
      <c r="AO126" s="62">
        <f t="shared" si="90"/>
        <v>348.84706693879735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1.2023774377578293</v>
      </c>
      <c r="AW126" s="23">
        <f>EXP(-LN(2)/2)*AW125+(1-EXP(-LN(2)/2))/(LN(2)/2)*AQ126*AT126*VLOOKUP('Données projet'!$B$10,Paramètres!$A$1:$I$89,3,0)*0.475*44/12</f>
        <v>1.4967150920568139E-13</v>
      </c>
      <c r="AX126" s="23">
        <f t="shared" si="60"/>
        <v>1.202377437757979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1.1368683772161603E-13</v>
      </c>
      <c r="BE126" s="14">
        <f>BD126*VLOOKUP('Données projet'!$B$11,Paramètres!$A$1:$I$89,3,0)*VLOOKUP('Données projet'!$B$11,Paramètres!$A$1:$I$89,5,0)</f>
        <v>6.7984728957526396E-14</v>
      </c>
      <c r="BF126" s="14">
        <f t="shared" si="91"/>
        <v>1.0682447123141398E-12</v>
      </c>
      <c r="BG126" s="22">
        <f t="shared" si="61"/>
        <v>1.978932943548152E-12</v>
      </c>
      <c r="BH126" s="62">
        <f t="shared" si="62"/>
        <v>293.3333333333353</v>
      </c>
      <c r="BI126" s="62">
        <f ca="1">AVERAGE(OFFSET($BH$3,0,0,'Données projet'!$E$11+1,1))-AVERAGE(OFFSET($H$3,0,0,'Données projet'!$E$11+1,1))</f>
        <v>187.13674266165236</v>
      </c>
      <c r="BJ126" s="62">
        <f t="shared" si="92"/>
        <v>439.28159165815276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8.4530564993916499</v>
      </c>
      <c r="BQ126" s="23">
        <f>EXP(-LN(2)/25)*BQ125+(1-EXP(-LN(2)/25))/(LN(2)/25)*Calculateur!BL126*Calculateur!BN126*VLOOKUP('Données projet'!$B$11,Paramètres!$A$1:$I$89,3,0)*0.475*44/12</f>
        <v>3.3351516252982445</v>
      </c>
      <c r="BR126" s="23">
        <f>EXP(-LN(2)/2)*BR125+(1-EXP(-LN(2)/2))/(LN(2)/2)*BL126*BO126*VLOOKUP('Données projet'!$B$11,Paramètres!$A$1:$I$89,3,0)*0.475*44/12</f>
        <v>4.3779086281088313E-13</v>
      </c>
      <c r="BS126" s="24">
        <f t="shared" si="63"/>
        <v>11.788208124690332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1.9895196601282805E-13</v>
      </c>
      <c r="BZ126" s="14">
        <f>BY126*VLOOKUP('Données projet'!$B$12,Paramètres!$A$1:$I$89,3,0)*VLOOKUP('Données projet'!$B$12,Paramètres!$A$1:$I$89,5,0)</f>
        <v>1.8001173884840681E-13</v>
      </c>
      <c r="CA126" s="14">
        <f t="shared" si="93"/>
        <v>2.5254331426407198E-12</v>
      </c>
      <c r="CB126" s="22">
        <f t="shared" si="64"/>
        <v>4.7119831685935622E-12</v>
      </c>
      <c r="CC126" s="62">
        <f t="shared" si="65"/>
        <v>293.33333333333803</v>
      </c>
      <c r="CD126" s="62">
        <f ca="1">AVERAGE(OFFSET($CC$3,0,0,'Données projet'!$E$12+1,1))-AVERAGE(OFFSET($H$3,0,0,'Données projet'!$E$12+1,1))</f>
        <v>302.6112905010138</v>
      </c>
      <c r="CE126" s="62">
        <f t="shared" si="94"/>
        <v>423.44006663873375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1.3217245017491566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1.3217245017491566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187.13674266165236</v>
      </c>
      <c r="T127" s="62">
        <f t="shared" si="88"/>
        <v>439.28159165815276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-1.1368683772161603E-13</v>
      </c>
      <c r="AJ127" s="14">
        <f>AI127*VLOOKUP('Données projet'!$B$10,Paramètres!$A$1:$I$89,3,0)*VLOOKUP('Données projet'!$B$10,Paramètres!$A$1:$I$89,5,0)</f>
        <v>-9.9316821433603781E-14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327.826081588335</v>
      </c>
      <c r="AO127" s="62">
        <f t="shared" si="90"/>
        <v>348.84706693879735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1.1694983634920602</v>
      </c>
      <c r="AW127" s="23">
        <f>EXP(-LN(2)/2)*AW126+(1-EXP(-LN(2)/2))/(LN(2)/2)*AQ127*AT127*VLOOKUP('Données projet'!$B$10,Paramètres!$A$1:$I$89,3,0)*0.475*44/12</f>
        <v>1.0583373910976209E-13</v>
      </c>
      <c r="AX127" s="23">
        <f t="shared" si="60"/>
        <v>1.1694983634921661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1.1368683772161603E-13</v>
      </c>
      <c r="BE127" s="14">
        <f>BD127*VLOOKUP('Données projet'!$B$11,Paramètres!$A$1:$I$89,3,0)*VLOOKUP('Données projet'!$B$11,Paramètres!$A$1:$I$89,5,0)</f>
        <v>6.7984728957526396E-14</v>
      </c>
      <c r="BF127" s="14">
        <f t="shared" si="91"/>
        <v>1.0682447123141398E-12</v>
      </c>
      <c r="BG127" s="22">
        <f t="shared" si="61"/>
        <v>1.978932943548152E-12</v>
      </c>
      <c r="BH127" s="62">
        <f t="shared" si="62"/>
        <v>293.3333333333353</v>
      </c>
      <c r="BI127" s="62">
        <f ca="1">AVERAGE(OFFSET($BH$3,0,0,'Données projet'!$E$11+1,1))-AVERAGE(OFFSET($H$3,0,0,'Données projet'!$E$11+1,1))</f>
        <v>187.13674266165236</v>
      </c>
      <c r="BJ127" s="62">
        <f t="shared" si="92"/>
        <v>439.28159165815276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8.2872972172939452</v>
      </c>
      <c r="BQ127" s="23">
        <f>EXP(-LN(2)/25)*BQ126+(1-EXP(-LN(2)/25))/(LN(2)/25)*Calculateur!BL127*Calculateur!BN127*VLOOKUP('Données projet'!$B$11,Paramètres!$A$1:$I$89,3,0)*0.475*44/12</f>
        <v>3.2439517287164628</v>
      </c>
      <c r="BR127" s="23">
        <f>EXP(-LN(2)/2)*BR126+(1-EXP(-LN(2)/2))/(LN(2)/2)*BL127*BO127*VLOOKUP('Données projet'!$B$11,Paramètres!$A$1:$I$89,3,0)*0.475*44/12</f>
        <v>3.0956488783508498E-13</v>
      </c>
      <c r="BS127" s="24">
        <f t="shared" si="63"/>
        <v>11.531248946010717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1.9895196601282805E-13</v>
      </c>
      <c r="BZ127" s="14">
        <f>BY127*VLOOKUP('Données projet'!$B$12,Paramètres!$A$1:$I$89,3,0)*VLOOKUP('Données projet'!$B$12,Paramètres!$A$1:$I$89,5,0)</f>
        <v>1.8001173884840681E-13</v>
      </c>
      <c r="CA127" s="14">
        <f t="shared" si="93"/>
        <v>2.5254331426407198E-12</v>
      </c>
      <c r="CB127" s="22">
        <f t="shared" si="64"/>
        <v>4.7119831685935622E-12</v>
      </c>
      <c r="CC127" s="62">
        <f t="shared" si="65"/>
        <v>293.33333333333803</v>
      </c>
      <c r="CD127" s="62">
        <f ca="1">AVERAGE(OFFSET($CC$3,0,0,'Données projet'!$E$12+1,1))-AVERAGE(OFFSET($H$3,0,0,'Données projet'!$E$12+1,1))</f>
        <v>302.6112905010138</v>
      </c>
      <c r="CE127" s="62">
        <f t="shared" si="94"/>
        <v>423.44006663873375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1.2958062904421987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1.2958062904421987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187.13674266165236</v>
      </c>
      <c r="T128" s="62">
        <f t="shared" si="88"/>
        <v>439.28159165815276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-1.1368683772161603E-13</v>
      </c>
      <c r="AJ128" s="14">
        <f>AI128*VLOOKUP('Données projet'!$B$10,Paramètres!$A$1:$I$89,3,0)*VLOOKUP('Données projet'!$B$10,Paramètres!$A$1:$I$89,5,0)</f>
        <v>-9.9316821433603781E-14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327.826081588335</v>
      </c>
      <c r="AO128" s="62">
        <f t="shared" si="90"/>
        <v>348.84706693879735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1.1375183692411237</v>
      </c>
      <c r="AW128" s="23">
        <f>EXP(-LN(2)/2)*AW127+(1-EXP(-LN(2)/2))/(LN(2)/2)*AQ128*AT128*VLOOKUP('Données projet'!$B$10,Paramètres!$A$1:$I$89,3,0)*0.475*44/12</f>
        <v>7.4835754602840695E-14</v>
      </c>
      <c r="AX128" s="23">
        <f t="shared" si="60"/>
        <v>1.1375183692411985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1.1368683772161603E-13</v>
      </c>
      <c r="BE128" s="14">
        <f>BD128*VLOOKUP('Données projet'!$B$11,Paramètres!$A$1:$I$89,3,0)*VLOOKUP('Données projet'!$B$11,Paramètres!$A$1:$I$89,5,0)</f>
        <v>6.7984728957526396E-14</v>
      </c>
      <c r="BF128" s="14">
        <f t="shared" si="91"/>
        <v>1.0682447123141398E-12</v>
      </c>
      <c r="BG128" s="22">
        <f t="shared" si="61"/>
        <v>1.978932943548152E-12</v>
      </c>
      <c r="BH128" s="62">
        <f t="shared" si="62"/>
        <v>293.3333333333353</v>
      </c>
      <c r="BI128" s="62">
        <f ca="1">AVERAGE(OFFSET($BH$3,0,0,'Données projet'!$E$11+1,1))-AVERAGE(OFFSET($H$3,0,0,'Données projet'!$E$11+1,1))</f>
        <v>187.13674266165236</v>
      </c>
      <c r="BJ128" s="62">
        <f t="shared" si="92"/>
        <v>439.28159165815276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8.1247883736149973</v>
      </c>
      <c r="BQ128" s="23">
        <f>EXP(-LN(2)/25)*BQ127+(1-EXP(-LN(2)/25))/(LN(2)/25)*Calculateur!BL128*Calculateur!BN128*VLOOKUP('Données projet'!$B$11,Paramètres!$A$1:$I$89,3,0)*0.475*44/12</f>
        <v>3.1552456981027039</v>
      </c>
      <c r="BR128" s="23">
        <f>EXP(-LN(2)/2)*BR127+(1-EXP(-LN(2)/2))/(LN(2)/2)*BL128*BO128*VLOOKUP('Données projet'!$B$11,Paramètres!$A$1:$I$89,3,0)*0.475*44/12</f>
        <v>2.1889543140544156E-13</v>
      </c>
      <c r="BS128" s="24">
        <f t="shared" si="63"/>
        <v>11.280034071717919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1.9895196601282805E-13</v>
      </c>
      <c r="BZ128" s="14">
        <f>BY128*VLOOKUP('Données projet'!$B$12,Paramètres!$A$1:$I$89,3,0)*VLOOKUP('Données projet'!$B$12,Paramètres!$A$1:$I$89,5,0)</f>
        <v>1.8001173884840681E-13</v>
      </c>
      <c r="CA128" s="14">
        <f t="shared" si="93"/>
        <v>2.5254331426407198E-12</v>
      </c>
      <c r="CB128" s="22">
        <f t="shared" si="64"/>
        <v>4.7119831685935622E-12</v>
      </c>
      <c r="CC128" s="62">
        <f t="shared" si="65"/>
        <v>293.33333333333803</v>
      </c>
      <c r="CD128" s="62">
        <f ca="1">AVERAGE(OFFSET($CC$3,0,0,'Données projet'!$E$12+1,1))-AVERAGE(OFFSET($H$3,0,0,'Données projet'!$E$12+1,1))</f>
        <v>302.6112905010138</v>
      </c>
      <c r="CE128" s="62">
        <f t="shared" si="94"/>
        <v>423.44006663873375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1.2703963194504224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1.2703963194504224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187.13674266165236</v>
      </c>
      <c r="T129" s="62">
        <f t="shared" si="88"/>
        <v>439.28159165815276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-1.1368683772161603E-13</v>
      </c>
      <c r="AJ129" s="14">
        <f>AI129*VLOOKUP('Données projet'!$B$10,Paramètres!$A$1:$I$89,3,0)*VLOOKUP('Données projet'!$B$10,Paramètres!$A$1:$I$89,5,0)</f>
        <v>-9.9316821433603781E-14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327.826081588335</v>
      </c>
      <c r="AO129" s="62">
        <f t="shared" si="90"/>
        <v>348.84706693879735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1.106412869614734</v>
      </c>
      <c r="AW129" s="23">
        <f>EXP(-LN(2)/2)*AW128+(1-EXP(-LN(2)/2))/(LN(2)/2)*AQ129*AT129*VLOOKUP('Données projet'!$B$10,Paramètres!$A$1:$I$89,3,0)*0.475*44/12</f>
        <v>5.2916869554881043E-14</v>
      </c>
      <c r="AX129" s="23">
        <f t="shared" si="60"/>
        <v>1.1064128696147868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1.1368683772161603E-13</v>
      </c>
      <c r="BE129" s="14">
        <f>BD129*VLOOKUP('Données projet'!$B$11,Paramètres!$A$1:$I$89,3,0)*VLOOKUP('Données projet'!$B$11,Paramètres!$A$1:$I$89,5,0)</f>
        <v>6.7984728957526396E-14</v>
      </c>
      <c r="BF129" s="14">
        <f t="shared" si="91"/>
        <v>1.0682447123141398E-12</v>
      </c>
      <c r="BG129" s="22">
        <f t="shared" si="61"/>
        <v>1.978932943548152E-12</v>
      </c>
      <c r="BH129" s="62">
        <f t="shared" si="62"/>
        <v>293.3333333333353</v>
      </c>
      <c r="BI129" s="62">
        <f ca="1">AVERAGE(OFFSET($BH$3,0,0,'Données projet'!$E$11+1,1))-AVERAGE(OFFSET($H$3,0,0,'Données projet'!$E$11+1,1))</f>
        <v>187.13674266165236</v>
      </c>
      <c r="BJ129" s="62">
        <f t="shared" si="92"/>
        <v>439.28159165815276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7.9654662292399872</v>
      </c>
      <c r="BQ129" s="23">
        <f>EXP(-LN(2)/25)*BQ128+(1-EXP(-LN(2)/25))/(LN(2)/25)*Calculateur!BL129*Calculateur!BN129*VLOOKUP('Données projet'!$B$11,Paramètres!$A$1:$I$89,3,0)*0.475*44/12</f>
        <v>3.0689653385609255</v>
      </c>
      <c r="BR129" s="23">
        <f>EXP(-LN(2)/2)*BR128+(1-EXP(-LN(2)/2))/(LN(2)/2)*BL129*BO129*VLOOKUP('Données projet'!$B$11,Paramètres!$A$1:$I$89,3,0)*0.475*44/12</f>
        <v>1.5478244391754249E-13</v>
      </c>
      <c r="BS129" s="24">
        <f t="shared" si="63"/>
        <v>11.034431567801066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1.9895196601282805E-13</v>
      </c>
      <c r="BZ129" s="14">
        <f>BY129*VLOOKUP('Données projet'!$B$12,Paramètres!$A$1:$I$89,3,0)*VLOOKUP('Données projet'!$B$12,Paramètres!$A$1:$I$89,5,0)</f>
        <v>1.8001173884840681E-13</v>
      </c>
      <c r="CA129" s="14">
        <f t="shared" si="93"/>
        <v>2.5254331426407198E-12</v>
      </c>
      <c r="CB129" s="22">
        <f t="shared" si="64"/>
        <v>4.7119831685935622E-12</v>
      </c>
      <c r="CC129" s="62">
        <f t="shared" si="65"/>
        <v>293.33333333333803</v>
      </c>
      <c r="CD129" s="62">
        <f ca="1">AVERAGE(OFFSET($CC$3,0,0,'Données projet'!$E$12+1,1))-AVERAGE(OFFSET($H$3,0,0,'Données projet'!$E$12+1,1))</f>
        <v>302.6112905010138</v>
      </c>
      <c r="CE129" s="62">
        <f t="shared" si="94"/>
        <v>423.44006663873375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1.2454846224912428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1.2454846224912428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187.13674266165236</v>
      </c>
      <c r="T130" s="62">
        <f t="shared" si="88"/>
        <v>439.28159165815276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-1.1368683772161603E-13</v>
      </c>
      <c r="AJ130" s="14">
        <f>AI130*VLOOKUP('Données projet'!$B$10,Paramètres!$A$1:$I$89,3,0)*VLOOKUP('Données projet'!$B$10,Paramètres!$A$1:$I$89,5,0)</f>
        <v>-9.9316821433603781E-14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327.826081588335</v>
      </c>
      <c r="AO130" s="62">
        <f t="shared" si="90"/>
        <v>348.84706693879735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1.076157951511395</v>
      </c>
      <c r="AW130" s="23">
        <f>EXP(-LN(2)/2)*AW129+(1-EXP(-LN(2)/2))/(LN(2)/2)*AQ130*AT130*VLOOKUP('Données projet'!$B$10,Paramètres!$A$1:$I$89,3,0)*0.475*44/12</f>
        <v>3.7417877301420347E-14</v>
      </c>
      <c r="AX130" s="23">
        <f t="shared" si="60"/>
        <v>1.0761579515114326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1.1368683772161603E-13</v>
      </c>
      <c r="BE130" s="14">
        <f>BD130*VLOOKUP('Données projet'!$B$11,Paramètres!$A$1:$I$89,3,0)*VLOOKUP('Données projet'!$B$11,Paramètres!$A$1:$I$89,5,0)</f>
        <v>6.7984728957526396E-14</v>
      </c>
      <c r="BF130" s="14">
        <f t="shared" si="91"/>
        <v>1.0682447123141398E-12</v>
      </c>
      <c r="BG130" s="22">
        <f t="shared" si="61"/>
        <v>1.978932943548152E-12</v>
      </c>
      <c r="BH130" s="62">
        <f t="shared" si="62"/>
        <v>293.3333333333353</v>
      </c>
      <c r="BI130" s="62">
        <f ca="1">AVERAGE(OFFSET($BH$3,0,0,'Données projet'!$E$11+1,1))-AVERAGE(OFFSET($H$3,0,0,'Données projet'!$E$11+1,1))</f>
        <v>187.13674266165236</v>
      </c>
      <c r="BJ130" s="62">
        <f t="shared" si="92"/>
        <v>439.28159165815276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7.8092682949392582</v>
      </c>
      <c r="BQ130" s="23">
        <f>EXP(-LN(2)/25)*BQ129+(1-EXP(-LN(2)/25))/(LN(2)/25)*Calculateur!BL130*Calculateur!BN130*VLOOKUP('Données projet'!$B$11,Paramètres!$A$1:$I$89,3,0)*0.475*44/12</f>
        <v>2.9850443199881038</v>
      </c>
      <c r="BR130" s="23">
        <f>EXP(-LN(2)/2)*BR129+(1-EXP(-LN(2)/2))/(LN(2)/2)*BL130*BO130*VLOOKUP('Données projet'!$B$11,Paramètres!$A$1:$I$89,3,0)*0.475*44/12</f>
        <v>1.0944771570272078E-13</v>
      </c>
      <c r="BS130" s="24">
        <f t="shared" si="63"/>
        <v>10.794312614927472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1.9895196601282805E-13</v>
      </c>
      <c r="BZ130" s="14">
        <f>BY130*VLOOKUP('Données projet'!$B$12,Paramètres!$A$1:$I$89,3,0)*VLOOKUP('Données projet'!$B$12,Paramètres!$A$1:$I$89,5,0)</f>
        <v>1.8001173884840681E-13</v>
      </c>
      <c r="CA130" s="14">
        <f t="shared" si="93"/>
        <v>2.5254331426407198E-12</v>
      </c>
      <c r="CB130" s="22">
        <f t="shared" si="64"/>
        <v>4.7119831685935622E-12</v>
      </c>
      <c r="CC130" s="62">
        <f t="shared" si="65"/>
        <v>293.33333333333803</v>
      </c>
      <c r="CD130" s="62">
        <f ca="1">AVERAGE(OFFSET($CC$3,0,0,'Données projet'!$E$12+1,1))-AVERAGE(OFFSET($H$3,0,0,'Données projet'!$E$12+1,1))</f>
        <v>302.6112905010138</v>
      </c>
      <c r="CE130" s="62">
        <f t="shared" si="94"/>
        <v>423.44006663873375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1.2210614287147981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1.2210614287147981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187.13674266165236</v>
      </c>
      <c r="T131" s="62">
        <f t="shared" si="88"/>
        <v>439.28159165815276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-1.1368683772161603E-13</v>
      </c>
      <c r="AJ131" s="14">
        <f>AI131*VLOOKUP('Données projet'!$B$10,Paramètres!$A$1:$I$89,3,0)*VLOOKUP('Données projet'!$B$10,Paramètres!$A$1:$I$89,5,0)</f>
        <v>-9.9316821433603781E-14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327.826081588335</v>
      </c>
      <c r="AO131" s="62">
        <f t="shared" si="90"/>
        <v>348.84706693879735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1.0467303557346288</v>
      </c>
      <c r="AW131" s="23">
        <f>EXP(-LN(2)/2)*AW130+(1-EXP(-LN(2)/2))/(LN(2)/2)*AQ131*AT131*VLOOKUP('Données projet'!$B$10,Paramètres!$A$1:$I$89,3,0)*0.475*44/12</f>
        <v>2.6458434777440521E-14</v>
      </c>
      <c r="AX131" s="23">
        <f t="shared" si="60"/>
        <v>1.0467303557346552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1.1368683772161603E-13</v>
      </c>
      <c r="BE131" s="14">
        <f>BD131*VLOOKUP('Données projet'!$B$11,Paramètres!$A$1:$I$89,3,0)*VLOOKUP('Données projet'!$B$11,Paramètres!$A$1:$I$89,5,0)</f>
        <v>6.7984728957526396E-14</v>
      </c>
      <c r="BF131" s="14">
        <f t="shared" si="91"/>
        <v>1.0682447123141398E-12</v>
      </c>
      <c r="BG131" s="22">
        <f t="shared" si="61"/>
        <v>1.978932943548152E-12</v>
      </c>
      <c r="BH131" s="62">
        <f t="shared" si="62"/>
        <v>293.3333333333353</v>
      </c>
      <c r="BI131" s="62">
        <f ca="1">AVERAGE(OFFSET($BH$3,0,0,'Données projet'!$E$11+1,1))-AVERAGE(OFFSET($H$3,0,0,'Données projet'!$E$11+1,1))</f>
        <v>187.13674266165236</v>
      </c>
      <c r="BJ131" s="62">
        <f t="shared" si="92"/>
        <v>439.28159165815276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7.656133306858834</v>
      </c>
      <c r="BQ131" s="23">
        <f>EXP(-LN(2)/25)*BQ130+(1-EXP(-LN(2)/25))/(LN(2)/25)*Calculateur!BL131*Calculateur!BN131*VLOOKUP('Données projet'!$B$11,Paramètres!$A$1:$I$89,3,0)*0.475*44/12</f>
        <v>2.903418126081371</v>
      </c>
      <c r="BR131" s="23">
        <f>EXP(-LN(2)/2)*BR130+(1-EXP(-LN(2)/2))/(LN(2)/2)*BL131*BO131*VLOOKUP('Données projet'!$B$11,Paramètres!$A$1:$I$89,3,0)*0.475*44/12</f>
        <v>7.7391221958771245E-14</v>
      </c>
      <c r="BS131" s="24">
        <f t="shared" si="63"/>
        <v>10.559551432940284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1.9895196601282805E-13</v>
      </c>
      <c r="BZ131" s="14">
        <f>BY131*VLOOKUP('Données projet'!$B$12,Paramètres!$A$1:$I$89,3,0)*VLOOKUP('Données projet'!$B$12,Paramètres!$A$1:$I$89,5,0)</f>
        <v>1.8001173884840681E-13</v>
      </c>
      <c r="CA131" s="14">
        <f t="shared" si="93"/>
        <v>2.5254331426407198E-12</v>
      </c>
      <c r="CB131" s="22">
        <f t="shared" si="64"/>
        <v>4.7119831685935622E-12</v>
      </c>
      <c r="CC131" s="62">
        <f t="shared" si="65"/>
        <v>293.33333333333803</v>
      </c>
      <c r="CD131" s="62">
        <f ca="1">AVERAGE(OFFSET($CC$3,0,0,'Données projet'!$E$12+1,1))-AVERAGE(OFFSET($H$3,0,0,'Données projet'!$E$12+1,1))</f>
        <v>302.6112905010138</v>
      </c>
      <c r="CE131" s="62">
        <f t="shared" si="94"/>
        <v>423.44006663873375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1.1971171588716321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1.1971171588716321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187.13674266165236</v>
      </c>
      <c r="T132" s="62">
        <f t="shared" si="88"/>
        <v>439.28159165815276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-1.1368683772161603E-13</v>
      </c>
      <c r="AJ132" s="14">
        <f>AI132*VLOOKUP('Données projet'!$B$10,Paramètres!$A$1:$I$89,3,0)*VLOOKUP('Données projet'!$B$10,Paramètres!$A$1:$I$89,5,0)</f>
        <v>-9.9316821433603781E-14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327.826081588335</v>
      </c>
      <c r="AO132" s="62">
        <f t="shared" si="90"/>
        <v>348.84706693879735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1.0181074591119084</v>
      </c>
      <c r="AW132" s="23">
        <f>EXP(-LN(2)/2)*AW131+(1-EXP(-LN(2)/2))/(LN(2)/2)*AQ132*AT132*VLOOKUP('Données projet'!$B$10,Paramètres!$A$1:$I$89,3,0)*0.475*44/12</f>
        <v>1.8708938650710174E-14</v>
      </c>
      <c r="AX132" s="23">
        <f t="shared" ref="AX132:AX153" si="114">SUM(AU132:AW132)</f>
        <v>1.018107459111927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1.1368683772161603E-13</v>
      </c>
      <c r="BE132" s="14">
        <f>BD132*VLOOKUP('Données projet'!$B$11,Paramètres!$A$1:$I$89,3,0)*VLOOKUP('Données projet'!$B$11,Paramètres!$A$1:$I$89,5,0)</f>
        <v>6.7984728957526396E-14</v>
      </c>
      <c r="BF132" s="14">
        <f t="shared" si="91"/>
        <v>1.0682447123141398E-12</v>
      </c>
      <c r="BG132" s="22">
        <f t="shared" ref="BG132:BG153" si="115">(BE132+BF132)*0.475*44/12</f>
        <v>1.978932943548152E-12</v>
      </c>
      <c r="BH132" s="62">
        <f t="shared" ref="BH132:BH195" si="116">BG132+(AY132+AZ132)*44/12</f>
        <v>293.3333333333353</v>
      </c>
      <c r="BI132" s="62">
        <f ca="1">AVERAGE(OFFSET($BH$3,0,0,'Données projet'!$E$11+1,1))-AVERAGE(OFFSET($H$3,0,0,'Données projet'!$E$11+1,1))</f>
        <v>187.13674266165236</v>
      </c>
      <c r="BJ132" s="62">
        <f t="shared" si="92"/>
        <v>439.28159165815276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7.5060012024915466</v>
      </c>
      <c r="BQ132" s="23">
        <f>EXP(-LN(2)/25)*BQ131+(1-EXP(-LN(2)/25))/(LN(2)/25)*Calculateur!BL132*Calculateur!BN132*VLOOKUP('Données projet'!$B$11,Paramètres!$A$1:$I$89,3,0)*0.475*44/12</f>
        <v>2.8240240047395524</v>
      </c>
      <c r="BR132" s="23">
        <f>EXP(-LN(2)/2)*BR131+(1-EXP(-LN(2)/2))/(LN(2)/2)*BL132*BO132*VLOOKUP('Données projet'!$B$11,Paramètres!$A$1:$I$89,3,0)*0.475*44/12</f>
        <v>5.4723857851360391E-14</v>
      </c>
      <c r="BS132" s="24">
        <f t="shared" ref="BS132:BS153" si="117">SUM(BP132:BR132)</f>
        <v>10.330025207231154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1.9895196601282805E-13</v>
      </c>
      <c r="BZ132" s="14">
        <f>BY132*VLOOKUP('Données projet'!$B$12,Paramètres!$A$1:$I$89,3,0)*VLOOKUP('Données projet'!$B$12,Paramètres!$A$1:$I$89,5,0)</f>
        <v>1.8001173884840681E-13</v>
      </c>
      <c r="CA132" s="14">
        <f t="shared" si="93"/>
        <v>2.5254331426407198E-12</v>
      </c>
      <c r="CB132" s="22">
        <f t="shared" ref="CB132:CB153" si="118">(BZ132+CA132)*0.475*44/12</f>
        <v>4.7119831685935622E-12</v>
      </c>
      <c r="CC132" s="62">
        <f t="shared" ref="CC132:CC195" si="119">CB132+(BT132+BU132)*44/12</f>
        <v>293.33333333333803</v>
      </c>
      <c r="CD132" s="62">
        <f ca="1">AVERAGE(OFFSET($CC$3,0,0,'Données projet'!$E$12+1,1))-AVERAGE(OFFSET($H$3,0,0,'Données projet'!$E$12+1,1))</f>
        <v>302.6112905010138</v>
      </c>
      <c r="CE132" s="62">
        <f t="shared" si="94"/>
        <v>423.44006663873375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1.1736424215555281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1.1736424215555281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187.13674266165236</v>
      </c>
      <c r="T133" s="62">
        <f t="shared" ref="T133:T196" si="142">$T$3</f>
        <v>439.28159165815276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-1.1368683772161603E-13</v>
      </c>
      <c r="AJ133" s="14">
        <f>AI133*VLOOKUP('Données projet'!$B$10,Paramètres!$A$1:$I$89,3,0)*VLOOKUP('Données projet'!$B$10,Paramètres!$A$1:$I$89,5,0)</f>
        <v>-9.9316821433603781E-14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327.826081588335</v>
      </c>
      <c r="AO133" s="62">
        <f t="shared" ref="AO133:AO196" si="144">$AO$3</f>
        <v>348.84706693879735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0.99026725710254893</v>
      </c>
      <c r="AW133" s="23">
        <f>EXP(-LN(2)/2)*AW132+(1-EXP(-LN(2)/2))/(LN(2)/2)*AQ133*AT133*VLOOKUP('Données projet'!$B$10,Paramètres!$A$1:$I$89,3,0)*0.475*44/12</f>
        <v>1.3229217388720261E-14</v>
      </c>
      <c r="AX133" s="23">
        <f t="shared" si="114"/>
        <v>0.99026725710256214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1.1368683772161603E-13</v>
      </c>
      <c r="BE133" s="14">
        <f>BD133*VLOOKUP('Données projet'!$B$11,Paramètres!$A$1:$I$89,3,0)*VLOOKUP('Données projet'!$B$11,Paramètres!$A$1:$I$89,5,0)</f>
        <v>6.7984728957526396E-14</v>
      </c>
      <c r="BF133" s="14">
        <f t="shared" ref="BF133:BF153" si="145">EXP(-1.0587+0.8836*LN(BE133)+0.284)</f>
        <v>1.0682447123141398E-12</v>
      </c>
      <c r="BG133" s="22">
        <f t="shared" si="115"/>
        <v>1.978932943548152E-12</v>
      </c>
      <c r="BH133" s="62">
        <f t="shared" si="116"/>
        <v>293.3333333333353</v>
      </c>
      <c r="BI133" s="62">
        <f ca="1">AVERAGE(OFFSET($BH$3,0,0,'Données projet'!$E$11+1,1))-AVERAGE(OFFSET($H$3,0,0,'Données projet'!$E$11+1,1))</f>
        <v>187.13674266165236</v>
      </c>
      <c r="BJ133" s="62">
        <f t="shared" ref="BJ133:BJ196" si="146">$BJ$3</f>
        <v>439.28159165815276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7.3588130971193602</v>
      </c>
      <c r="BQ133" s="23">
        <f>EXP(-LN(2)/25)*BQ132+(1-EXP(-LN(2)/25))/(LN(2)/25)*Calculateur!BL133*Calculateur!BN133*VLOOKUP('Données projet'!$B$11,Paramètres!$A$1:$I$89,3,0)*0.475*44/12</f>
        <v>2.7468009198209815</v>
      </c>
      <c r="BR133" s="23">
        <f>EXP(-LN(2)/2)*BR132+(1-EXP(-LN(2)/2))/(LN(2)/2)*BL133*BO133*VLOOKUP('Données projet'!$B$11,Paramètres!$A$1:$I$89,3,0)*0.475*44/12</f>
        <v>3.8695610979385622E-14</v>
      </c>
      <c r="BS133" s="24">
        <f t="shared" si="117"/>
        <v>10.105614016940381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1.9895196601282805E-13</v>
      </c>
      <c r="BZ133" s="14">
        <f>BY133*VLOOKUP('Données projet'!$B$12,Paramètres!$A$1:$I$89,3,0)*VLOOKUP('Données projet'!$B$12,Paramètres!$A$1:$I$89,5,0)</f>
        <v>1.8001173884840681E-13</v>
      </c>
      <c r="CA133" s="14">
        <f t="shared" ref="CA133:CA153" si="147">EXP(-1.0587+0.8836*LN(BZ133)+0.284)</f>
        <v>2.5254331426407198E-12</v>
      </c>
      <c r="CB133" s="22">
        <f t="shared" si="118"/>
        <v>4.7119831685935622E-12</v>
      </c>
      <c r="CC133" s="62">
        <f t="shared" si="119"/>
        <v>293.33333333333803</v>
      </c>
      <c r="CD133" s="62">
        <f ca="1">AVERAGE(OFFSET($CC$3,0,0,'Données projet'!$E$12+1,1))-AVERAGE(OFFSET($H$3,0,0,'Données projet'!$E$12+1,1))</f>
        <v>302.6112905010138</v>
      </c>
      <c r="CE133" s="62">
        <f t="shared" ref="CE133:CE196" si="148">$CE$3</f>
        <v>423.44006663873375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1.150628009520017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1.150628009520017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187.13674266165236</v>
      </c>
      <c r="T134" s="62">
        <f t="shared" si="142"/>
        <v>439.28159165815276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-1.1368683772161603E-13</v>
      </c>
      <c r="AJ134" s="14">
        <f>AI134*VLOOKUP('Données projet'!$B$10,Paramètres!$A$1:$I$89,3,0)*VLOOKUP('Données projet'!$B$10,Paramètres!$A$1:$I$89,5,0)</f>
        <v>-9.9316821433603781E-14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327.826081588335</v>
      </c>
      <c r="AO134" s="62">
        <f t="shared" si="144"/>
        <v>348.84706693879735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0.96318834688118793</v>
      </c>
      <c r="AW134" s="23">
        <f>EXP(-LN(2)/2)*AW133+(1-EXP(-LN(2)/2))/(LN(2)/2)*AQ134*AT134*VLOOKUP('Données projet'!$B$10,Paramètres!$A$1:$I$89,3,0)*0.475*44/12</f>
        <v>9.3544693253550869E-15</v>
      </c>
      <c r="AX134" s="23">
        <f t="shared" si="114"/>
        <v>0.96318834688119725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1.1368683772161603E-13</v>
      </c>
      <c r="BE134" s="14">
        <f>BD134*VLOOKUP('Données projet'!$B$11,Paramètres!$A$1:$I$89,3,0)*VLOOKUP('Données projet'!$B$11,Paramètres!$A$1:$I$89,5,0)</f>
        <v>6.7984728957526396E-14</v>
      </c>
      <c r="BF134" s="14">
        <f t="shared" si="145"/>
        <v>1.0682447123141398E-12</v>
      </c>
      <c r="BG134" s="22">
        <f t="shared" si="115"/>
        <v>1.978932943548152E-12</v>
      </c>
      <c r="BH134" s="62">
        <f t="shared" si="116"/>
        <v>293.3333333333353</v>
      </c>
      <c r="BI134" s="62">
        <f ca="1">AVERAGE(OFFSET($BH$3,0,0,'Données projet'!$E$11+1,1))-AVERAGE(OFFSET($H$3,0,0,'Données projet'!$E$11+1,1))</f>
        <v>187.13674266165236</v>
      </c>
      <c r="BJ134" s="62">
        <f t="shared" si="146"/>
        <v>439.28159165815276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7.2145112607176429</v>
      </c>
      <c r="BQ134" s="23">
        <f>EXP(-LN(2)/25)*BQ133+(1-EXP(-LN(2)/25))/(LN(2)/25)*Calculateur!BL134*Calculateur!BN134*VLOOKUP('Données projet'!$B$11,Paramètres!$A$1:$I$89,3,0)*0.475*44/12</f>
        <v>2.6716895042204944</v>
      </c>
      <c r="BR134" s="23">
        <f>EXP(-LN(2)/2)*BR133+(1-EXP(-LN(2)/2))/(LN(2)/2)*BL134*BO134*VLOOKUP('Données projet'!$B$11,Paramètres!$A$1:$I$89,3,0)*0.475*44/12</f>
        <v>2.7361928925680196E-14</v>
      </c>
      <c r="BS134" s="24">
        <f t="shared" si="117"/>
        <v>9.8862007649381649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1.9895196601282805E-13</v>
      </c>
      <c r="BZ134" s="14">
        <f>BY134*VLOOKUP('Données projet'!$B$12,Paramètres!$A$1:$I$89,3,0)*VLOOKUP('Données projet'!$B$12,Paramètres!$A$1:$I$89,5,0)</f>
        <v>1.8001173884840681E-13</v>
      </c>
      <c r="CA134" s="14">
        <f t="shared" si="147"/>
        <v>2.5254331426407198E-12</v>
      </c>
      <c r="CB134" s="22">
        <f t="shared" si="118"/>
        <v>4.7119831685935622E-12</v>
      </c>
      <c r="CC134" s="62">
        <f t="shared" si="119"/>
        <v>293.33333333333803</v>
      </c>
      <c r="CD134" s="62">
        <f ca="1">AVERAGE(OFFSET($CC$3,0,0,'Données projet'!$E$12+1,1))-AVERAGE(OFFSET($H$3,0,0,'Données projet'!$E$12+1,1))</f>
        <v>302.6112905010138</v>
      </c>
      <c r="CE134" s="62">
        <f t="shared" si="148"/>
        <v>423.44006663873375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1.1280648960671169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1.1280648960671169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187.13674266165236</v>
      </c>
      <c r="T135" s="62">
        <f t="shared" si="142"/>
        <v>439.28159165815276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-1.1368683772161603E-13</v>
      </c>
      <c r="AJ135" s="14">
        <f>AI135*VLOOKUP('Données projet'!$B$10,Paramètres!$A$1:$I$89,3,0)*VLOOKUP('Données projet'!$B$10,Paramètres!$A$1:$I$89,5,0)</f>
        <v>-9.9316821433603781E-14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327.826081588335</v>
      </c>
      <c r="AO135" s="62">
        <f t="shared" si="144"/>
        <v>348.84706693879735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0.93684991088384806</v>
      </c>
      <c r="AW135" s="23">
        <f>EXP(-LN(2)/2)*AW134+(1-EXP(-LN(2)/2))/(LN(2)/2)*AQ135*AT135*VLOOKUP('Données projet'!$B$10,Paramètres!$A$1:$I$89,3,0)*0.475*44/12</f>
        <v>6.6146086943601303E-15</v>
      </c>
      <c r="AX135" s="23">
        <f t="shared" si="114"/>
        <v>0.93684991088385472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1.1368683772161603E-13</v>
      </c>
      <c r="BE135" s="14">
        <f>BD135*VLOOKUP('Données projet'!$B$11,Paramètres!$A$1:$I$89,3,0)*VLOOKUP('Données projet'!$B$11,Paramètres!$A$1:$I$89,5,0)</f>
        <v>6.7984728957526396E-14</v>
      </c>
      <c r="BF135" s="14">
        <f t="shared" si="145"/>
        <v>1.0682447123141398E-12</v>
      </c>
      <c r="BG135" s="22">
        <f t="shared" si="115"/>
        <v>1.978932943548152E-12</v>
      </c>
      <c r="BH135" s="62">
        <f t="shared" si="116"/>
        <v>293.3333333333353</v>
      </c>
      <c r="BI135" s="62">
        <f ca="1">AVERAGE(OFFSET($BH$3,0,0,'Données projet'!$E$11+1,1))-AVERAGE(OFFSET($H$3,0,0,'Données projet'!$E$11+1,1))</f>
        <v>187.13674266165236</v>
      </c>
      <c r="BJ135" s="62">
        <f t="shared" si="146"/>
        <v>439.28159165815276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7.0730390953123337</v>
      </c>
      <c r="BQ135" s="23">
        <f>EXP(-LN(2)/25)*BQ134+(1-EXP(-LN(2)/25))/(LN(2)/25)*Calculateur!BL135*Calculateur!BN135*VLOOKUP('Données projet'!$B$11,Paramètres!$A$1:$I$89,3,0)*0.475*44/12</f>
        <v>2.59863201422954</v>
      </c>
      <c r="BR135" s="23">
        <f>EXP(-LN(2)/2)*BR134+(1-EXP(-LN(2)/2))/(LN(2)/2)*BL135*BO135*VLOOKUP('Données projet'!$B$11,Paramètres!$A$1:$I$89,3,0)*0.475*44/12</f>
        <v>1.9347805489692811E-14</v>
      </c>
      <c r="BS135" s="24">
        <f t="shared" si="117"/>
        <v>9.6716711095418937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1.9895196601282805E-13</v>
      </c>
      <c r="BZ135" s="14">
        <f>BY135*VLOOKUP('Données projet'!$B$12,Paramètres!$A$1:$I$89,3,0)*VLOOKUP('Données projet'!$B$12,Paramètres!$A$1:$I$89,5,0)</f>
        <v>1.8001173884840681E-13</v>
      </c>
      <c r="CA135" s="14">
        <f t="shared" si="147"/>
        <v>2.5254331426407198E-12</v>
      </c>
      <c r="CB135" s="22">
        <f t="shared" si="118"/>
        <v>4.7119831685935622E-12</v>
      </c>
      <c r="CC135" s="62">
        <f t="shared" si="119"/>
        <v>293.33333333333803</v>
      </c>
      <c r="CD135" s="62">
        <f ca="1">AVERAGE(OFFSET($CC$3,0,0,'Données projet'!$E$12+1,1))-AVERAGE(OFFSET($H$3,0,0,'Données projet'!$E$12+1,1))</f>
        <v>302.6112905010138</v>
      </c>
      <c r="CE135" s="62">
        <f t="shared" si="148"/>
        <v>423.44006663873375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1.1059442315068879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1.1059442315068879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187.13674266165236</v>
      </c>
      <c r="T136" s="62">
        <f t="shared" si="142"/>
        <v>439.28159165815276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-1.1368683772161603E-13</v>
      </c>
      <c r="AJ136" s="14">
        <f>AI136*VLOOKUP('Données projet'!$B$10,Paramètres!$A$1:$I$89,3,0)*VLOOKUP('Données projet'!$B$10,Paramètres!$A$1:$I$89,5,0)</f>
        <v>-9.9316821433603781E-14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327.826081588335</v>
      </c>
      <c r="AO136" s="62">
        <f t="shared" si="144"/>
        <v>348.84706693879735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0.91123170080393356</v>
      </c>
      <c r="AW136" s="23">
        <f>EXP(-LN(2)/2)*AW135+(1-EXP(-LN(2)/2))/(LN(2)/2)*AQ136*AT136*VLOOKUP('Données projet'!$B$10,Paramètres!$A$1:$I$89,3,0)*0.475*44/12</f>
        <v>4.6772346626775434E-15</v>
      </c>
      <c r="AX136" s="23">
        <f t="shared" si="114"/>
        <v>0.91123170080393823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1.1368683772161603E-13</v>
      </c>
      <c r="BE136" s="14">
        <f>BD136*VLOOKUP('Données projet'!$B$11,Paramètres!$A$1:$I$89,3,0)*VLOOKUP('Données projet'!$B$11,Paramètres!$A$1:$I$89,5,0)</f>
        <v>6.7984728957526396E-14</v>
      </c>
      <c r="BF136" s="14">
        <f t="shared" si="145"/>
        <v>1.0682447123141398E-12</v>
      </c>
      <c r="BG136" s="22">
        <f t="shared" si="115"/>
        <v>1.978932943548152E-12</v>
      </c>
      <c r="BH136" s="62">
        <f t="shared" si="116"/>
        <v>293.3333333333353</v>
      </c>
      <c r="BI136" s="62">
        <f ca="1">AVERAGE(OFFSET($BH$3,0,0,'Données projet'!$E$11+1,1))-AVERAGE(OFFSET($H$3,0,0,'Données projet'!$E$11+1,1))</f>
        <v>187.13674266165236</v>
      </c>
      <c r="BJ136" s="62">
        <f t="shared" si="146"/>
        <v>439.28159165815276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6.9343411127811221</v>
      </c>
      <c r="BQ136" s="23">
        <f>EXP(-LN(2)/25)*BQ135+(1-EXP(-LN(2)/25))/(LN(2)/25)*Calculateur!BL136*Calculateur!BN136*VLOOKUP('Données projet'!$B$11,Paramètres!$A$1:$I$89,3,0)*0.475*44/12</f>
        <v>2.527572285144315</v>
      </c>
      <c r="BR136" s="23">
        <f>EXP(-LN(2)/2)*BR135+(1-EXP(-LN(2)/2))/(LN(2)/2)*BL136*BO136*VLOOKUP('Données projet'!$B$11,Paramètres!$A$1:$I$89,3,0)*0.475*44/12</f>
        <v>1.3680964462840098E-14</v>
      </c>
      <c r="BS136" s="24">
        <f t="shared" si="117"/>
        <v>9.4619133979254517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1.9895196601282805E-13</v>
      </c>
      <c r="BZ136" s="14">
        <f>BY136*VLOOKUP('Données projet'!$B$12,Paramètres!$A$1:$I$89,3,0)*VLOOKUP('Données projet'!$B$12,Paramètres!$A$1:$I$89,5,0)</f>
        <v>1.8001173884840681E-13</v>
      </c>
      <c r="CA136" s="14">
        <f t="shared" si="147"/>
        <v>2.5254331426407198E-12</v>
      </c>
      <c r="CB136" s="22">
        <f t="shared" si="118"/>
        <v>4.7119831685935622E-12</v>
      </c>
      <c r="CC136" s="62">
        <f t="shared" si="119"/>
        <v>293.33333333333803</v>
      </c>
      <c r="CD136" s="62">
        <f ca="1">AVERAGE(OFFSET($CC$3,0,0,'Données projet'!$E$12+1,1))-AVERAGE(OFFSET($H$3,0,0,'Données projet'!$E$12+1,1))</f>
        <v>302.6112905010138</v>
      </c>
      <c r="CE136" s="62">
        <f t="shared" si="148"/>
        <v>423.44006663873375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1.0842573396864119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1.0842573396864119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187.13674266165236</v>
      </c>
      <c r="T137" s="62">
        <f t="shared" si="142"/>
        <v>439.28159165815276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-1.1368683772161603E-13</v>
      </c>
      <c r="AJ137" s="14">
        <f>AI137*VLOOKUP('Données projet'!$B$10,Paramètres!$A$1:$I$89,3,0)*VLOOKUP('Données projet'!$B$10,Paramètres!$A$1:$I$89,5,0)</f>
        <v>-9.9316821433603781E-14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327.826081588335</v>
      </c>
      <c r="AO137" s="62">
        <f t="shared" si="144"/>
        <v>348.84706693879735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0.88631402202585752</v>
      </c>
      <c r="AW137" s="23">
        <f>EXP(-LN(2)/2)*AW136+(1-EXP(-LN(2)/2))/(LN(2)/2)*AQ137*AT137*VLOOKUP('Données projet'!$B$10,Paramètres!$A$1:$I$89,3,0)*0.475*44/12</f>
        <v>3.3073043471800652E-15</v>
      </c>
      <c r="AX137" s="23">
        <f t="shared" si="114"/>
        <v>0.88631402202586085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1.1368683772161603E-13</v>
      </c>
      <c r="BE137" s="14">
        <f>BD137*VLOOKUP('Données projet'!$B$11,Paramètres!$A$1:$I$89,3,0)*VLOOKUP('Données projet'!$B$11,Paramètres!$A$1:$I$89,5,0)</f>
        <v>6.7984728957526396E-14</v>
      </c>
      <c r="BF137" s="14">
        <f t="shared" si="145"/>
        <v>1.0682447123141398E-12</v>
      </c>
      <c r="BG137" s="22">
        <f t="shared" si="115"/>
        <v>1.978932943548152E-12</v>
      </c>
      <c r="BH137" s="62">
        <f t="shared" si="116"/>
        <v>293.3333333333353</v>
      </c>
      <c r="BI137" s="62">
        <f ca="1">AVERAGE(OFFSET($BH$3,0,0,'Données projet'!$E$11+1,1))-AVERAGE(OFFSET($H$3,0,0,'Données projet'!$E$11+1,1))</f>
        <v>187.13674266165236</v>
      </c>
      <c r="BJ137" s="62">
        <f t="shared" si="146"/>
        <v>439.28159165815276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6.7983629130899317</v>
      </c>
      <c r="BQ137" s="23">
        <f>EXP(-LN(2)/25)*BQ136+(1-EXP(-LN(2)/25))/(LN(2)/25)*Calculateur!BL137*Calculateur!BN137*VLOOKUP('Données projet'!$B$11,Paramètres!$A$1:$I$89,3,0)*0.475*44/12</f>
        <v>2.4584556880877941</v>
      </c>
      <c r="BR137" s="23">
        <f>EXP(-LN(2)/2)*BR136+(1-EXP(-LN(2)/2))/(LN(2)/2)*BL137*BO137*VLOOKUP('Données projet'!$B$11,Paramètres!$A$1:$I$89,3,0)*0.475*44/12</f>
        <v>9.6739027448464056E-15</v>
      </c>
      <c r="BS137" s="24">
        <f t="shared" si="117"/>
        <v>9.2568186011777343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1.9895196601282805E-13</v>
      </c>
      <c r="BZ137" s="14">
        <f>BY137*VLOOKUP('Données projet'!$B$12,Paramètres!$A$1:$I$89,3,0)*VLOOKUP('Données projet'!$B$12,Paramètres!$A$1:$I$89,5,0)</f>
        <v>1.8001173884840681E-13</v>
      </c>
      <c r="CA137" s="14">
        <f t="shared" si="147"/>
        <v>2.5254331426407198E-12</v>
      </c>
      <c r="CB137" s="22">
        <f t="shared" si="118"/>
        <v>4.7119831685935622E-12</v>
      </c>
      <c r="CC137" s="62">
        <f t="shared" si="119"/>
        <v>293.33333333333803</v>
      </c>
      <c r="CD137" s="62">
        <f ca="1">AVERAGE(OFFSET($CC$3,0,0,'Données projet'!$E$12+1,1))-AVERAGE(OFFSET($H$3,0,0,'Données projet'!$E$12+1,1))</f>
        <v>302.6112905010138</v>
      </c>
      <c r="CE137" s="62">
        <f t="shared" si="148"/>
        <v>423.44006663873375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1.0629957145868376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1.0629957145868376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187.13674266165236</v>
      </c>
      <c r="T138" s="62">
        <f t="shared" si="142"/>
        <v>439.28159165815276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-1.1368683772161603E-13</v>
      </c>
      <c r="AJ138" s="14">
        <f>AI138*VLOOKUP('Données projet'!$B$10,Paramètres!$A$1:$I$89,3,0)*VLOOKUP('Données projet'!$B$10,Paramètres!$A$1:$I$89,5,0)</f>
        <v>-9.9316821433603781E-14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327.826081588335</v>
      </c>
      <c r="AO138" s="62">
        <f t="shared" si="144"/>
        <v>348.84706693879735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0.86207771848433168</v>
      </c>
      <c r="AW138" s="23">
        <f>EXP(-LN(2)/2)*AW137+(1-EXP(-LN(2)/2))/(LN(2)/2)*AQ138*AT138*VLOOKUP('Données projet'!$B$10,Paramètres!$A$1:$I$89,3,0)*0.475*44/12</f>
        <v>2.3386173313387717E-15</v>
      </c>
      <c r="AX138" s="23">
        <f t="shared" si="114"/>
        <v>0.86207771848433401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1.1368683772161603E-13</v>
      </c>
      <c r="BE138" s="14">
        <f>BD138*VLOOKUP('Données projet'!$B$11,Paramètres!$A$1:$I$89,3,0)*VLOOKUP('Données projet'!$B$11,Paramètres!$A$1:$I$89,5,0)</f>
        <v>6.7984728957526396E-14</v>
      </c>
      <c r="BF138" s="14">
        <f t="shared" si="145"/>
        <v>1.0682447123141398E-12</v>
      </c>
      <c r="BG138" s="22">
        <f t="shared" si="115"/>
        <v>1.978932943548152E-12</v>
      </c>
      <c r="BH138" s="62">
        <f t="shared" si="116"/>
        <v>293.3333333333353</v>
      </c>
      <c r="BI138" s="62">
        <f ca="1">AVERAGE(OFFSET($BH$3,0,0,'Données projet'!$E$11+1,1))-AVERAGE(OFFSET($H$3,0,0,'Données projet'!$E$11+1,1))</f>
        <v>187.13674266165236</v>
      </c>
      <c r="BJ138" s="62">
        <f t="shared" si="146"/>
        <v>439.28159165815276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6.6650511629561731</v>
      </c>
      <c r="BQ138" s="23">
        <f>EXP(-LN(2)/25)*BQ137+(1-EXP(-LN(2)/25))/(LN(2)/25)*Calculateur!BL138*Calculateur!BN138*VLOOKUP('Données projet'!$B$11,Paramètres!$A$1:$I$89,3,0)*0.475*44/12</f>
        <v>2.3912290880124676</v>
      </c>
      <c r="BR138" s="23">
        <f>EXP(-LN(2)/2)*BR137+(1-EXP(-LN(2)/2))/(LN(2)/2)*BL138*BO138*VLOOKUP('Données projet'!$B$11,Paramètres!$A$1:$I$89,3,0)*0.475*44/12</f>
        <v>6.8404822314200489E-15</v>
      </c>
      <c r="BS138" s="24">
        <f t="shared" si="117"/>
        <v>9.0562802509686477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1.9895196601282805E-13</v>
      </c>
      <c r="BZ138" s="14">
        <f>BY138*VLOOKUP('Données projet'!$B$12,Paramètres!$A$1:$I$89,3,0)*VLOOKUP('Données projet'!$B$12,Paramètres!$A$1:$I$89,5,0)</f>
        <v>1.8001173884840681E-13</v>
      </c>
      <c r="CA138" s="14">
        <f t="shared" si="147"/>
        <v>2.5254331426407198E-12</v>
      </c>
      <c r="CB138" s="22">
        <f t="shared" si="118"/>
        <v>4.7119831685935622E-12</v>
      </c>
      <c r="CC138" s="62">
        <f t="shared" si="119"/>
        <v>293.33333333333803</v>
      </c>
      <c r="CD138" s="62">
        <f ca="1">AVERAGE(OFFSET($CC$3,0,0,'Données projet'!$E$12+1,1))-AVERAGE(OFFSET($H$3,0,0,'Données projet'!$E$12+1,1))</f>
        <v>302.6112905010138</v>
      </c>
      <c r="CE138" s="62">
        <f t="shared" si="148"/>
        <v>423.44006663873375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1.0421510169871551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1.0421510169871551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187.13674266165236</v>
      </c>
      <c r="T139" s="62">
        <f t="shared" si="142"/>
        <v>439.28159165815276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-1.1368683772161603E-13</v>
      </c>
      <c r="AJ139" s="14">
        <f>AI139*VLOOKUP('Données projet'!$B$10,Paramètres!$A$1:$I$89,3,0)*VLOOKUP('Données projet'!$B$10,Paramètres!$A$1:$I$89,5,0)</f>
        <v>-9.9316821433603781E-14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327.826081588335</v>
      </c>
      <c r="AO139" s="62">
        <f t="shared" si="144"/>
        <v>348.84706693879735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0.83850415793768074</v>
      </c>
      <c r="AW139" s="23">
        <f>EXP(-LN(2)/2)*AW138+(1-EXP(-LN(2)/2))/(LN(2)/2)*AQ139*AT139*VLOOKUP('Données projet'!$B$10,Paramètres!$A$1:$I$89,3,0)*0.475*44/12</f>
        <v>1.6536521735900326E-15</v>
      </c>
      <c r="AX139" s="23">
        <f t="shared" si="114"/>
        <v>0.8385041579376824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1.1368683772161603E-13</v>
      </c>
      <c r="BE139" s="14">
        <f>BD139*VLOOKUP('Données projet'!$B$11,Paramètres!$A$1:$I$89,3,0)*VLOOKUP('Données projet'!$B$11,Paramètres!$A$1:$I$89,5,0)</f>
        <v>6.7984728957526396E-14</v>
      </c>
      <c r="BF139" s="14">
        <f t="shared" si="145"/>
        <v>1.0682447123141398E-12</v>
      </c>
      <c r="BG139" s="22">
        <f t="shared" si="115"/>
        <v>1.978932943548152E-12</v>
      </c>
      <c r="BH139" s="62">
        <f t="shared" si="116"/>
        <v>293.3333333333353</v>
      </c>
      <c r="BI139" s="62">
        <f ca="1">AVERAGE(OFFSET($BH$3,0,0,'Données projet'!$E$11+1,1))-AVERAGE(OFFSET($H$3,0,0,'Données projet'!$E$11+1,1))</f>
        <v>187.13674266165236</v>
      </c>
      <c r="BJ139" s="62">
        <f t="shared" si="146"/>
        <v>439.28159165815276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6.5343535749303987</v>
      </c>
      <c r="BQ139" s="23">
        <f>EXP(-LN(2)/25)*BQ138+(1-EXP(-LN(2)/25))/(LN(2)/25)*Calculateur!BL139*Calculateur!BN139*VLOOKUP('Données projet'!$B$11,Paramètres!$A$1:$I$89,3,0)*0.475*44/12</f>
        <v>2.3258408028514941</v>
      </c>
      <c r="BR139" s="23">
        <f>EXP(-LN(2)/2)*BR138+(1-EXP(-LN(2)/2))/(LN(2)/2)*BL139*BO139*VLOOKUP('Données projet'!$B$11,Paramètres!$A$1:$I$89,3,0)*0.475*44/12</f>
        <v>4.8369513724232028E-15</v>
      </c>
      <c r="BS139" s="24">
        <f t="shared" si="117"/>
        <v>8.8601943777818981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1.9895196601282805E-13</v>
      </c>
      <c r="BZ139" s="14">
        <f>BY139*VLOOKUP('Données projet'!$B$12,Paramètres!$A$1:$I$89,3,0)*VLOOKUP('Données projet'!$B$12,Paramètres!$A$1:$I$89,5,0)</f>
        <v>1.8001173884840681E-13</v>
      </c>
      <c r="CA139" s="14">
        <f t="shared" si="147"/>
        <v>2.5254331426407198E-12</v>
      </c>
      <c r="CB139" s="22">
        <f t="shared" si="118"/>
        <v>4.7119831685935622E-12</v>
      </c>
      <c r="CC139" s="62">
        <f t="shared" si="119"/>
        <v>293.33333333333803</v>
      </c>
      <c r="CD139" s="62">
        <f ca="1">AVERAGE(OFFSET($CC$3,0,0,'Données projet'!$E$12+1,1))-AVERAGE(OFFSET($H$3,0,0,'Données projet'!$E$12+1,1))</f>
        <v>302.6112905010138</v>
      </c>
      <c r="CE139" s="62">
        <f t="shared" si="148"/>
        <v>423.44006663873375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1.0217150711933922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1.0217150711933922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187.13674266165236</v>
      </c>
      <c r="T140" s="62">
        <f t="shared" si="142"/>
        <v>439.28159165815276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-1.1368683772161603E-13</v>
      </c>
      <c r="AJ140" s="14">
        <f>AI140*VLOOKUP('Données projet'!$B$10,Paramètres!$A$1:$I$89,3,0)*VLOOKUP('Données projet'!$B$10,Paramètres!$A$1:$I$89,5,0)</f>
        <v>-9.9316821433603781E-14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327.826081588335</v>
      </c>
      <c r="AO140" s="62">
        <f t="shared" si="144"/>
        <v>348.84706693879735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0.81557521764385765</v>
      </c>
      <c r="AW140" s="23">
        <f>EXP(-LN(2)/2)*AW139+(1-EXP(-LN(2)/2))/(LN(2)/2)*AQ140*AT140*VLOOKUP('Données projet'!$B$10,Paramètres!$A$1:$I$89,3,0)*0.475*44/12</f>
        <v>1.1693086656693859E-15</v>
      </c>
      <c r="AX140" s="23">
        <f t="shared" si="114"/>
        <v>0.81557521764385887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1.1368683772161603E-13</v>
      </c>
      <c r="BE140" s="14">
        <f>BD140*VLOOKUP('Données projet'!$B$11,Paramètres!$A$1:$I$89,3,0)*VLOOKUP('Données projet'!$B$11,Paramètres!$A$1:$I$89,5,0)</f>
        <v>6.7984728957526396E-14</v>
      </c>
      <c r="BF140" s="14">
        <f t="shared" si="145"/>
        <v>1.0682447123141398E-12</v>
      </c>
      <c r="BG140" s="22">
        <f t="shared" si="115"/>
        <v>1.978932943548152E-12</v>
      </c>
      <c r="BH140" s="62">
        <f t="shared" si="116"/>
        <v>293.3333333333353</v>
      </c>
      <c r="BI140" s="62">
        <f ca="1">AVERAGE(OFFSET($BH$3,0,0,'Données projet'!$E$11+1,1))-AVERAGE(OFFSET($H$3,0,0,'Données projet'!$E$11+1,1))</f>
        <v>187.13674266165236</v>
      </c>
      <c r="BJ140" s="62">
        <f t="shared" si="146"/>
        <v>439.28159165815276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6.4062188868881531</v>
      </c>
      <c r="BQ140" s="23">
        <f>EXP(-LN(2)/25)*BQ139+(1-EXP(-LN(2)/25))/(LN(2)/25)*Calculateur!BL140*Calculateur!BN140*VLOOKUP('Données projet'!$B$11,Paramètres!$A$1:$I$89,3,0)*0.475*44/12</f>
        <v>2.2622405637868681</v>
      </c>
      <c r="BR140" s="23">
        <f>EXP(-LN(2)/2)*BR139+(1-EXP(-LN(2)/2))/(LN(2)/2)*BL140*BO140*VLOOKUP('Données projet'!$B$11,Paramètres!$A$1:$I$89,3,0)*0.475*44/12</f>
        <v>3.4202411157100244E-15</v>
      </c>
      <c r="BS140" s="24">
        <f t="shared" si="117"/>
        <v>8.6684594506750248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1.9895196601282805E-13</v>
      </c>
      <c r="BZ140" s="14">
        <f>BY140*VLOOKUP('Données projet'!$B$12,Paramètres!$A$1:$I$89,3,0)*VLOOKUP('Données projet'!$B$12,Paramètres!$A$1:$I$89,5,0)</f>
        <v>1.8001173884840681E-13</v>
      </c>
      <c r="CA140" s="14">
        <f t="shared" si="147"/>
        <v>2.5254331426407198E-12</v>
      </c>
      <c r="CB140" s="22">
        <f t="shared" si="118"/>
        <v>4.7119831685935622E-12</v>
      </c>
      <c r="CC140" s="62">
        <f t="shared" si="119"/>
        <v>293.33333333333803</v>
      </c>
      <c r="CD140" s="62">
        <f ca="1">AVERAGE(OFFSET($CC$3,0,0,'Données projet'!$E$12+1,1))-AVERAGE(OFFSET($H$3,0,0,'Données projet'!$E$12+1,1))</f>
        <v>302.6112905010138</v>
      </c>
      <c r="CE140" s="62">
        <f t="shared" si="148"/>
        <v>423.44006663873375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1.0016798618319489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1.0016798618319489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187.13674266165236</v>
      </c>
      <c r="T141" s="62">
        <f t="shared" si="142"/>
        <v>439.28159165815276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-1.1368683772161603E-13</v>
      </c>
      <c r="AJ141" s="14">
        <f>AI141*VLOOKUP('Données projet'!$B$10,Paramètres!$A$1:$I$89,3,0)*VLOOKUP('Données projet'!$B$10,Paramètres!$A$1:$I$89,5,0)</f>
        <v>-9.9316821433603781E-14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327.826081588335</v>
      </c>
      <c r="AO141" s="62">
        <f t="shared" si="144"/>
        <v>348.84706693879735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0.79327327042814966</v>
      </c>
      <c r="AW141" s="23">
        <f>EXP(-LN(2)/2)*AW140+(1-EXP(-LN(2)/2))/(LN(2)/2)*AQ141*AT141*VLOOKUP('Données projet'!$B$10,Paramètres!$A$1:$I$89,3,0)*0.475*44/12</f>
        <v>8.2682608679501629E-16</v>
      </c>
      <c r="AX141" s="23">
        <f t="shared" si="114"/>
        <v>0.79327327042815043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1.1368683772161603E-13</v>
      </c>
      <c r="BE141" s="14">
        <f>BD141*VLOOKUP('Données projet'!$B$11,Paramètres!$A$1:$I$89,3,0)*VLOOKUP('Données projet'!$B$11,Paramètres!$A$1:$I$89,5,0)</f>
        <v>6.7984728957526396E-14</v>
      </c>
      <c r="BF141" s="14">
        <f t="shared" si="145"/>
        <v>1.0682447123141398E-12</v>
      </c>
      <c r="BG141" s="22">
        <f t="shared" si="115"/>
        <v>1.978932943548152E-12</v>
      </c>
      <c r="BH141" s="62">
        <f t="shared" si="116"/>
        <v>293.3333333333353</v>
      </c>
      <c r="BI141" s="62">
        <f ca="1">AVERAGE(OFFSET($BH$3,0,0,'Données projet'!$E$11+1,1))-AVERAGE(OFFSET($H$3,0,0,'Données projet'!$E$11+1,1))</f>
        <v>187.13674266165236</v>
      </c>
      <c r="BJ141" s="62">
        <f t="shared" si="146"/>
        <v>439.28159165815276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6.2805968419239733</v>
      </c>
      <c r="BQ141" s="23">
        <f>EXP(-LN(2)/25)*BQ140+(1-EXP(-LN(2)/25))/(LN(2)/25)*Calculateur!BL141*Calculateur!BN141*VLOOKUP('Données projet'!$B$11,Paramètres!$A$1:$I$89,3,0)*0.475*44/12</f>
        <v>2.2003794766040552</v>
      </c>
      <c r="BR141" s="23">
        <f>EXP(-LN(2)/2)*BR140+(1-EXP(-LN(2)/2))/(LN(2)/2)*BL141*BO141*VLOOKUP('Données projet'!$B$11,Paramètres!$A$1:$I$89,3,0)*0.475*44/12</f>
        <v>2.4184756862116014E-15</v>
      </c>
      <c r="BS141" s="24">
        <f t="shared" si="117"/>
        <v>8.4809763185280307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1.9895196601282805E-13</v>
      </c>
      <c r="BZ141" s="14">
        <f>BY141*VLOOKUP('Données projet'!$B$12,Paramètres!$A$1:$I$89,3,0)*VLOOKUP('Données projet'!$B$12,Paramètres!$A$1:$I$89,5,0)</f>
        <v>1.8001173884840681E-13</v>
      </c>
      <c r="CA141" s="14">
        <f t="shared" si="147"/>
        <v>2.5254331426407198E-12</v>
      </c>
      <c r="CB141" s="22">
        <f t="shared" si="118"/>
        <v>4.7119831685935622E-12</v>
      </c>
      <c r="CC141" s="62">
        <f t="shared" si="119"/>
        <v>293.33333333333803</v>
      </c>
      <c r="CD141" s="62">
        <f ca="1">AVERAGE(OFFSET($CC$3,0,0,'Données projet'!$E$12+1,1))-AVERAGE(OFFSET($H$3,0,0,'Données projet'!$E$12+1,1))</f>
        <v>302.6112905010138</v>
      </c>
      <c r="CE141" s="62">
        <f t="shared" si="148"/>
        <v>423.44006663873375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0.98203753070581234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0.98203753070581234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187.13674266165236</v>
      </c>
      <c r="T142" s="62">
        <f t="shared" si="142"/>
        <v>439.28159165815276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-1.1368683772161603E-13</v>
      </c>
      <c r="AJ142" s="14">
        <f>AI142*VLOOKUP('Données projet'!$B$10,Paramètres!$A$1:$I$89,3,0)*VLOOKUP('Données projet'!$B$10,Paramètres!$A$1:$I$89,5,0)</f>
        <v>-9.9316821433603781E-14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327.826081588335</v>
      </c>
      <c r="AO142" s="62">
        <f t="shared" si="144"/>
        <v>348.84706693879735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0.77158117113186364</v>
      </c>
      <c r="AW142" s="23">
        <f>EXP(-LN(2)/2)*AW141+(1-EXP(-LN(2)/2))/(LN(2)/2)*AQ142*AT142*VLOOKUP('Données projet'!$B$10,Paramètres!$A$1:$I$89,3,0)*0.475*44/12</f>
        <v>5.8465433283469293E-16</v>
      </c>
      <c r="AX142" s="23">
        <f t="shared" si="114"/>
        <v>0.7715811711318642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1.1368683772161603E-13</v>
      </c>
      <c r="BE142" s="14">
        <f>BD142*VLOOKUP('Données projet'!$B$11,Paramètres!$A$1:$I$89,3,0)*VLOOKUP('Données projet'!$B$11,Paramètres!$A$1:$I$89,5,0)</f>
        <v>6.7984728957526396E-14</v>
      </c>
      <c r="BF142" s="14">
        <f t="shared" si="145"/>
        <v>1.0682447123141398E-12</v>
      </c>
      <c r="BG142" s="22">
        <f t="shared" si="115"/>
        <v>1.978932943548152E-12</v>
      </c>
      <c r="BH142" s="62">
        <f t="shared" si="116"/>
        <v>293.3333333333353</v>
      </c>
      <c r="BI142" s="62">
        <f ca="1">AVERAGE(OFFSET($BH$3,0,0,'Données projet'!$E$11+1,1))-AVERAGE(OFFSET($H$3,0,0,'Données projet'!$E$11+1,1))</f>
        <v>187.13674266165236</v>
      </c>
      <c r="BJ142" s="62">
        <f t="shared" si="146"/>
        <v>439.28159165815276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6.1574381686396586</v>
      </c>
      <c r="BQ142" s="23">
        <f>EXP(-LN(2)/25)*BQ141+(1-EXP(-LN(2)/25))/(LN(2)/25)*Calculateur!BL142*Calculateur!BN142*VLOOKUP('Données projet'!$B$11,Paramètres!$A$1:$I$89,3,0)*0.475*44/12</f>
        <v>2.1402099841033895</v>
      </c>
      <c r="BR142" s="23">
        <f>EXP(-LN(2)/2)*BR141+(1-EXP(-LN(2)/2))/(LN(2)/2)*BL142*BO142*VLOOKUP('Données projet'!$B$11,Paramètres!$A$1:$I$89,3,0)*0.475*44/12</f>
        <v>1.7101205578550122E-15</v>
      </c>
      <c r="BS142" s="24">
        <f t="shared" si="117"/>
        <v>8.297648152743049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1.9895196601282805E-13</v>
      </c>
      <c r="BZ142" s="14">
        <f>BY142*VLOOKUP('Données projet'!$B$12,Paramètres!$A$1:$I$89,3,0)*VLOOKUP('Données projet'!$B$12,Paramètres!$A$1:$I$89,5,0)</f>
        <v>1.8001173884840681E-13</v>
      </c>
      <c r="CA142" s="14">
        <f t="shared" si="147"/>
        <v>2.5254331426407198E-12</v>
      </c>
      <c r="CB142" s="22">
        <f t="shared" si="118"/>
        <v>4.7119831685935622E-12</v>
      </c>
      <c r="CC142" s="62">
        <f t="shared" si="119"/>
        <v>293.33333333333803</v>
      </c>
      <c r="CD142" s="62">
        <f ca="1">AVERAGE(OFFSET($CC$3,0,0,'Données projet'!$E$12+1,1))-AVERAGE(OFFSET($H$3,0,0,'Données projet'!$E$12+1,1))</f>
        <v>302.6112905010138</v>
      </c>
      <c r="CE142" s="62">
        <f t="shared" si="148"/>
        <v>423.44006663873375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0.96278037371242031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0.96278037371242031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187.13674266165236</v>
      </c>
      <c r="T143" s="62">
        <f t="shared" si="142"/>
        <v>439.28159165815276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-1.1368683772161603E-13</v>
      </c>
      <c r="AJ143" s="14">
        <f>AI143*VLOOKUP('Données projet'!$B$10,Paramètres!$A$1:$I$89,3,0)*VLOOKUP('Données projet'!$B$10,Paramètres!$A$1:$I$89,5,0)</f>
        <v>-9.9316821433603781E-14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327.826081588335</v>
      </c>
      <c r="AO143" s="62">
        <f t="shared" si="144"/>
        <v>348.84706693879735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0.75048224343157255</v>
      </c>
      <c r="AW143" s="23">
        <f>EXP(-LN(2)/2)*AW142+(1-EXP(-LN(2)/2))/(LN(2)/2)*AQ143*AT143*VLOOKUP('Données projet'!$B$10,Paramètres!$A$1:$I$89,3,0)*0.475*44/12</f>
        <v>4.1341304339750815E-16</v>
      </c>
      <c r="AX143" s="23">
        <f t="shared" si="114"/>
        <v>0.75048224343157299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1.1368683772161603E-13</v>
      </c>
      <c r="BE143" s="14">
        <f>BD143*VLOOKUP('Données projet'!$B$11,Paramètres!$A$1:$I$89,3,0)*VLOOKUP('Données projet'!$B$11,Paramètres!$A$1:$I$89,5,0)</f>
        <v>6.7984728957526396E-14</v>
      </c>
      <c r="BF143" s="14">
        <f t="shared" si="145"/>
        <v>1.0682447123141398E-12</v>
      </c>
      <c r="BG143" s="22">
        <f t="shared" si="115"/>
        <v>1.978932943548152E-12</v>
      </c>
      <c r="BH143" s="62">
        <f t="shared" si="116"/>
        <v>293.3333333333353</v>
      </c>
      <c r="BI143" s="62">
        <f ca="1">AVERAGE(OFFSET($BH$3,0,0,'Données projet'!$E$11+1,1))-AVERAGE(OFFSET($H$3,0,0,'Données projet'!$E$11+1,1))</f>
        <v>187.13674266165236</v>
      </c>
      <c r="BJ143" s="62">
        <f t="shared" si="146"/>
        <v>439.28159165815276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6.0366945618190764</v>
      </c>
      <c r="BQ143" s="23">
        <f>EXP(-LN(2)/25)*BQ142+(1-EXP(-LN(2)/25))/(LN(2)/25)*Calculateur!BL143*Calculateur!BN143*VLOOKUP('Données projet'!$B$11,Paramètres!$A$1:$I$89,3,0)*0.475*44/12</f>
        <v>2.0816858295393308</v>
      </c>
      <c r="BR143" s="23">
        <f>EXP(-LN(2)/2)*BR142+(1-EXP(-LN(2)/2))/(LN(2)/2)*BL143*BO143*VLOOKUP('Données projet'!$B$11,Paramètres!$A$1:$I$89,3,0)*0.475*44/12</f>
        <v>1.2092378431058007E-15</v>
      </c>
      <c r="BS143" s="24">
        <f t="shared" si="117"/>
        <v>8.1183803913584089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1.9895196601282805E-13</v>
      </c>
      <c r="BZ143" s="14">
        <f>BY143*VLOOKUP('Données projet'!$B$12,Paramètres!$A$1:$I$89,3,0)*VLOOKUP('Données projet'!$B$12,Paramètres!$A$1:$I$89,5,0)</f>
        <v>1.8001173884840681E-13</v>
      </c>
      <c r="CA143" s="14">
        <f t="shared" si="147"/>
        <v>2.5254331426407198E-12</v>
      </c>
      <c r="CB143" s="22">
        <f t="shared" si="118"/>
        <v>4.7119831685935622E-12</v>
      </c>
      <c r="CC143" s="62">
        <f t="shared" si="119"/>
        <v>293.33333333333803</v>
      </c>
      <c r="CD143" s="62">
        <f ca="1">AVERAGE(OFFSET($CC$3,0,0,'Données projet'!$E$12+1,1))-AVERAGE(OFFSET($H$3,0,0,'Données projet'!$E$12+1,1))</f>
        <v>302.6112905010138</v>
      </c>
      <c r="CE143" s="62">
        <f t="shared" si="148"/>
        <v>423.44006663873375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0.94390083782196277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0.94390083782196277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187.13674266165236</v>
      </c>
      <c r="T144" s="62">
        <f t="shared" si="142"/>
        <v>439.28159165815276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-1.1368683772161603E-13</v>
      </c>
      <c r="AJ144" s="14">
        <f>AI144*VLOOKUP('Données projet'!$B$10,Paramètres!$A$1:$I$89,3,0)*VLOOKUP('Données projet'!$B$10,Paramètres!$A$1:$I$89,5,0)</f>
        <v>-9.9316821433603781E-14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327.826081588335</v>
      </c>
      <c r="AO144" s="62">
        <f t="shared" si="144"/>
        <v>348.84706693879735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0.72996026701879024</v>
      </c>
      <c r="AW144" s="23">
        <f>EXP(-LN(2)/2)*AW143+(1-EXP(-LN(2)/2))/(LN(2)/2)*AQ144*AT144*VLOOKUP('Données projet'!$B$10,Paramètres!$A$1:$I$89,3,0)*0.475*44/12</f>
        <v>2.9232716641734646E-16</v>
      </c>
      <c r="AX144" s="23">
        <f t="shared" si="114"/>
        <v>0.72996026701879058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1.1368683772161603E-13</v>
      </c>
      <c r="BE144" s="14">
        <f>BD144*VLOOKUP('Données projet'!$B$11,Paramètres!$A$1:$I$89,3,0)*VLOOKUP('Données projet'!$B$11,Paramètres!$A$1:$I$89,5,0)</f>
        <v>6.7984728957526396E-14</v>
      </c>
      <c r="BF144" s="14">
        <f t="shared" si="145"/>
        <v>1.0682447123141398E-12</v>
      </c>
      <c r="BG144" s="22">
        <f t="shared" si="115"/>
        <v>1.978932943548152E-12</v>
      </c>
      <c r="BH144" s="62">
        <f t="shared" si="116"/>
        <v>293.3333333333353</v>
      </c>
      <c r="BI144" s="62">
        <f ca="1">AVERAGE(OFFSET($BH$3,0,0,'Données projet'!$E$11+1,1))-AVERAGE(OFFSET($H$3,0,0,'Données projet'!$E$11+1,1))</f>
        <v>187.13674266165236</v>
      </c>
      <c r="BJ144" s="62">
        <f t="shared" si="146"/>
        <v>439.28159165815276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5.9183186634819176</v>
      </c>
      <c r="BQ144" s="23">
        <f>EXP(-LN(2)/25)*BQ143+(1-EXP(-LN(2)/25))/(LN(2)/25)*Calculateur!BL144*Calculateur!BN144*VLOOKUP('Données projet'!$B$11,Paramètres!$A$1:$I$89,3,0)*0.475*44/12</f>
        <v>2.0247620210594777</v>
      </c>
      <c r="BR144" s="23">
        <f>EXP(-LN(2)/2)*BR143+(1-EXP(-LN(2)/2))/(LN(2)/2)*BL144*BO144*VLOOKUP('Données projet'!$B$11,Paramètres!$A$1:$I$89,3,0)*0.475*44/12</f>
        <v>8.5506027892750611E-16</v>
      </c>
      <c r="BS144" s="24">
        <f t="shared" si="117"/>
        <v>7.9430806845413962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1.9895196601282805E-13</v>
      </c>
      <c r="BZ144" s="14">
        <f>BY144*VLOOKUP('Données projet'!$B$12,Paramètres!$A$1:$I$89,3,0)*VLOOKUP('Données projet'!$B$12,Paramètres!$A$1:$I$89,5,0)</f>
        <v>1.8001173884840681E-13</v>
      </c>
      <c r="CA144" s="14">
        <f t="shared" si="147"/>
        <v>2.5254331426407198E-12</v>
      </c>
      <c r="CB144" s="22">
        <f t="shared" si="118"/>
        <v>4.7119831685935622E-12</v>
      </c>
      <c r="CC144" s="62">
        <f t="shared" si="119"/>
        <v>293.33333333333803</v>
      </c>
      <c r="CD144" s="62">
        <f ca="1">AVERAGE(OFFSET($CC$3,0,0,'Données projet'!$E$12+1,1))-AVERAGE(OFFSET($H$3,0,0,'Données projet'!$E$12+1,1))</f>
        <v>302.6112905010138</v>
      </c>
      <c r="CE144" s="62">
        <f t="shared" si="148"/>
        <v>423.44006663873375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0.92539151811493725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0.92539151811493725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187.13674266165236</v>
      </c>
      <c r="T145" s="62">
        <f t="shared" si="142"/>
        <v>439.28159165815276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-1.1368683772161603E-13</v>
      </c>
      <c r="AJ145" s="14">
        <f>AI145*VLOOKUP('Données projet'!$B$10,Paramètres!$A$1:$I$89,3,0)*VLOOKUP('Données projet'!$B$10,Paramètres!$A$1:$I$89,5,0)</f>
        <v>-9.9316821433603781E-14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327.826081588335</v>
      </c>
      <c r="AO145" s="62">
        <f t="shared" si="144"/>
        <v>348.84706693879735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0.70999946513021928</v>
      </c>
      <c r="AW145" s="23">
        <f>EXP(-LN(2)/2)*AW144+(1-EXP(-LN(2)/2))/(LN(2)/2)*AQ145*AT145*VLOOKUP('Données projet'!$B$10,Paramètres!$A$1:$I$89,3,0)*0.475*44/12</f>
        <v>2.0670652169875407E-16</v>
      </c>
      <c r="AX145" s="23">
        <f t="shared" si="114"/>
        <v>0.7099994651302195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1.1368683772161603E-13</v>
      </c>
      <c r="BE145" s="14">
        <f>BD145*VLOOKUP('Données projet'!$B$11,Paramètres!$A$1:$I$89,3,0)*VLOOKUP('Données projet'!$B$11,Paramètres!$A$1:$I$89,5,0)</f>
        <v>6.7984728957526396E-14</v>
      </c>
      <c r="BF145" s="14">
        <f t="shared" si="145"/>
        <v>1.0682447123141398E-12</v>
      </c>
      <c r="BG145" s="22">
        <f t="shared" si="115"/>
        <v>1.978932943548152E-12</v>
      </c>
      <c r="BH145" s="62">
        <f t="shared" si="116"/>
        <v>293.3333333333353</v>
      </c>
      <c r="BI145" s="62">
        <f ca="1">AVERAGE(OFFSET($BH$3,0,0,'Données projet'!$E$11+1,1))-AVERAGE(OFFSET($H$3,0,0,'Données projet'!$E$11+1,1))</f>
        <v>187.13674266165236</v>
      </c>
      <c r="BJ145" s="62">
        <f t="shared" si="146"/>
        <v>439.28159165815276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5.8022640443089823</v>
      </c>
      <c r="BQ145" s="23">
        <f>EXP(-LN(2)/25)*BQ144+(1-EXP(-LN(2)/25))/(LN(2)/25)*Calculateur!BL145*Calculateur!BN145*VLOOKUP('Données projet'!$B$11,Paramètres!$A$1:$I$89,3,0)*0.475*44/12</f>
        <v>1.9693947971159993</v>
      </c>
      <c r="BR145" s="23">
        <f>EXP(-LN(2)/2)*BR144+(1-EXP(-LN(2)/2))/(LN(2)/2)*BL145*BO145*VLOOKUP('Données projet'!$B$11,Paramètres!$A$1:$I$89,3,0)*0.475*44/12</f>
        <v>6.0461892155290035E-16</v>
      </c>
      <c r="BS145" s="24">
        <f t="shared" si="117"/>
        <v>7.7716588414249825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1.9895196601282805E-13</v>
      </c>
      <c r="BZ145" s="14">
        <f>BY145*VLOOKUP('Données projet'!$B$12,Paramètres!$A$1:$I$89,3,0)*VLOOKUP('Données projet'!$B$12,Paramètres!$A$1:$I$89,5,0)</f>
        <v>1.8001173884840681E-13</v>
      </c>
      <c r="CA145" s="14">
        <f t="shared" si="147"/>
        <v>2.5254331426407198E-12</v>
      </c>
      <c r="CB145" s="22">
        <f t="shared" si="118"/>
        <v>4.7119831685935622E-12</v>
      </c>
      <c r="CC145" s="62">
        <f t="shared" si="119"/>
        <v>293.33333333333803</v>
      </c>
      <c r="CD145" s="62">
        <f ca="1">AVERAGE(OFFSET($CC$3,0,0,'Données projet'!$E$12+1,1))-AVERAGE(OFFSET($H$3,0,0,'Données projet'!$E$12+1,1))</f>
        <v>302.6112905010138</v>
      </c>
      <c r="CE145" s="62">
        <f t="shared" si="148"/>
        <v>423.44006663873375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0.90724515487779622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0.90724515487779622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187.13674266165236</v>
      </c>
      <c r="T146" s="62">
        <f t="shared" si="142"/>
        <v>439.28159165815276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-1.1368683772161603E-13</v>
      </c>
      <c r="AJ146" s="14">
        <f>AI146*VLOOKUP('Données projet'!$B$10,Paramètres!$A$1:$I$89,3,0)*VLOOKUP('Données projet'!$B$10,Paramètres!$A$1:$I$89,5,0)</f>
        <v>-9.9316821433603781E-14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327.826081588335</v>
      </c>
      <c r="AO146" s="62">
        <f t="shared" si="144"/>
        <v>348.84706693879735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0.69058449241898423</v>
      </c>
      <c r="AW146" s="23">
        <f>EXP(-LN(2)/2)*AW145+(1-EXP(-LN(2)/2))/(LN(2)/2)*AQ146*AT146*VLOOKUP('Données projet'!$B$10,Paramètres!$A$1:$I$89,3,0)*0.475*44/12</f>
        <v>1.4616358320867323E-16</v>
      </c>
      <c r="AX146" s="23">
        <f t="shared" si="114"/>
        <v>0.69058449241898434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1.1368683772161603E-13</v>
      </c>
      <c r="BE146" s="14">
        <f>BD146*VLOOKUP('Données projet'!$B$11,Paramètres!$A$1:$I$89,3,0)*VLOOKUP('Données projet'!$B$11,Paramètres!$A$1:$I$89,5,0)</f>
        <v>6.7984728957526396E-14</v>
      </c>
      <c r="BF146" s="14">
        <f t="shared" si="145"/>
        <v>1.0682447123141398E-12</v>
      </c>
      <c r="BG146" s="22">
        <f t="shared" si="115"/>
        <v>1.978932943548152E-12</v>
      </c>
      <c r="BH146" s="62">
        <f t="shared" si="116"/>
        <v>293.3333333333353</v>
      </c>
      <c r="BI146" s="62">
        <f ca="1">AVERAGE(OFFSET($BH$3,0,0,'Données projet'!$E$11+1,1))-AVERAGE(OFFSET($H$3,0,0,'Données projet'!$E$11+1,1))</f>
        <v>187.13674266165236</v>
      </c>
      <c r="BJ146" s="62">
        <f t="shared" si="146"/>
        <v>439.28159165815276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5.6884851854317002</v>
      </c>
      <c r="BQ146" s="23">
        <f>EXP(-LN(2)/25)*BQ145+(1-EXP(-LN(2)/25))/(LN(2)/25)*Calculateur!BL146*Calculateur!BN146*VLOOKUP('Données projet'!$B$11,Paramètres!$A$1:$I$89,3,0)*0.475*44/12</f>
        <v>1.9155415928228909</v>
      </c>
      <c r="BR146" s="23">
        <f>EXP(-LN(2)/2)*BR145+(1-EXP(-LN(2)/2))/(LN(2)/2)*BL146*BO146*VLOOKUP('Données projet'!$B$11,Paramètres!$A$1:$I$89,3,0)*0.475*44/12</f>
        <v>4.2753013946375306E-16</v>
      </c>
      <c r="BS146" s="24">
        <f t="shared" si="117"/>
        <v>7.6040267782545907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1.9895196601282805E-13</v>
      </c>
      <c r="BZ146" s="14">
        <f>BY146*VLOOKUP('Données projet'!$B$12,Paramètres!$A$1:$I$89,3,0)*VLOOKUP('Données projet'!$B$12,Paramètres!$A$1:$I$89,5,0)</f>
        <v>1.8001173884840681E-13</v>
      </c>
      <c r="CA146" s="14">
        <f t="shared" si="147"/>
        <v>2.5254331426407198E-12</v>
      </c>
      <c r="CB146" s="22">
        <f t="shared" si="118"/>
        <v>4.7119831685935622E-12</v>
      </c>
      <c r="CC146" s="62">
        <f t="shared" si="119"/>
        <v>293.33333333333803</v>
      </c>
      <c r="CD146" s="62">
        <f ca="1">AVERAGE(OFFSET($CC$3,0,0,'Données projet'!$E$12+1,1))-AVERAGE(OFFSET($H$3,0,0,'Données projet'!$E$12+1,1))</f>
        <v>302.6112905010138</v>
      </c>
      <c r="CE146" s="62">
        <f t="shared" si="148"/>
        <v>423.44006663873375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0.88945463075554687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0.88945463075554687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187.13674266165236</v>
      </c>
      <c r="T147" s="62">
        <f t="shared" si="142"/>
        <v>439.28159165815276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-1.1368683772161603E-13</v>
      </c>
      <c r="AJ147" s="14">
        <f>AI147*VLOOKUP('Données projet'!$B$10,Paramètres!$A$1:$I$89,3,0)*VLOOKUP('Données projet'!$B$10,Paramètres!$A$1:$I$89,5,0)</f>
        <v>-9.9316821433603781E-14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327.826081588335</v>
      </c>
      <c r="AO147" s="62">
        <f t="shared" si="144"/>
        <v>348.84706693879735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0.67170042315752698</v>
      </c>
      <c r="AW147" s="23">
        <f>EXP(-LN(2)/2)*AW146+(1-EXP(-LN(2)/2))/(LN(2)/2)*AQ147*AT147*VLOOKUP('Données projet'!$B$10,Paramètres!$A$1:$I$89,3,0)*0.475*44/12</f>
        <v>1.0335326084937704E-16</v>
      </c>
      <c r="AX147" s="23">
        <f t="shared" si="114"/>
        <v>0.67170042315752709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1.1368683772161603E-13</v>
      </c>
      <c r="BE147" s="14">
        <f>BD147*VLOOKUP('Données projet'!$B$11,Paramètres!$A$1:$I$89,3,0)*VLOOKUP('Données projet'!$B$11,Paramètres!$A$1:$I$89,5,0)</f>
        <v>6.7984728957526396E-14</v>
      </c>
      <c r="BF147" s="14">
        <f t="shared" si="145"/>
        <v>1.0682447123141398E-12</v>
      </c>
      <c r="BG147" s="22">
        <f t="shared" si="115"/>
        <v>1.978932943548152E-12</v>
      </c>
      <c r="BH147" s="62">
        <f t="shared" si="116"/>
        <v>293.3333333333353</v>
      </c>
      <c r="BI147" s="62">
        <f ca="1">AVERAGE(OFFSET($BH$3,0,0,'Données projet'!$E$11+1,1))-AVERAGE(OFFSET($H$3,0,0,'Données projet'!$E$11+1,1))</f>
        <v>187.13674266165236</v>
      </c>
      <c r="BJ147" s="62">
        <f t="shared" si="146"/>
        <v>439.28159165815276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5.5769374605787503</v>
      </c>
      <c r="BQ147" s="23">
        <f>EXP(-LN(2)/25)*BQ146+(1-EXP(-LN(2)/25))/(LN(2)/25)*Calculateur!BL147*Calculateur!BN147*VLOOKUP('Données projet'!$B$11,Paramètres!$A$1:$I$89,3,0)*0.475*44/12</f>
        <v>1.8631610072331946</v>
      </c>
      <c r="BR147" s="23">
        <f>EXP(-LN(2)/2)*BR146+(1-EXP(-LN(2)/2))/(LN(2)/2)*BL147*BO147*VLOOKUP('Données projet'!$B$11,Paramètres!$A$1:$I$89,3,0)*0.475*44/12</f>
        <v>3.0230946077645017E-16</v>
      </c>
      <c r="BS147" s="24">
        <f t="shared" si="117"/>
        <v>7.4400984678119446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1.9895196601282805E-13</v>
      </c>
      <c r="BZ147" s="14">
        <f>BY147*VLOOKUP('Données projet'!$B$12,Paramètres!$A$1:$I$89,3,0)*VLOOKUP('Données projet'!$B$12,Paramètres!$A$1:$I$89,5,0)</f>
        <v>1.8001173884840681E-13</v>
      </c>
      <c r="CA147" s="14">
        <f t="shared" si="147"/>
        <v>2.5254331426407198E-12</v>
      </c>
      <c r="CB147" s="22">
        <f t="shared" si="118"/>
        <v>4.7119831685935622E-12</v>
      </c>
      <c r="CC147" s="62">
        <f t="shared" si="119"/>
        <v>293.33333333333803</v>
      </c>
      <c r="CD147" s="62">
        <f ca="1">AVERAGE(OFFSET($CC$3,0,0,'Données projet'!$E$12+1,1))-AVERAGE(OFFSET($H$3,0,0,'Données projet'!$E$12+1,1))</f>
        <v>302.6112905010138</v>
      </c>
      <c r="CE147" s="62">
        <f t="shared" si="148"/>
        <v>423.44006663873375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0.87201296796018657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0.87201296796018657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187.13674266165236</v>
      </c>
      <c r="T148" s="62">
        <f t="shared" si="142"/>
        <v>439.28159165815276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-1.1368683772161603E-13</v>
      </c>
      <c r="AJ148" s="14">
        <f>AI148*VLOOKUP('Données projet'!$B$10,Paramètres!$A$1:$I$89,3,0)*VLOOKUP('Données projet'!$B$10,Paramètres!$A$1:$I$89,5,0)</f>
        <v>-9.9316821433603781E-14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327.826081588335</v>
      </c>
      <c r="AO148" s="62">
        <f t="shared" si="144"/>
        <v>348.84706693879735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0.65333273976309436</v>
      </c>
      <c r="AW148" s="23">
        <f>EXP(-LN(2)/2)*AW147+(1-EXP(-LN(2)/2))/(LN(2)/2)*AQ148*AT148*VLOOKUP('Données projet'!$B$10,Paramètres!$A$1:$I$89,3,0)*0.475*44/12</f>
        <v>7.3081791604336616E-17</v>
      </c>
      <c r="AX148" s="23">
        <f t="shared" si="114"/>
        <v>0.65333273976309447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1.1368683772161603E-13</v>
      </c>
      <c r="BE148" s="14">
        <f>BD148*VLOOKUP('Données projet'!$B$11,Paramètres!$A$1:$I$89,3,0)*VLOOKUP('Données projet'!$B$11,Paramètres!$A$1:$I$89,5,0)</f>
        <v>6.7984728957526396E-14</v>
      </c>
      <c r="BF148" s="14">
        <f t="shared" si="145"/>
        <v>1.0682447123141398E-12</v>
      </c>
      <c r="BG148" s="22">
        <f t="shared" si="115"/>
        <v>1.978932943548152E-12</v>
      </c>
      <c r="BH148" s="62">
        <f t="shared" si="116"/>
        <v>293.3333333333353</v>
      </c>
      <c r="BI148" s="62">
        <f ca="1">AVERAGE(OFFSET($BH$3,0,0,'Données projet'!$E$11+1,1))-AVERAGE(OFFSET($H$3,0,0,'Données projet'!$E$11+1,1))</f>
        <v>187.13674266165236</v>
      </c>
      <c r="BJ148" s="62">
        <f t="shared" si="146"/>
        <v>439.28159165815276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5.4675771185727724</v>
      </c>
      <c r="BQ148" s="23">
        <f>EXP(-LN(2)/25)*BQ147+(1-EXP(-LN(2)/25))/(LN(2)/25)*Calculateur!BL148*Calculateur!BN148*VLOOKUP('Données projet'!$B$11,Paramètres!$A$1:$I$89,3,0)*0.475*44/12</f>
        <v>1.8122127715110239</v>
      </c>
      <c r="BR148" s="23">
        <f>EXP(-LN(2)/2)*BR147+(1-EXP(-LN(2)/2))/(LN(2)/2)*BL148*BO148*VLOOKUP('Données projet'!$B$11,Paramètres!$A$1:$I$89,3,0)*0.475*44/12</f>
        <v>2.1376506973187653E-16</v>
      </c>
      <c r="BS148" s="24">
        <f t="shared" si="117"/>
        <v>7.2797898900837961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1.9895196601282805E-13</v>
      </c>
      <c r="BZ148" s="14">
        <f>BY148*VLOOKUP('Données projet'!$B$12,Paramètres!$A$1:$I$89,3,0)*VLOOKUP('Données projet'!$B$12,Paramètres!$A$1:$I$89,5,0)</f>
        <v>1.8001173884840681E-13</v>
      </c>
      <c r="CA148" s="14">
        <f t="shared" si="147"/>
        <v>2.5254331426407198E-12</v>
      </c>
      <c r="CB148" s="22">
        <f t="shared" si="118"/>
        <v>4.7119831685935622E-12</v>
      </c>
      <c r="CC148" s="62">
        <f t="shared" si="119"/>
        <v>293.33333333333803</v>
      </c>
      <c r="CD148" s="62">
        <f ca="1">AVERAGE(OFFSET($CC$3,0,0,'Données projet'!$E$12+1,1))-AVERAGE(OFFSET($H$3,0,0,'Données projet'!$E$12+1,1))</f>
        <v>302.6112905010138</v>
      </c>
      <c r="CE148" s="62">
        <f t="shared" si="148"/>
        <v>423.44006663873375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0.85491332553387944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0.85491332553387944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187.13674266165236</v>
      </c>
      <c r="T149" s="62">
        <f t="shared" si="142"/>
        <v>439.28159165815276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-1.1368683772161603E-13</v>
      </c>
      <c r="AJ149" s="14">
        <f>AI149*VLOOKUP('Données projet'!$B$10,Paramètres!$A$1:$I$89,3,0)*VLOOKUP('Données projet'!$B$10,Paramètres!$A$1:$I$89,5,0)</f>
        <v>-9.9316821433603781E-14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327.826081588335</v>
      </c>
      <c r="AO149" s="62">
        <f t="shared" si="144"/>
        <v>348.84706693879735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0.63546732163699693</v>
      </c>
      <c r="AW149" s="23">
        <f>EXP(-LN(2)/2)*AW148+(1-EXP(-LN(2)/2))/(LN(2)/2)*AQ149*AT149*VLOOKUP('Données projet'!$B$10,Paramètres!$A$1:$I$89,3,0)*0.475*44/12</f>
        <v>5.1676630424688518E-17</v>
      </c>
      <c r="AX149" s="23">
        <f t="shared" si="114"/>
        <v>0.63546732163699693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1.1368683772161603E-13</v>
      </c>
      <c r="BE149" s="14">
        <f>BD149*VLOOKUP('Données projet'!$B$11,Paramètres!$A$1:$I$89,3,0)*VLOOKUP('Données projet'!$B$11,Paramètres!$A$1:$I$89,5,0)</f>
        <v>6.7984728957526396E-14</v>
      </c>
      <c r="BF149" s="14">
        <f t="shared" si="145"/>
        <v>1.0682447123141398E-12</v>
      </c>
      <c r="BG149" s="22">
        <f t="shared" si="115"/>
        <v>1.978932943548152E-12</v>
      </c>
      <c r="BH149" s="62">
        <f t="shared" si="116"/>
        <v>293.3333333333353</v>
      </c>
      <c r="BI149" s="62">
        <f ca="1">AVERAGE(OFFSET($BH$3,0,0,'Données projet'!$E$11+1,1))-AVERAGE(OFFSET($H$3,0,0,'Données projet'!$E$11+1,1))</f>
        <v>187.13674266165236</v>
      </c>
      <c r="BJ149" s="62">
        <f t="shared" si="146"/>
        <v>439.28159165815276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5.3603612661703091</v>
      </c>
      <c r="BQ149" s="23">
        <f>EXP(-LN(2)/25)*BQ148+(1-EXP(-LN(2)/25))/(LN(2)/25)*Calculateur!BL149*Calculateur!BN149*VLOOKUP('Données projet'!$B$11,Paramètres!$A$1:$I$89,3,0)*0.475*44/12</f>
        <v>1.7626577179739271</v>
      </c>
      <c r="BR149" s="23">
        <f>EXP(-LN(2)/2)*BR148+(1-EXP(-LN(2)/2))/(LN(2)/2)*BL149*BO149*VLOOKUP('Données projet'!$B$11,Paramètres!$A$1:$I$89,3,0)*0.475*44/12</f>
        <v>1.5115473038822509E-16</v>
      </c>
      <c r="BS149" s="24">
        <f t="shared" si="117"/>
        <v>7.1230189841442364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1.9895196601282805E-13</v>
      </c>
      <c r="BZ149" s="14">
        <f>BY149*VLOOKUP('Données projet'!$B$12,Paramètres!$A$1:$I$89,3,0)*VLOOKUP('Données projet'!$B$12,Paramètres!$A$1:$I$89,5,0)</f>
        <v>1.8001173884840681E-13</v>
      </c>
      <c r="CA149" s="14">
        <f t="shared" si="147"/>
        <v>2.5254331426407198E-12</v>
      </c>
      <c r="CB149" s="22">
        <f t="shared" si="118"/>
        <v>4.7119831685935622E-12</v>
      </c>
      <c r="CC149" s="62">
        <f t="shared" si="119"/>
        <v>293.33333333333803</v>
      </c>
      <c r="CD149" s="62">
        <f ca="1">AVERAGE(OFFSET($CC$3,0,0,'Données projet'!$E$12+1,1))-AVERAGE(OFFSET($H$3,0,0,'Données projet'!$E$12+1,1))</f>
        <v>302.6112905010138</v>
      </c>
      <c r="CE149" s="62">
        <f t="shared" si="148"/>
        <v>423.44006663873375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0.83814899666580012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0.83814899666580012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187.13674266165236</v>
      </c>
      <c r="T150" s="62">
        <f t="shared" si="142"/>
        <v>439.28159165815276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-1.1368683772161603E-13</v>
      </c>
      <c r="AJ150" s="14">
        <f>AI150*VLOOKUP('Données projet'!$B$10,Paramètres!$A$1:$I$89,3,0)*VLOOKUP('Données projet'!$B$10,Paramètres!$A$1:$I$89,5,0)</f>
        <v>-9.9316821433603781E-14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327.826081588335</v>
      </c>
      <c r="AO150" s="62">
        <f t="shared" si="144"/>
        <v>348.84706693879735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0.61809043430905919</v>
      </c>
      <c r="AW150" s="23">
        <f>EXP(-LN(2)/2)*AW149+(1-EXP(-LN(2)/2))/(LN(2)/2)*AQ150*AT150*VLOOKUP('Données projet'!$B$10,Paramètres!$A$1:$I$89,3,0)*0.475*44/12</f>
        <v>3.6540895802168308E-17</v>
      </c>
      <c r="AX150" s="23">
        <f t="shared" si="114"/>
        <v>0.61809043430905919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1.1368683772161603E-13</v>
      </c>
      <c r="BE150" s="14">
        <f>BD150*VLOOKUP('Données projet'!$B$11,Paramètres!$A$1:$I$89,3,0)*VLOOKUP('Données projet'!$B$11,Paramètres!$A$1:$I$89,5,0)</f>
        <v>6.7984728957526396E-14</v>
      </c>
      <c r="BF150" s="14">
        <f t="shared" si="145"/>
        <v>1.0682447123141398E-12</v>
      </c>
      <c r="BG150" s="22">
        <f t="shared" si="115"/>
        <v>1.978932943548152E-12</v>
      </c>
      <c r="BH150" s="62">
        <f t="shared" si="116"/>
        <v>293.3333333333353</v>
      </c>
      <c r="BI150" s="62">
        <f ca="1">AVERAGE(OFFSET($BH$3,0,0,'Données projet'!$E$11+1,1))-AVERAGE(OFFSET($H$3,0,0,'Données projet'!$E$11+1,1))</f>
        <v>187.13674266165236</v>
      </c>
      <c r="BJ150" s="62">
        <f t="shared" si="146"/>
        <v>439.28159165815276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5.2552478512382459</v>
      </c>
      <c r="BQ150" s="23">
        <f>EXP(-LN(2)/25)*BQ149+(1-EXP(-LN(2)/25))/(LN(2)/25)*Calculateur!BL150*Calculateur!BN150*VLOOKUP('Données projet'!$B$11,Paramètres!$A$1:$I$89,3,0)*0.475*44/12</f>
        <v>1.7144577499817892</v>
      </c>
      <c r="BR150" s="23">
        <f>EXP(-LN(2)/2)*BR149+(1-EXP(-LN(2)/2))/(LN(2)/2)*BL150*BO150*VLOOKUP('Données projet'!$B$11,Paramètres!$A$1:$I$89,3,0)*0.475*44/12</f>
        <v>1.0688253486593826E-16</v>
      </c>
      <c r="BS150" s="24">
        <f t="shared" si="117"/>
        <v>6.9697056012200349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1.9895196601282805E-13</v>
      </c>
      <c r="BZ150" s="14">
        <f>BY150*VLOOKUP('Données projet'!$B$12,Paramètres!$A$1:$I$89,3,0)*VLOOKUP('Données projet'!$B$12,Paramètres!$A$1:$I$89,5,0)</f>
        <v>1.8001173884840681E-13</v>
      </c>
      <c r="CA150" s="14">
        <f t="shared" si="147"/>
        <v>2.5254331426407198E-12</v>
      </c>
      <c r="CB150" s="22">
        <f t="shared" si="118"/>
        <v>4.7119831685935622E-12</v>
      </c>
      <c r="CC150" s="62">
        <f t="shared" si="119"/>
        <v>293.33333333333803</v>
      </c>
      <c r="CD150" s="62">
        <f ca="1">AVERAGE(OFFSET($CC$3,0,0,'Données projet'!$E$12+1,1))-AVERAGE(OFFSET($H$3,0,0,'Données projet'!$E$12+1,1))</f>
        <v>302.6112905010138</v>
      </c>
      <c r="CE150" s="62">
        <f t="shared" si="148"/>
        <v>423.44006663873375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0.82171340606159293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0.82171340606159293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187.13674266165236</v>
      </c>
      <c r="T151" s="62">
        <f t="shared" si="142"/>
        <v>439.28159165815276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-1.1368683772161603E-13</v>
      </c>
      <c r="AJ151" s="14">
        <f>AI151*VLOOKUP('Données projet'!$B$10,Paramètres!$A$1:$I$89,3,0)*VLOOKUP('Données projet'!$B$10,Paramètres!$A$1:$I$89,5,0)</f>
        <v>-9.9316821433603781E-14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327.826081588335</v>
      </c>
      <c r="AO151" s="62">
        <f t="shared" si="144"/>
        <v>348.84706693879735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0.60118871887891467</v>
      </c>
      <c r="AW151" s="23">
        <f>EXP(-LN(2)/2)*AW150+(1-EXP(-LN(2)/2))/(LN(2)/2)*AQ151*AT151*VLOOKUP('Données projet'!$B$10,Paramètres!$A$1:$I$89,3,0)*0.475*44/12</f>
        <v>2.5838315212344259E-17</v>
      </c>
      <c r="AX151" s="23">
        <f t="shared" si="114"/>
        <v>0.60118871887891467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1.1368683772161603E-13</v>
      </c>
      <c r="BE151" s="14">
        <f>BD151*VLOOKUP('Données projet'!$B$11,Paramètres!$A$1:$I$89,3,0)*VLOOKUP('Données projet'!$B$11,Paramètres!$A$1:$I$89,5,0)</f>
        <v>6.7984728957526396E-14</v>
      </c>
      <c r="BF151" s="14">
        <f t="shared" si="145"/>
        <v>1.0682447123141398E-12</v>
      </c>
      <c r="BG151" s="22">
        <f t="shared" si="115"/>
        <v>1.978932943548152E-12</v>
      </c>
      <c r="BH151" s="62">
        <f t="shared" si="116"/>
        <v>293.3333333333353</v>
      </c>
      <c r="BI151" s="62">
        <f ca="1">AVERAGE(OFFSET($BH$3,0,0,'Données projet'!$E$11+1,1))-AVERAGE(OFFSET($H$3,0,0,'Données projet'!$E$11+1,1))</f>
        <v>187.13674266165236</v>
      </c>
      <c r="BJ151" s="62">
        <f t="shared" si="146"/>
        <v>439.28159165815276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5.1521956462601475</v>
      </c>
      <c r="BQ151" s="23">
        <f>EXP(-LN(2)/25)*BQ150+(1-EXP(-LN(2)/25))/(LN(2)/25)*Calculateur!BL151*Calculateur!BN151*VLOOKUP('Données projet'!$B$11,Paramètres!$A$1:$I$89,3,0)*0.475*44/12</f>
        <v>1.6675758126491227</v>
      </c>
      <c r="BR151" s="23">
        <f>EXP(-LN(2)/2)*BR150+(1-EXP(-LN(2)/2))/(LN(2)/2)*BL151*BO151*VLOOKUP('Données projet'!$B$11,Paramètres!$A$1:$I$89,3,0)*0.475*44/12</f>
        <v>7.5577365194112544E-17</v>
      </c>
      <c r="BS151" s="24">
        <f t="shared" si="117"/>
        <v>6.8197714589092699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1.9895196601282805E-13</v>
      </c>
      <c r="BZ151" s="14">
        <f>BY151*VLOOKUP('Données projet'!$B$12,Paramètres!$A$1:$I$89,3,0)*VLOOKUP('Données projet'!$B$12,Paramètres!$A$1:$I$89,5,0)</f>
        <v>1.8001173884840681E-13</v>
      </c>
      <c r="CA151" s="14">
        <f t="shared" si="147"/>
        <v>2.5254331426407198E-12</v>
      </c>
      <c r="CB151" s="22">
        <f t="shared" si="118"/>
        <v>4.7119831685935622E-12</v>
      </c>
      <c r="CC151" s="62">
        <f t="shared" si="119"/>
        <v>293.33333333333803</v>
      </c>
      <c r="CD151" s="62">
        <f ca="1">AVERAGE(OFFSET($CC$3,0,0,'Données projet'!$E$12+1,1))-AVERAGE(OFFSET($H$3,0,0,'Données projet'!$E$12+1,1))</f>
        <v>302.6112905010138</v>
      </c>
      <c r="CE151" s="62">
        <f t="shared" si="148"/>
        <v>423.44006663873375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0.80560010736441379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0.80560010736441379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187.13674266165236</v>
      </c>
      <c r="T152" s="62">
        <f t="shared" si="142"/>
        <v>439.28159165815276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-1.1368683772161603E-13</v>
      </c>
      <c r="AJ152" s="14">
        <f>AI152*VLOOKUP('Données projet'!$B$10,Paramètres!$A$1:$I$89,3,0)*VLOOKUP('Données projet'!$B$10,Paramètres!$A$1:$I$89,5,0)</f>
        <v>-9.9316821433603781E-14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327.826081588335</v>
      </c>
      <c r="AO152" s="62">
        <f t="shared" si="144"/>
        <v>348.84706693879735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0.58474918174603008</v>
      </c>
      <c r="AW152" s="23">
        <f>EXP(-LN(2)/2)*AW151+(1-EXP(-LN(2)/2))/(LN(2)/2)*AQ152*AT152*VLOOKUP('Données projet'!$B$10,Paramètres!$A$1:$I$89,3,0)*0.475*44/12</f>
        <v>1.8270447901084154E-17</v>
      </c>
      <c r="AX152" s="23">
        <f t="shared" si="114"/>
        <v>0.58474918174603008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1.1368683772161603E-13</v>
      </c>
      <c r="BE152" s="14">
        <f>BD152*VLOOKUP('Données projet'!$B$11,Paramètres!$A$1:$I$89,3,0)*VLOOKUP('Données projet'!$B$11,Paramètres!$A$1:$I$89,5,0)</f>
        <v>6.7984728957526396E-14</v>
      </c>
      <c r="BF152" s="14">
        <f t="shared" si="145"/>
        <v>1.0682447123141398E-12</v>
      </c>
      <c r="BG152" s="22">
        <f t="shared" si="115"/>
        <v>1.978932943548152E-12</v>
      </c>
      <c r="BH152" s="62">
        <f t="shared" si="116"/>
        <v>293.3333333333353</v>
      </c>
      <c r="BI152" s="62">
        <f ca="1">AVERAGE(OFFSET($BH$3,0,0,'Données projet'!$E$11+1,1))-AVERAGE(OFFSET($H$3,0,0,'Données projet'!$E$11+1,1))</f>
        <v>187.13674266165236</v>
      </c>
      <c r="BJ152" s="62">
        <f t="shared" si="146"/>
        <v>439.28159165815276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5.0511642321660313</v>
      </c>
      <c r="BQ152" s="23">
        <f>EXP(-LN(2)/25)*BQ151+(1-EXP(-LN(2)/25))/(LN(2)/25)*Calculateur!BL152*Calculateur!BN152*VLOOKUP('Données projet'!$B$11,Paramètres!$A$1:$I$89,3,0)*0.475*44/12</f>
        <v>1.6219758643582318</v>
      </c>
      <c r="BR152" s="23">
        <f>EXP(-LN(2)/2)*BR151+(1-EXP(-LN(2)/2))/(LN(2)/2)*BL152*BO152*VLOOKUP('Données projet'!$B$11,Paramètres!$A$1:$I$89,3,0)*0.475*44/12</f>
        <v>5.3441267432969132E-17</v>
      </c>
      <c r="BS152" s="24">
        <f t="shared" si="117"/>
        <v>6.6731400965242633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1.9895196601282805E-13</v>
      </c>
      <c r="BZ152" s="14">
        <f>BY152*VLOOKUP('Données projet'!$B$12,Paramètres!$A$1:$I$89,3,0)*VLOOKUP('Données projet'!$B$12,Paramètres!$A$1:$I$89,5,0)</f>
        <v>1.8001173884840681E-13</v>
      </c>
      <c r="CA152" s="14">
        <f t="shared" si="147"/>
        <v>2.5254331426407198E-12</v>
      </c>
      <c r="CB152" s="22">
        <f t="shared" si="118"/>
        <v>4.7119831685935622E-12</v>
      </c>
      <c r="CC152" s="62">
        <f t="shared" si="119"/>
        <v>293.33333333333803</v>
      </c>
      <c r="CD152" s="62">
        <f ca="1">AVERAGE(OFFSET($CC$3,0,0,'Données projet'!$E$12+1,1))-AVERAGE(OFFSET($H$3,0,0,'Données projet'!$E$12+1,1))</f>
        <v>302.6112905010138</v>
      </c>
      <c r="CE152" s="62">
        <f t="shared" si="148"/>
        <v>423.44006663873375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0.78980278062654463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0.78980278062654463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187.13674266165236</v>
      </c>
      <c r="T153" s="62">
        <f t="shared" si="142"/>
        <v>439.28159165815276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-1.1368683772161603E-13</v>
      </c>
      <c r="AJ153" s="14">
        <f>AI153*VLOOKUP('Données projet'!$B$10,Paramètres!$A$1:$I$89,3,0)*VLOOKUP('Données projet'!$B$10,Paramètres!$A$1:$I$89,5,0)</f>
        <v>-9.9316821433603781E-14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327.826081588335</v>
      </c>
      <c r="AO153" s="62">
        <f t="shared" si="144"/>
        <v>348.84706693879735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0.56875918462056185</v>
      </c>
      <c r="AW153" s="23">
        <f>EXP(-LN(2)/2)*AW152+(1-EXP(-LN(2)/2))/(LN(2)/2)*AQ153*AT153*VLOOKUP('Données projet'!$B$10,Paramètres!$A$1:$I$89,3,0)*0.475*44/12</f>
        <v>1.291915760617213E-17</v>
      </c>
      <c r="AX153" s="23">
        <f t="shared" si="114"/>
        <v>0.56875918462056185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1.1368683772161603E-13</v>
      </c>
      <c r="BE153" s="14">
        <f>BD153*VLOOKUP('Données projet'!$B$11,Paramètres!$A$1:$I$89,3,0)*VLOOKUP('Données projet'!$B$11,Paramètres!$A$1:$I$89,5,0)</f>
        <v>6.7984728957526396E-14</v>
      </c>
      <c r="BF153" s="14">
        <f t="shared" si="145"/>
        <v>1.0682447123141398E-12</v>
      </c>
      <c r="BG153" s="22">
        <f t="shared" si="115"/>
        <v>1.978932943548152E-12</v>
      </c>
      <c r="BH153" s="62">
        <f t="shared" si="116"/>
        <v>293.3333333333353</v>
      </c>
      <c r="BI153" s="62">
        <f ca="1">AVERAGE(OFFSET($BH$3,0,0,'Données projet'!$E$11+1,1))-AVERAGE(OFFSET($H$3,0,0,'Données projet'!$E$11+1,1))</f>
        <v>187.13674266165236</v>
      </c>
      <c r="BJ153" s="62">
        <f t="shared" si="146"/>
        <v>439.28159165815276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4.9521139824792231</v>
      </c>
      <c r="BQ153" s="23">
        <f>EXP(-LN(2)/25)*BQ152+(1-EXP(-LN(2)/25))/(LN(2)/25)*Calculateur!BL153*Calculateur!BN153*VLOOKUP('Données projet'!$B$11,Paramètres!$A$1:$I$89,3,0)*0.475*44/12</f>
        <v>1.5776228490513524</v>
      </c>
      <c r="BR153" s="23">
        <f>EXP(-LN(2)/2)*BR152+(1-EXP(-LN(2)/2))/(LN(2)/2)*BL153*BO153*VLOOKUP('Données projet'!$B$11,Paramètres!$A$1:$I$89,3,0)*0.475*44/12</f>
        <v>3.7788682597056272E-17</v>
      </c>
      <c r="BS153" s="24">
        <f t="shared" si="117"/>
        <v>6.5297368315305757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1.9895196601282805E-13</v>
      </c>
      <c r="BZ153" s="14">
        <f>BY153*VLOOKUP('Données projet'!$B$12,Paramètres!$A$1:$I$89,3,0)*VLOOKUP('Données projet'!$B$12,Paramètres!$A$1:$I$89,5,0)</f>
        <v>1.8001173884840681E-13</v>
      </c>
      <c r="CA153" s="14">
        <f t="shared" si="147"/>
        <v>2.5254331426407198E-12</v>
      </c>
      <c r="CB153" s="22">
        <f t="shared" si="118"/>
        <v>4.7119831685935622E-12</v>
      </c>
      <c r="CC153" s="62">
        <f t="shared" si="119"/>
        <v>293.33333333333803</v>
      </c>
      <c r="CD153" s="62">
        <f ca="1">AVERAGE(OFFSET($CC$3,0,0,'Données projet'!$E$12+1,1))-AVERAGE(OFFSET($H$3,0,0,'Données projet'!$E$12+1,1))</f>
        <v>302.6112905010138</v>
      </c>
      <c r="CE153" s="62">
        <f t="shared" si="148"/>
        <v>423.44006663873375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0.7743152298305872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0.7743152298305872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187.13674266165236</v>
      </c>
      <c r="T154" s="62">
        <f t="shared" si="142"/>
        <v>439.28159165815276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-1.1368683772161603E-13</v>
      </c>
      <c r="AJ154" s="14">
        <f>AI154*VLOOKUP('Données projet'!$B$10,Paramètres!$A$1:$I$89,3,0)*VLOOKUP('Données projet'!$B$10,Paramètres!$A$1:$I$89,5,0)</f>
        <v>-9.9316821433603781E-14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327.826081588335</v>
      </c>
      <c r="AO154" s="62">
        <f t="shared" si="144"/>
        <v>348.84706693879735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0.55320643480736698</v>
      </c>
      <c r="AW154" s="23">
        <f>EXP(-LN(2)/2)*AW153+(1-EXP(-LN(2)/2))/(LN(2)/2)*AQ154*AT154*VLOOKUP('Données projet'!$B$10,Paramètres!$A$1:$I$89,3,0)*0.475*44/12</f>
        <v>9.135223950542077E-18</v>
      </c>
      <c r="AX154" s="23">
        <f t="shared" ref="AX154:AX203" si="166">SUM(AU154:AW154)</f>
        <v>0.55320643480736698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1.1368683772161603E-13</v>
      </c>
      <c r="BE154" s="14">
        <f>BD154*VLOOKUP('Données projet'!$B$11,Paramètres!$A$1:$I$89,3,0)*VLOOKUP('Données projet'!$B$11,Paramètres!$A$1:$I$89,5,0)</f>
        <v>6.7984728957526396E-14</v>
      </c>
      <c r="BF154" s="14">
        <f t="shared" ref="BF154:BF203" si="167">EXP(-1.0587+0.8836*LN(BE154)+0.284)</f>
        <v>1.0682447123141398E-12</v>
      </c>
      <c r="BG154" s="22">
        <f t="shared" ref="BG154:BG203" si="168">(BE154+BF154)*0.475*44/12</f>
        <v>1.978932943548152E-12</v>
      </c>
      <c r="BH154" s="62">
        <f t="shared" si="116"/>
        <v>293.3333333333353</v>
      </c>
      <c r="BI154" s="62">
        <f ca="1">AVERAGE(OFFSET($BH$3,0,0,'Données projet'!$E$11+1,1))-AVERAGE(OFFSET($H$3,0,0,'Données projet'!$E$11+1,1))</f>
        <v>187.13674266165236</v>
      </c>
      <c r="BJ154" s="62">
        <f t="shared" si="146"/>
        <v>439.28159165815276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4.8550060477740864</v>
      </c>
      <c r="BQ154" s="23">
        <f>EXP(-LN(2)/25)*BQ153+(1-EXP(-LN(2)/25))/(LN(2)/25)*Calculateur!BL154*Calculateur!BN154*VLOOKUP('Données projet'!$B$11,Paramètres!$A$1:$I$89,3,0)*0.475*44/12</f>
        <v>1.5344826692804632</v>
      </c>
      <c r="BR154" s="23">
        <f>EXP(-LN(2)/2)*BR153+(1-EXP(-LN(2)/2))/(LN(2)/2)*BL154*BO154*VLOOKUP('Données projet'!$B$11,Paramètres!$A$1:$I$89,3,0)*0.475*44/12</f>
        <v>2.6720633716484566E-17</v>
      </c>
      <c r="BS154" s="24">
        <f t="shared" ref="BS154:BS203" si="169">SUM(BP154:BR154)</f>
        <v>6.3894887170545491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1.9895196601282805E-13</v>
      </c>
      <c r="BZ154" s="14">
        <f>BY154*VLOOKUP('Données projet'!$B$12,Paramètres!$A$1:$I$89,3,0)*VLOOKUP('Données projet'!$B$12,Paramètres!$A$1:$I$89,5,0)</f>
        <v>1.8001173884840681E-13</v>
      </c>
      <c r="CA154" s="14">
        <f t="shared" ref="CA154:CA203" si="170">EXP(-1.0587+0.8836*LN(BZ154)+0.284)</f>
        <v>2.5254331426407198E-12</v>
      </c>
      <c r="CB154" s="22">
        <f t="shared" ref="CB154:CB203" si="171">(BZ154+CA154)*0.475*44/12</f>
        <v>4.7119831685935622E-12</v>
      </c>
      <c r="CC154" s="62">
        <f t="shared" si="119"/>
        <v>293.33333333333803</v>
      </c>
      <c r="CD154" s="62">
        <f ca="1">AVERAGE(OFFSET($CC$3,0,0,'Données projet'!$E$12+1,1))-AVERAGE(OFFSET($H$3,0,0,'Données projet'!$E$12+1,1))</f>
        <v>302.6112905010138</v>
      </c>
      <c r="CE154" s="62">
        <f t="shared" si="148"/>
        <v>423.44006663873375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0.7591313804592652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0.7591313804592652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187.13674266165236</v>
      </c>
      <c r="T155" s="62">
        <f t="shared" si="142"/>
        <v>439.28159165815276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-1.1368683772161603E-13</v>
      </c>
      <c r="AJ155" s="14">
        <f>AI155*VLOOKUP('Données projet'!$B$10,Paramètres!$A$1:$I$89,3,0)*VLOOKUP('Données projet'!$B$10,Paramètres!$A$1:$I$89,5,0)</f>
        <v>-9.9316821433603781E-14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327.826081588335</v>
      </c>
      <c r="AO155" s="62">
        <f t="shared" si="144"/>
        <v>348.84706693879735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0.53807897575569752</v>
      </c>
      <c r="AW155" s="23">
        <f>EXP(-LN(2)/2)*AW154+(1-EXP(-LN(2)/2))/(LN(2)/2)*AQ155*AT155*VLOOKUP('Données projet'!$B$10,Paramètres!$A$1:$I$89,3,0)*0.475*44/12</f>
        <v>6.4595788030860648E-18</v>
      </c>
      <c r="AX155" s="23">
        <f t="shared" si="166"/>
        <v>0.53807897575569752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1.1368683772161603E-13</v>
      </c>
      <c r="BE155" s="14">
        <f>BD155*VLOOKUP('Données projet'!$B$11,Paramètres!$A$1:$I$89,3,0)*VLOOKUP('Données projet'!$B$11,Paramètres!$A$1:$I$89,5,0)</f>
        <v>6.7984728957526396E-14</v>
      </c>
      <c r="BF155" s="14">
        <f t="shared" si="167"/>
        <v>1.0682447123141398E-12</v>
      </c>
      <c r="BG155" s="22">
        <f t="shared" si="168"/>
        <v>1.978932943548152E-12</v>
      </c>
      <c r="BH155" s="62">
        <f t="shared" si="116"/>
        <v>293.3333333333353</v>
      </c>
      <c r="BI155" s="62">
        <f ca="1">AVERAGE(OFFSET($BH$3,0,0,'Données projet'!$E$11+1,1))-AVERAGE(OFFSET($H$3,0,0,'Données projet'!$E$11+1,1))</f>
        <v>187.13674266165236</v>
      </c>
      <c r="BJ155" s="62">
        <f t="shared" si="146"/>
        <v>439.28159165815276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4.759802340438525</v>
      </c>
      <c r="BQ155" s="23">
        <f>EXP(-LN(2)/25)*BQ154+(1-EXP(-LN(2)/25))/(LN(2)/25)*Calculateur!BL155*Calculateur!BN155*VLOOKUP('Données projet'!$B$11,Paramètres!$A$1:$I$89,3,0)*0.475*44/12</f>
        <v>1.4925221599940524</v>
      </c>
      <c r="BR155" s="23">
        <f>EXP(-LN(2)/2)*BR154+(1-EXP(-LN(2)/2))/(LN(2)/2)*BL155*BO155*VLOOKUP('Données projet'!$B$11,Paramètres!$A$1:$I$89,3,0)*0.475*44/12</f>
        <v>1.8894341298528136E-17</v>
      </c>
      <c r="BS155" s="24">
        <f t="shared" si="169"/>
        <v>6.2523245004325769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1.9895196601282805E-13</v>
      </c>
      <c r="BZ155" s="14">
        <f>BY155*VLOOKUP('Données projet'!$B$12,Paramètres!$A$1:$I$89,3,0)*VLOOKUP('Données projet'!$B$12,Paramètres!$A$1:$I$89,5,0)</f>
        <v>1.8001173884840681E-13</v>
      </c>
      <c r="CA155" s="14">
        <f t="shared" si="170"/>
        <v>2.5254331426407198E-12</v>
      </c>
      <c r="CB155" s="22">
        <f t="shared" si="171"/>
        <v>4.7119831685935622E-12</v>
      </c>
      <c r="CC155" s="62">
        <f t="shared" si="119"/>
        <v>293.33333333333803</v>
      </c>
      <c r="CD155" s="62">
        <f ca="1">AVERAGE(OFFSET($CC$3,0,0,'Données projet'!$E$12+1,1))-AVERAGE(OFFSET($H$3,0,0,'Données projet'!$E$12+1,1))</f>
        <v>302.6112905010138</v>
      </c>
      <c r="CE155" s="62">
        <f t="shared" si="148"/>
        <v>423.44006663873375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0.74424527711288124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0.74424527711288124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187.13674266165236</v>
      </c>
      <c r="T156" s="62">
        <f t="shared" si="142"/>
        <v>439.28159165815276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-1.1368683772161603E-13</v>
      </c>
      <c r="AJ156" s="14">
        <f>AI156*VLOOKUP('Données projet'!$B$10,Paramètres!$A$1:$I$89,3,0)*VLOOKUP('Données projet'!$B$10,Paramètres!$A$1:$I$89,5,0)</f>
        <v>-9.9316821433603781E-14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327.826081588335</v>
      </c>
      <c r="AO156" s="62">
        <f t="shared" si="144"/>
        <v>348.84706693879735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0.5233651778673144</v>
      </c>
      <c r="AW156" s="23">
        <f>EXP(-LN(2)/2)*AW155+(1-EXP(-LN(2)/2))/(LN(2)/2)*AQ156*AT156*VLOOKUP('Données projet'!$B$10,Paramètres!$A$1:$I$89,3,0)*0.475*44/12</f>
        <v>4.5676119752710385E-18</v>
      </c>
      <c r="AX156" s="23">
        <f t="shared" si="166"/>
        <v>0.5233651778673144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1.1368683772161603E-13</v>
      </c>
      <c r="BE156" s="14">
        <f>BD156*VLOOKUP('Données projet'!$B$11,Paramètres!$A$1:$I$89,3,0)*VLOOKUP('Données projet'!$B$11,Paramètres!$A$1:$I$89,5,0)</f>
        <v>6.7984728957526396E-14</v>
      </c>
      <c r="BF156" s="14">
        <f t="shared" si="167"/>
        <v>1.0682447123141398E-12</v>
      </c>
      <c r="BG156" s="22">
        <f t="shared" si="168"/>
        <v>1.978932943548152E-12</v>
      </c>
      <c r="BH156" s="62">
        <f t="shared" si="116"/>
        <v>293.3333333333353</v>
      </c>
      <c r="BI156" s="62">
        <f ca="1">AVERAGE(OFFSET($BH$3,0,0,'Données projet'!$E$11+1,1))-AVERAGE(OFFSET($H$3,0,0,'Données projet'!$E$11+1,1))</f>
        <v>187.13674266165236</v>
      </c>
      <c r="BJ156" s="62">
        <f t="shared" si="146"/>
        <v>439.28159165815276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4.6664655197352864</v>
      </c>
      <c r="BQ156" s="23">
        <f>EXP(-LN(2)/25)*BQ155+(1-EXP(-LN(2)/25))/(LN(2)/25)*Calculateur!BL156*Calculateur!BN156*VLOOKUP('Données projet'!$B$11,Paramètres!$A$1:$I$89,3,0)*0.475*44/12</f>
        <v>1.4517090630406857</v>
      </c>
      <c r="BR156" s="23">
        <f>EXP(-LN(2)/2)*BR155+(1-EXP(-LN(2)/2))/(LN(2)/2)*BL156*BO156*VLOOKUP('Données projet'!$B$11,Paramètres!$A$1:$I$89,3,0)*0.475*44/12</f>
        <v>1.3360316858242283E-17</v>
      </c>
      <c r="BS156" s="24">
        <f t="shared" si="169"/>
        <v>6.1181745827759721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1.9895196601282805E-13</v>
      </c>
      <c r="BZ156" s="14">
        <f>BY156*VLOOKUP('Données projet'!$B$12,Paramètres!$A$1:$I$89,3,0)*VLOOKUP('Données projet'!$B$12,Paramètres!$A$1:$I$89,5,0)</f>
        <v>1.8001173884840681E-13</v>
      </c>
      <c r="CA156" s="14">
        <f t="shared" si="170"/>
        <v>2.5254331426407198E-12</v>
      </c>
      <c r="CB156" s="22">
        <f t="shared" si="171"/>
        <v>4.7119831685935622E-12</v>
      </c>
      <c r="CC156" s="62">
        <f t="shared" si="119"/>
        <v>293.33333333333803</v>
      </c>
      <c r="CD156" s="62">
        <f ca="1">AVERAGE(OFFSET($CC$3,0,0,'Données projet'!$E$12+1,1))-AVERAGE(OFFSET($H$3,0,0,'Données projet'!$E$12+1,1))</f>
        <v>302.6112905010138</v>
      </c>
      <c r="CE156" s="62">
        <f t="shared" si="148"/>
        <v>423.44006663873375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0.72965108117349331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0.72965108117349331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187.13674266165236</v>
      </c>
      <c r="T157" s="62">
        <f t="shared" si="142"/>
        <v>439.28159165815276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-1.1368683772161603E-13</v>
      </c>
      <c r="AJ157" s="14">
        <f>AI157*VLOOKUP('Données projet'!$B$10,Paramètres!$A$1:$I$89,3,0)*VLOOKUP('Données projet'!$B$10,Paramètres!$A$1:$I$89,5,0)</f>
        <v>-9.9316821433603781E-14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327.826081588335</v>
      </c>
      <c r="AO157" s="62">
        <f t="shared" si="144"/>
        <v>348.84706693879735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0.50905372955595418</v>
      </c>
      <c r="AW157" s="23">
        <f>EXP(-LN(2)/2)*AW156+(1-EXP(-LN(2)/2))/(LN(2)/2)*AQ157*AT157*VLOOKUP('Données projet'!$B$10,Paramètres!$A$1:$I$89,3,0)*0.475*44/12</f>
        <v>3.2297894015430324E-18</v>
      </c>
      <c r="AX157" s="23">
        <f t="shared" si="166"/>
        <v>0.50905372955595418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1.1368683772161603E-13</v>
      </c>
      <c r="BE157" s="14">
        <f>BD157*VLOOKUP('Données projet'!$B$11,Paramètres!$A$1:$I$89,3,0)*VLOOKUP('Données projet'!$B$11,Paramètres!$A$1:$I$89,5,0)</f>
        <v>6.7984728957526396E-14</v>
      </c>
      <c r="BF157" s="14">
        <f t="shared" si="167"/>
        <v>1.0682447123141398E-12</v>
      </c>
      <c r="BG157" s="22">
        <f t="shared" si="168"/>
        <v>1.978932943548152E-12</v>
      </c>
      <c r="BH157" s="62">
        <f t="shared" si="116"/>
        <v>293.3333333333353</v>
      </c>
      <c r="BI157" s="62">
        <f ca="1">AVERAGE(OFFSET($BH$3,0,0,'Données projet'!$E$11+1,1))-AVERAGE(OFFSET($H$3,0,0,'Données projet'!$E$11+1,1))</f>
        <v>187.13674266165236</v>
      </c>
      <c r="BJ157" s="62">
        <f t="shared" si="146"/>
        <v>439.28159165815276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4.5749589771561991</v>
      </c>
      <c r="BQ157" s="23">
        <f>EXP(-LN(2)/25)*BQ156+(1-EXP(-LN(2)/25))/(LN(2)/25)*Calculateur!BL157*Calculateur!BN157*VLOOKUP('Données projet'!$B$11,Paramètres!$A$1:$I$89,3,0)*0.475*44/12</f>
        <v>1.4120120023697764</v>
      </c>
      <c r="BR157" s="23">
        <f>EXP(-LN(2)/2)*BR156+(1-EXP(-LN(2)/2))/(LN(2)/2)*BL157*BO157*VLOOKUP('Données projet'!$B$11,Paramètres!$A$1:$I$89,3,0)*0.475*44/12</f>
        <v>9.447170649264068E-18</v>
      </c>
      <c r="BS157" s="24">
        <f t="shared" si="169"/>
        <v>5.9869709795259753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1.9895196601282805E-13</v>
      </c>
      <c r="BZ157" s="14">
        <f>BY157*VLOOKUP('Données projet'!$B$12,Paramètres!$A$1:$I$89,3,0)*VLOOKUP('Données projet'!$B$12,Paramètres!$A$1:$I$89,5,0)</f>
        <v>1.8001173884840681E-13</v>
      </c>
      <c r="CA157" s="14">
        <f t="shared" si="170"/>
        <v>2.5254331426407198E-12</v>
      </c>
      <c r="CB157" s="22">
        <f t="shared" si="171"/>
        <v>4.7119831685935622E-12</v>
      </c>
      <c r="CC157" s="62">
        <f t="shared" si="119"/>
        <v>293.33333333333803</v>
      </c>
      <c r="CD157" s="62">
        <f ca="1">AVERAGE(OFFSET($CC$3,0,0,'Données projet'!$E$12+1,1))-AVERAGE(OFFSET($H$3,0,0,'Données projet'!$E$12+1,1))</f>
        <v>302.6112905010138</v>
      </c>
      <c r="CE157" s="62">
        <f t="shared" si="148"/>
        <v>423.44006663873375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0.71534306851489626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0.71534306851489626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187.13674266165236</v>
      </c>
      <c r="T158" s="62">
        <f t="shared" si="142"/>
        <v>439.28159165815276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-1.1368683772161603E-13</v>
      </c>
      <c r="AJ158" s="14">
        <f>AI158*VLOOKUP('Données projet'!$B$10,Paramètres!$A$1:$I$89,3,0)*VLOOKUP('Données projet'!$B$10,Paramètres!$A$1:$I$89,5,0)</f>
        <v>-9.9316821433603781E-14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327.826081588335</v>
      </c>
      <c r="AO158" s="62">
        <f t="shared" si="144"/>
        <v>348.84706693879735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0.49513362855127446</v>
      </c>
      <c r="AW158" s="23">
        <f>EXP(-LN(2)/2)*AW157+(1-EXP(-LN(2)/2))/(LN(2)/2)*AQ158*AT158*VLOOKUP('Données projet'!$B$10,Paramètres!$A$1:$I$89,3,0)*0.475*44/12</f>
        <v>2.2838059876355193E-18</v>
      </c>
      <c r="AX158" s="23">
        <f t="shared" si="166"/>
        <v>0.49513362855127446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1.1368683772161603E-13</v>
      </c>
      <c r="BE158" s="14">
        <f>BD158*VLOOKUP('Données projet'!$B$11,Paramètres!$A$1:$I$89,3,0)*VLOOKUP('Données projet'!$B$11,Paramètres!$A$1:$I$89,5,0)</f>
        <v>6.7984728957526396E-14</v>
      </c>
      <c r="BF158" s="14">
        <f t="shared" si="167"/>
        <v>1.0682447123141398E-12</v>
      </c>
      <c r="BG158" s="22">
        <f t="shared" si="168"/>
        <v>1.978932943548152E-12</v>
      </c>
      <c r="BH158" s="62">
        <f t="shared" si="116"/>
        <v>293.3333333333353</v>
      </c>
      <c r="BI158" s="62">
        <f ca="1">AVERAGE(OFFSET($BH$3,0,0,'Données projet'!$E$11+1,1))-AVERAGE(OFFSET($H$3,0,0,'Données projet'!$E$11+1,1))</f>
        <v>187.13674266165236</v>
      </c>
      <c r="BJ158" s="62">
        <f t="shared" si="146"/>
        <v>439.28159165815276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4.4852468220636084</v>
      </c>
      <c r="BQ158" s="23">
        <f>EXP(-LN(2)/25)*BQ157+(1-EXP(-LN(2)/25))/(LN(2)/25)*Calculateur!BL158*Calculateur!BN158*VLOOKUP('Données projet'!$B$11,Paramètres!$A$1:$I$89,3,0)*0.475*44/12</f>
        <v>1.373400459910491</v>
      </c>
      <c r="BR158" s="23">
        <f>EXP(-LN(2)/2)*BR157+(1-EXP(-LN(2)/2))/(LN(2)/2)*BL158*BO158*VLOOKUP('Données projet'!$B$11,Paramètres!$A$1:$I$89,3,0)*0.475*44/12</f>
        <v>6.6801584291211415E-18</v>
      </c>
      <c r="BS158" s="24">
        <f t="shared" si="169"/>
        <v>5.8586472819740996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1.9895196601282805E-13</v>
      </c>
      <c r="BZ158" s="14">
        <f>BY158*VLOOKUP('Données projet'!$B$12,Paramètres!$A$1:$I$89,3,0)*VLOOKUP('Données projet'!$B$12,Paramètres!$A$1:$I$89,5,0)</f>
        <v>1.8001173884840681E-13</v>
      </c>
      <c r="CA158" s="14">
        <f t="shared" si="170"/>
        <v>2.5254331426407198E-12</v>
      </c>
      <c r="CB158" s="22">
        <f t="shared" si="171"/>
        <v>4.7119831685935622E-12</v>
      </c>
      <c r="CC158" s="62">
        <f t="shared" si="119"/>
        <v>293.33333333333803</v>
      </c>
      <c r="CD158" s="62">
        <f ca="1">AVERAGE(OFFSET($CC$3,0,0,'Données projet'!$E$12+1,1))-AVERAGE(OFFSET($H$3,0,0,'Données projet'!$E$12+1,1))</f>
        <v>302.6112905010138</v>
      </c>
      <c r="CE158" s="62">
        <f t="shared" si="148"/>
        <v>423.44006663873375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0.70131562725750829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0.70131562725750829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187.13674266165236</v>
      </c>
      <c r="T159" s="62">
        <f t="shared" si="142"/>
        <v>439.28159165815276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-1.1368683772161603E-13</v>
      </c>
      <c r="AJ159" s="14">
        <f>AI159*VLOOKUP('Données projet'!$B$10,Paramètres!$A$1:$I$89,3,0)*VLOOKUP('Données projet'!$B$10,Paramètres!$A$1:$I$89,5,0)</f>
        <v>-9.9316821433603781E-14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327.826081588335</v>
      </c>
      <c r="AO159" s="62">
        <f t="shared" si="144"/>
        <v>348.84706693879735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0.48159417344059396</v>
      </c>
      <c r="AW159" s="23">
        <f>EXP(-LN(2)/2)*AW158+(1-EXP(-LN(2)/2))/(LN(2)/2)*AQ159*AT159*VLOOKUP('Données projet'!$B$10,Paramètres!$A$1:$I$89,3,0)*0.475*44/12</f>
        <v>1.6148947007715162E-18</v>
      </c>
      <c r="AX159" s="23">
        <f t="shared" si="166"/>
        <v>0.48159417344059396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1.1368683772161603E-13</v>
      </c>
      <c r="BE159" s="14">
        <f>BD159*VLOOKUP('Données projet'!$B$11,Paramètres!$A$1:$I$89,3,0)*VLOOKUP('Données projet'!$B$11,Paramètres!$A$1:$I$89,5,0)</f>
        <v>6.7984728957526396E-14</v>
      </c>
      <c r="BF159" s="14">
        <f t="shared" si="167"/>
        <v>1.0682447123141398E-12</v>
      </c>
      <c r="BG159" s="22">
        <f t="shared" si="168"/>
        <v>1.978932943548152E-12</v>
      </c>
      <c r="BH159" s="62">
        <f t="shared" si="116"/>
        <v>293.3333333333353</v>
      </c>
      <c r="BI159" s="62">
        <f ca="1">AVERAGE(OFFSET($BH$3,0,0,'Données projet'!$E$11+1,1))-AVERAGE(OFFSET($H$3,0,0,'Données projet'!$E$11+1,1))</f>
        <v>187.13674266165236</v>
      </c>
      <c r="BJ159" s="62">
        <f t="shared" si="146"/>
        <v>439.28159165815276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4.3972938676133717</v>
      </c>
      <c r="BQ159" s="23">
        <f>EXP(-LN(2)/25)*BQ158+(1-EXP(-LN(2)/25))/(LN(2)/25)*Calculateur!BL159*Calculateur!BN159*VLOOKUP('Données projet'!$B$11,Paramètres!$A$1:$I$89,3,0)*0.475*44/12</f>
        <v>1.3358447521102474</v>
      </c>
      <c r="BR159" s="23">
        <f>EXP(-LN(2)/2)*BR158+(1-EXP(-LN(2)/2))/(LN(2)/2)*BL159*BO159*VLOOKUP('Données projet'!$B$11,Paramètres!$A$1:$I$89,3,0)*0.475*44/12</f>
        <v>4.723585324632034E-18</v>
      </c>
      <c r="BS159" s="24">
        <f t="shared" si="169"/>
        <v>5.7331386197236194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1.9895196601282805E-13</v>
      </c>
      <c r="BZ159" s="14">
        <f>BY159*VLOOKUP('Données projet'!$B$12,Paramètres!$A$1:$I$89,3,0)*VLOOKUP('Données projet'!$B$12,Paramètres!$A$1:$I$89,5,0)</f>
        <v>1.8001173884840681E-13</v>
      </c>
      <c r="CA159" s="14">
        <f t="shared" si="170"/>
        <v>2.5254331426407198E-12</v>
      </c>
      <c r="CB159" s="22">
        <f t="shared" si="171"/>
        <v>4.7119831685935622E-12</v>
      </c>
      <c r="CC159" s="62">
        <f t="shared" si="119"/>
        <v>293.33333333333803</v>
      </c>
      <c r="CD159" s="62">
        <f ca="1">AVERAGE(OFFSET($CC$3,0,0,'Données projet'!$E$12+1,1))-AVERAGE(OFFSET($H$3,0,0,'Données projet'!$E$12+1,1))</f>
        <v>302.6112905010138</v>
      </c>
      <c r="CE159" s="62">
        <f t="shared" si="148"/>
        <v>423.44006663873375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0.68756325556728337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0.68756325556728337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187.13674266165236</v>
      </c>
      <c r="T160" s="62">
        <f t="shared" si="142"/>
        <v>439.28159165815276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-1.1368683772161603E-13</v>
      </c>
      <c r="AJ160" s="14">
        <f>AI160*VLOOKUP('Données projet'!$B$10,Paramètres!$A$1:$I$89,3,0)*VLOOKUP('Données projet'!$B$10,Paramètres!$A$1:$I$89,5,0)</f>
        <v>-9.9316821433603781E-14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327.826081588335</v>
      </c>
      <c r="AO160" s="62">
        <f t="shared" si="144"/>
        <v>348.84706693879735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0.46842495544192403</v>
      </c>
      <c r="AW160" s="23">
        <f>EXP(-LN(2)/2)*AW159+(1-EXP(-LN(2)/2))/(LN(2)/2)*AQ160*AT160*VLOOKUP('Données projet'!$B$10,Paramètres!$A$1:$I$89,3,0)*0.475*44/12</f>
        <v>1.1419029938177596E-18</v>
      </c>
      <c r="AX160" s="23">
        <f t="shared" si="166"/>
        <v>0.46842495544192403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1.1368683772161603E-13</v>
      </c>
      <c r="BE160" s="14">
        <f>BD160*VLOOKUP('Données projet'!$B$11,Paramètres!$A$1:$I$89,3,0)*VLOOKUP('Données projet'!$B$11,Paramètres!$A$1:$I$89,5,0)</f>
        <v>6.7984728957526396E-14</v>
      </c>
      <c r="BF160" s="14">
        <f t="shared" si="167"/>
        <v>1.0682447123141398E-12</v>
      </c>
      <c r="BG160" s="22">
        <f t="shared" si="168"/>
        <v>1.978932943548152E-12</v>
      </c>
      <c r="BH160" s="62">
        <f t="shared" si="116"/>
        <v>293.3333333333353</v>
      </c>
      <c r="BI160" s="62">
        <f ca="1">AVERAGE(OFFSET($BH$3,0,0,'Données projet'!$E$11+1,1))-AVERAGE(OFFSET($H$3,0,0,'Données projet'!$E$11+1,1))</f>
        <v>187.13674266165236</v>
      </c>
      <c r="BJ160" s="62">
        <f t="shared" si="146"/>
        <v>439.28159165815276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4.3110656169538988</v>
      </c>
      <c r="BQ160" s="23">
        <f>EXP(-LN(2)/25)*BQ159+(1-EXP(-LN(2)/25))/(LN(2)/25)*Calculateur!BL160*Calculateur!BN160*VLOOKUP('Données projet'!$B$11,Paramètres!$A$1:$I$89,3,0)*0.475*44/12</f>
        <v>1.2993160071147702</v>
      </c>
      <c r="BR160" s="23">
        <f>EXP(-LN(2)/2)*BR159+(1-EXP(-LN(2)/2))/(LN(2)/2)*BL160*BO160*VLOOKUP('Données projet'!$B$11,Paramètres!$A$1:$I$89,3,0)*0.475*44/12</f>
        <v>3.3400792145605707E-18</v>
      </c>
      <c r="BS160" s="24">
        <f t="shared" si="169"/>
        <v>5.610381624068669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1.9895196601282805E-13</v>
      </c>
      <c r="BZ160" s="14">
        <f>BY160*VLOOKUP('Données projet'!$B$12,Paramètres!$A$1:$I$89,3,0)*VLOOKUP('Données projet'!$B$12,Paramètres!$A$1:$I$89,5,0)</f>
        <v>1.8001173884840681E-13</v>
      </c>
      <c r="CA160" s="14">
        <f t="shared" si="170"/>
        <v>2.5254331426407198E-12</v>
      </c>
      <c r="CB160" s="22">
        <f t="shared" si="171"/>
        <v>4.7119831685935622E-12</v>
      </c>
      <c r="CC160" s="62">
        <f t="shared" si="119"/>
        <v>293.33333333333803</v>
      </c>
      <c r="CD160" s="62">
        <f ca="1">AVERAGE(OFFSET($CC$3,0,0,'Données projet'!$E$12+1,1))-AVERAGE(OFFSET($H$3,0,0,'Données projet'!$E$12+1,1))</f>
        <v>302.6112905010138</v>
      </c>
      <c r="CE160" s="62">
        <f t="shared" si="148"/>
        <v>423.44006663873375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0.67408055949778523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0.67408055949778523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187.13674266165236</v>
      </c>
      <c r="T161" s="62">
        <f t="shared" si="142"/>
        <v>439.28159165815276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-1.1368683772161603E-13</v>
      </c>
      <c r="AJ161" s="14">
        <f>AI161*VLOOKUP('Données projet'!$B$10,Paramètres!$A$1:$I$89,3,0)*VLOOKUP('Données projet'!$B$10,Paramètres!$A$1:$I$89,5,0)</f>
        <v>-9.9316821433603781E-14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327.826081588335</v>
      </c>
      <c r="AO161" s="62">
        <f t="shared" si="144"/>
        <v>348.84706693879735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0.45561585040196678</v>
      </c>
      <c r="AW161" s="23">
        <f>EXP(-LN(2)/2)*AW160+(1-EXP(-LN(2)/2))/(LN(2)/2)*AQ161*AT161*VLOOKUP('Données projet'!$B$10,Paramètres!$A$1:$I$89,3,0)*0.475*44/12</f>
        <v>8.074473503857581E-19</v>
      </c>
      <c r="AX161" s="23">
        <f t="shared" si="166"/>
        <v>0.45561585040196678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1.1368683772161603E-13</v>
      </c>
      <c r="BE161" s="14">
        <f>BD161*VLOOKUP('Données projet'!$B$11,Paramètres!$A$1:$I$89,3,0)*VLOOKUP('Données projet'!$B$11,Paramètres!$A$1:$I$89,5,0)</f>
        <v>6.7984728957526396E-14</v>
      </c>
      <c r="BF161" s="14">
        <f t="shared" si="167"/>
        <v>1.0682447123141398E-12</v>
      </c>
      <c r="BG161" s="22">
        <f t="shared" si="168"/>
        <v>1.978932943548152E-12</v>
      </c>
      <c r="BH161" s="62">
        <f t="shared" si="116"/>
        <v>293.3333333333353</v>
      </c>
      <c r="BI161" s="62">
        <f ca="1">AVERAGE(OFFSET($BH$3,0,0,'Données projet'!$E$11+1,1))-AVERAGE(OFFSET($H$3,0,0,'Données projet'!$E$11+1,1))</f>
        <v>187.13674266165236</v>
      </c>
      <c r="BJ161" s="62">
        <f t="shared" si="146"/>
        <v>439.28159165815276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4.2265282496958188</v>
      </c>
      <c r="BQ161" s="23">
        <f>EXP(-LN(2)/25)*BQ160+(1-EXP(-LN(2)/25))/(LN(2)/25)*Calculateur!BL161*Calculateur!BN161*VLOOKUP('Données projet'!$B$11,Paramètres!$A$1:$I$89,3,0)*0.475*44/12</f>
        <v>1.2637861425721577</v>
      </c>
      <c r="BR161" s="23">
        <f>EXP(-LN(2)/2)*BR160+(1-EXP(-LN(2)/2))/(LN(2)/2)*BL161*BO161*VLOOKUP('Données projet'!$B$11,Paramètres!$A$1:$I$89,3,0)*0.475*44/12</f>
        <v>2.361792662316017E-18</v>
      </c>
      <c r="BS161" s="24">
        <f t="shared" si="169"/>
        <v>5.490314392267976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1.9895196601282805E-13</v>
      </c>
      <c r="BZ161" s="14">
        <f>BY161*VLOOKUP('Données projet'!$B$12,Paramètres!$A$1:$I$89,3,0)*VLOOKUP('Données projet'!$B$12,Paramètres!$A$1:$I$89,5,0)</f>
        <v>1.8001173884840681E-13</v>
      </c>
      <c r="CA161" s="14">
        <f t="shared" si="170"/>
        <v>2.5254331426407198E-12</v>
      </c>
      <c r="CB161" s="22">
        <f t="shared" si="171"/>
        <v>4.7119831685935622E-12</v>
      </c>
      <c r="CC161" s="62">
        <f t="shared" si="119"/>
        <v>293.33333333333803</v>
      </c>
      <c r="CD161" s="62">
        <f ca="1">AVERAGE(OFFSET($CC$3,0,0,'Données projet'!$E$12+1,1))-AVERAGE(OFFSET($H$3,0,0,'Données projet'!$E$12+1,1))</f>
        <v>302.6112905010138</v>
      </c>
      <c r="CE161" s="62">
        <f t="shared" si="148"/>
        <v>423.44006663873375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0.66086225087457739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0.66086225087457739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187.13674266165236</v>
      </c>
      <c r="T162" s="62">
        <f t="shared" si="142"/>
        <v>439.28159165815276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-1.1368683772161603E-13</v>
      </c>
      <c r="AJ162" s="14">
        <f>AI162*VLOOKUP('Données projet'!$B$10,Paramètres!$A$1:$I$89,3,0)*VLOOKUP('Données projet'!$B$10,Paramètres!$A$1:$I$89,5,0)</f>
        <v>-9.9316821433603781E-14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327.826081588335</v>
      </c>
      <c r="AO162" s="62">
        <f t="shared" si="144"/>
        <v>348.84706693879735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0.44315701101292876</v>
      </c>
      <c r="AW162" s="23">
        <f>EXP(-LN(2)/2)*AW161+(1-EXP(-LN(2)/2))/(LN(2)/2)*AQ162*AT162*VLOOKUP('Données projet'!$B$10,Paramètres!$A$1:$I$89,3,0)*0.475*44/12</f>
        <v>5.7095149690887981E-19</v>
      </c>
      <c r="AX162" s="23">
        <f t="shared" si="166"/>
        <v>0.44315701101292876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1.1368683772161603E-13</v>
      </c>
      <c r="BE162" s="14">
        <f>BD162*VLOOKUP('Données projet'!$B$11,Paramètres!$A$1:$I$89,3,0)*VLOOKUP('Données projet'!$B$11,Paramètres!$A$1:$I$89,5,0)</f>
        <v>6.7984728957526396E-14</v>
      </c>
      <c r="BF162" s="14">
        <f t="shared" si="167"/>
        <v>1.0682447123141398E-12</v>
      </c>
      <c r="BG162" s="22">
        <f t="shared" si="168"/>
        <v>1.978932943548152E-12</v>
      </c>
      <c r="BH162" s="62">
        <f t="shared" si="116"/>
        <v>293.3333333333353</v>
      </c>
      <c r="BI162" s="62">
        <f ca="1">AVERAGE(OFFSET($BH$3,0,0,'Données projet'!$E$11+1,1))-AVERAGE(OFFSET($H$3,0,0,'Données projet'!$E$11+1,1))</f>
        <v>187.13674266165236</v>
      </c>
      <c r="BJ162" s="62">
        <f t="shared" si="146"/>
        <v>439.28159165815276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4.1436486086469673</v>
      </c>
      <c r="BQ162" s="23">
        <f>EXP(-LN(2)/25)*BQ161+(1-EXP(-LN(2)/25))/(LN(2)/25)*Calculateur!BL162*Calculateur!BN162*VLOOKUP('Données projet'!$B$11,Paramètres!$A$1:$I$89,3,0)*0.475*44/12</f>
        <v>1.2292278440438973</v>
      </c>
      <c r="BR162" s="23">
        <f>EXP(-LN(2)/2)*BR161+(1-EXP(-LN(2)/2))/(LN(2)/2)*BL162*BO162*VLOOKUP('Données projet'!$B$11,Paramètres!$A$1:$I$89,3,0)*0.475*44/12</f>
        <v>1.6700396072802854E-18</v>
      </c>
      <c r="BS162" s="24">
        <f t="shared" si="169"/>
        <v>5.3728764526908641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1.9895196601282805E-13</v>
      </c>
      <c r="BZ162" s="14">
        <f>BY162*VLOOKUP('Données projet'!$B$12,Paramètres!$A$1:$I$89,3,0)*VLOOKUP('Données projet'!$B$12,Paramètres!$A$1:$I$89,5,0)</f>
        <v>1.8001173884840681E-13</v>
      </c>
      <c r="CA162" s="14">
        <f t="shared" si="170"/>
        <v>2.5254331426407198E-12</v>
      </c>
      <c r="CB162" s="22">
        <f t="shared" si="171"/>
        <v>4.7119831685935622E-12</v>
      </c>
      <c r="CC162" s="62">
        <f t="shared" si="119"/>
        <v>293.33333333333803</v>
      </c>
      <c r="CD162" s="62">
        <f ca="1">AVERAGE(OFFSET($CC$3,0,0,'Données projet'!$E$12+1,1))-AVERAGE(OFFSET($H$3,0,0,'Données projet'!$E$12+1,1))</f>
        <v>302.6112905010138</v>
      </c>
      <c r="CE162" s="62">
        <f t="shared" si="148"/>
        <v>423.44006663873375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0.64790314522109849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0.64790314522109849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187.13674266165236</v>
      </c>
      <c r="T163" s="62">
        <f t="shared" si="142"/>
        <v>439.28159165815276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-1.1368683772161603E-13</v>
      </c>
      <c r="AJ163" s="14">
        <f>AI163*VLOOKUP('Données projet'!$B$10,Paramètres!$A$1:$I$89,3,0)*VLOOKUP('Données projet'!$B$10,Paramètres!$A$1:$I$89,5,0)</f>
        <v>-9.9316821433603781E-14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327.826081588335</v>
      </c>
      <c r="AO163" s="62">
        <f t="shared" si="144"/>
        <v>348.84706693879735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0.43103885924216584</v>
      </c>
      <c r="AW163" s="23">
        <f>EXP(-LN(2)/2)*AW162+(1-EXP(-LN(2)/2))/(LN(2)/2)*AQ163*AT163*VLOOKUP('Données projet'!$B$10,Paramètres!$A$1:$I$89,3,0)*0.475*44/12</f>
        <v>4.0372367519287905E-19</v>
      </c>
      <c r="AX163" s="23">
        <f t="shared" si="166"/>
        <v>0.43103885924216584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1.1368683772161603E-13</v>
      </c>
      <c r="BE163" s="14">
        <f>BD163*VLOOKUP('Données projet'!$B$11,Paramètres!$A$1:$I$89,3,0)*VLOOKUP('Données projet'!$B$11,Paramètres!$A$1:$I$89,5,0)</f>
        <v>6.7984728957526396E-14</v>
      </c>
      <c r="BF163" s="14">
        <f t="shared" si="167"/>
        <v>1.0682447123141398E-12</v>
      </c>
      <c r="BG163" s="22">
        <f t="shared" si="168"/>
        <v>1.978932943548152E-12</v>
      </c>
      <c r="BH163" s="62">
        <f t="shared" si="116"/>
        <v>293.3333333333353</v>
      </c>
      <c r="BI163" s="62">
        <f ca="1">AVERAGE(OFFSET($BH$3,0,0,'Données projet'!$E$11+1,1))-AVERAGE(OFFSET($H$3,0,0,'Données projet'!$E$11+1,1))</f>
        <v>187.13674266165236</v>
      </c>
      <c r="BJ163" s="62">
        <f t="shared" si="146"/>
        <v>439.28159165815276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4.0623941868074942</v>
      </c>
      <c r="BQ163" s="23">
        <f>EXP(-LN(2)/25)*BQ162+(1-EXP(-LN(2)/25))/(LN(2)/25)*Calculateur!BL163*Calculateur!BN163*VLOOKUP('Données projet'!$B$11,Paramètres!$A$1:$I$89,3,0)*0.475*44/12</f>
        <v>1.195614544006234</v>
      </c>
      <c r="BR163" s="23">
        <f>EXP(-LN(2)/2)*BR162+(1-EXP(-LN(2)/2))/(LN(2)/2)*BL163*BO163*VLOOKUP('Données projet'!$B$11,Paramètres!$A$1:$I$89,3,0)*0.475*44/12</f>
        <v>1.1808963311580085E-18</v>
      </c>
      <c r="BS163" s="24">
        <f t="shared" si="169"/>
        <v>5.258008730813728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1.9895196601282805E-13</v>
      </c>
      <c r="BZ163" s="14">
        <f>BY163*VLOOKUP('Données projet'!$B$12,Paramètres!$A$1:$I$89,3,0)*VLOOKUP('Données projet'!$B$12,Paramètres!$A$1:$I$89,5,0)</f>
        <v>1.8001173884840681E-13</v>
      </c>
      <c r="CA163" s="14">
        <f t="shared" si="170"/>
        <v>2.5254331426407198E-12</v>
      </c>
      <c r="CB163" s="22">
        <f t="shared" si="171"/>
        <v>4.7119831685935622E-12</v>
      </c>
      <c r="CC163" s="62">
        <f t="shared" si="119"/>
        <v>293.33333333333803</v>
      </c>
      <c r="CD163" s="62">
        <f ca="1">AVERAGE(OFFSET($CC$3,0,0,'Données projet'!$E$12+1,1))-AVERAGE(OFFSET($H$3,0,0,'Données projet'!$E$12+1,1))</f>
        <v>302.6112905010138</v>
      </c>
      <c r="CE163" s="62">
        <f t="shared" si="148"/>
        <v>423.44006663873375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0.63519815972521032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0.63519815972521032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187.13674266165236</v>
      </c>
      <c r="T164" s="62">
        <f t="shared" si="142"/>
        <v>439.28159165815276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-1.1368683772161603E-13</v>
      </c>
      <c r="AJ164" s="14">
        <f>AI164*VLOOKUP('Données projet'!$B$10,Paramètres!$A$1:$I$89,3,0)*VLOOKUP('Données projet'!$B$10,Paramètres!$A$1:$I$89,5,0)</f>
        <v>-9.9316821433603781E-14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327.826081588335</v>
      </c>
      <c r="AO164" s="62">
        <f t="shared" si="144"/>
        <v>348.84706693879735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0.41925207896884037</v>
      </c>
      <c r="AW164" s="23">
        <f>EXP(-LN(2)/2)*AW163+(1-EXP(-LN(2)/2))/(LN(2)/2)*AQ164*AT164*VLOOKUP('Données projet'!$B$10,Paramètres!$A$1:$I$89,3,0)*0.475*44/12</f>
        <v>2.8547574845443991E-19</v>
      </c>
      <c r="AX164" s="23">
        <f t="shared" si="166"/>
        <v>0.41925207896884037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1.1368683772161603E-13</v>
      </c>
      <c r="BE164" s="14">
        <f>BD164*VLOOKUP('Données projet'!$B$11,Paramètres!$A$1:$I$89,3,0)*VLOOKUP('Données projet'!$B$11,Paramètres!$A$1:$I$89,5,0)</f>
        <v>6.7984728957526396E-14</v>
      </c>
      <c r="BF164" s="14">
        <f t="shared" si="167"/>
        <v>1.0682447123141398E-12</v>
      </c>
      <c r="BG164" s="22">
        <f t="shared" si="168"/>
        <v>1.978932943548152E-12</v>
      </c>
      <c r="BH164" s="62">
        <f t="shared" si="116"/>
        <v>293.3333333333353</v>
      </c>
      <c r="BI164" s="62">
        <f ca="1">AVERAGE(OFFSET($BH$3,0,0,'Données projet'!$E$11+1,1))-AVERAGE(OFFSET($H$3,0,0,'Données projet'!$E$11+1,1))</f>
        <v>187.13674266165236</v>
      </c>
      <c r="BJ164" s="62">
        <f t="shared" si="146"/>
        <v>439.28159165815276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3.9827331146199891</v>
      </c>
      <c r="BQ164" s="23">
        <f>EXP(-LN(2)/25)*BQ163+(1-EXP(-LN(2)/25))/(LN(2)/25)*Calculateur!BL164*Calculateur!BN164*VLOOKUP('Données projet'!$B$11,Paramètres!$A$1:$I$89,3,0)*0.475*44/12</f>
        <v>1.1629204014257473</v>
      </c>
      <c r="BR164" s="23">
        <f>EXP(-LN(2)/2)*BR163+(1-EXP(-LN(2)/2))/(LN(2)/2)*BL164*BO164*VLOOKUP('Données projet'!$B$11,Paramètres!$A$1:$I$89,3,0)*0.475*44/12</f>
        <v>8.3501980364014269E-19</v>
      </c>
      <c r="BS164" s="24">
        <f t="shared" si="169"/>
        <v>5.1456535160457362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1.9895196601282805E-13</v>
      </c>
      <c r="BZ164" s="14">
        <f>BY164*VLOOKUP('Données projet'!$B$12,Paramètres!$A$1:$I$89,3,0)*VLOOKUP('Données projet'!$B$12,Paramètres!$A$1:$I$89,5,0)</f>
        <v>1.8001173884840681E-13</v>
      </c>
      <c r="CA164" s="14">
        <f t="shared" si="170"/>
        <v>2.5254331426407198E-12</v>
      </c>
      <c r="CB164" s="22">
        <f t="shared" si="171"/>
        <v>4.7119831685935622E-12</v>
      </c>
      <c r="CC164" s="62">
        <f t="shared" si="119"/>
        <v>293.33333333333803</v>
      </c>
      <c r="CD164" s="62">
        <f ca="1">AVERAGE(OFFSET($CC$3,0,0,'Données projet'!$E$12+1,1))-AVERAGE(OFFSET($H$3,0,0,'Données projet'!$E$12+1,1))</f>
        <v>302.6112905010138</v>
      </c>
      <c r="CE164" s="62">
        <f t="shared" si="148"/>
        <v>423.44006663873375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0.62274231124562063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0.62274231124562063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187.13674266165236</v>
      </c>
      <c r="T165" s="62">
        <f t="shared" si="142"/>
        <v>439.28159165815276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-1.1368683772161603E-13</v>
      </c>
      <c r="AJ165" s="14">
        <f>AI165*VLOOKUP('Données projet'!$B$10,Paramètres!$A$1:$I$89,3,0)*VLOOKUP('Données projet'!$B$10,Paramètres!$A$1:$I$89,5,0)</f>
        <v>-9.9316821433603781E-14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327.826081588335</v>
      </c>
      <c r="AO165" s="62">
        <f t="shared" si="144"/>
        <v>348.84706693879735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0.40778760882192883</v>
      </c>
      <c r="AW165" s="23">
        <f>EXP(-LN(2)/2)*AW164+(1-EXP(-LN(2)/2))/(LN(2)/2)*AQ165*AT165*VLOOKUP('Données projet'!$B$10,Paramètres!$A$1:$I$89,3,0)*0.475*44/12</f>
        <v>2.0186183759643952E-19</v>
      </c>
      <c r="AX165" s="23">
        <f t="shared" si="166"/>
        <v>0.40778760882192883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1.1368683772161603E-13</v>
      </c>
      <c r="BE165" s="14">
        <f>BD165*VLOOKUP('Données projet'!$B$11,Paramètres!$A$1:$I$89,3,0)*VLOOKUP('Données projet'!$B$11,Paramètres!$A$1:$I$89,5,0)</f>
        <v>6.7984728957526396E-14</v>
      </c>
      <c r="BF165" s="14">
        <f t="shared" si="167"/>
        <v>1.0682447123141398E-12</v>
      </c>
      <c r="BG165" s="22">
        <f t="shared" si="168"/>
        <v>1.978932943548152E-12</v>
      </c>
      <c r="BH165" s="62">
        <f t="shared" si="116"/>
        <v>293.3333333333353</v>
      </c>
      <c r="BI165" s="62">
        <f ca="1">AVERAGE(OFFSET($BH$3,0,0,'Données projet'!$E$11+1,1))-AVERAGE(OFFSET($H$3,0,0,'Données projet'!$E$11+1,1))</f>
        <v>187.13674266165236</v>
      </c>
      <c r="BJ165" s="62">
        <f t="shared" si="146"/>
        <v>439.28159165815276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3.9046341474696247</v>
      </c>
      <c r="BQ165" s="23">
        <f>EXP(-LN(2)/25)*BQ164+(1-EXP(-LN(2)/25))/(LN(2)/25)*Calculateur!BL165*Calculateur!BN165*VLOOKUP('Données projet'!$B$11,Paramètres!$A$1:$I$89,3,0)*0.475*44/12</f>
        <v>1.1311202818934343</v>
      </c>
      <c r="BR165" s="23">
        <f>EXP(-LN(2)/2)*BR164+(1-EXP(-LN(2)/2))/(LN(2)/2)*BL165*BO165*VLOOKUP('Données projet'!$B$11,Paramètres!$A$1:$I$89,3,0)*0.475*44/12</f>
        <v>5.9044816557900425E-19</v>
      </c>
      <c r="BS165" s="24">
        <f t="shared" si="169"/>
        <v>5.0357544293630587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1.9895196601282805E-13</v>
      </c>
      <c r="BZ165" s="14">
        <f>BY165*VLOOKUP('Données projet'!$B$12,Paramètres!$A$1:$I$89,3,0)*VLOOKUP('Données projet'!$B$12,Paramètres!$A$1:$I$89,5,0)</f>
        <v>1.8001173884840681E-13</v>
      </c>
      <c r="CA165" s="14">
        <f t="shared" si="170"/>
        <v>2.5254331426407198E-12</v>
      </c>
      <c r="CB165" s="22">
        <f t="shared" si="171"/>
        <v>4.7119831685935622E-12</v>
      </c>
      <c r="CC165" s="62">
        <f t="shared" si="119"/>
        <v>293.33333333333803</v>
      </c>
      <c r="CD165" s="62">
        <f ca="1">AVERAGE(OFFSET($CC$3,0,0,'Données projet'!$E$12+1,1))-AVERAGE(OFFSET($H$3,0,0,'Données projet'!$E$12+1,1))</f>
        <v>302.6112905010138</v>
      </c>
      <c r="CE165" s="62">
        <f t="shared" si="148"/>
        <v>423.44006663873375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0.61053071435739825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0.61053071435739825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187.13674266165236</v>
      </c>
      <c r="T166" s="62">
        <f t="shared" si="142"/>
        <v>439.28159165815276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-1.1368683772161603E-13</v>
      </c>
      <c r="AJ166" s="14">
        <f>AI166*VLOOKUP('Données projet'!$B$10,Paramètres!$A$1:$I$89,3,0)*VLOOKUP('Données projet'!$B$10,Paramètres!$A$1:$I$89,5,0)</f>
        <v>-9.9316821433603781E-14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327.826081588335</v>
      </c>
      <c r="AO166" s="62">
        <f t="shared" si="144"/>
        <v>348.84706693879735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0.39663663521407483</v>
      </c>
      <c r="AW166" s="23">
        <f>EXP(-LN(2)/2)*AW165+(1-EXP(-LN(2)/2))/(LN(2)/2)*AQ166*AT166*VLOOKUP('Données projet'!$B$10,Paramètres!$A$1:$I$89,3,0)*0.475*44/12</f>
        <v>1.4273787422721995E-19</v>
      </c>
      <c r="AX166" s="23">
        <f t="shared" si="166"/>
        <v>0.39663663521407483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1.1368683772161603E-13</v>
      </c>
      <c r="BE166" s="14">
        <f>BD166*VLOOKUP('Données projet'!$B$11,Paramètres!$A$1:$I$89,3,0)*VLOOKUP('Données projet'!$B$11,Paramètres!$A$1:$I$89,5,0)</f>
        <v>6.7984728957526396E-14</v>
      </c>
      <c r="BF166" s="14">
        <f t="shared" si="167"/>
        <v>1.0682447123141398E-12</v>
      </c>
      <c r="BG166" s="22">
        <f t="shared" si="168"/>
        <v>1.978932943548152E-12</v>
      </c>
      <c r="BH166" s="62">
        <f t="shared" si="116"/>
        <v>293.3333333333353</v>
      </c>
      <c r="BI166" s="62">
        <f ca="1">AVERAGE(OFFSET($BH$3,0,0,'Données projet'!$E$11+1,1))-AVERAGE(OFFSET($H$3,0,0,'Données projet'!$E$11+1,1))</f>
        <v>187.13674266165236</v>
      </c>
      <c r="BJ166" s="62">
        <f t="shared" si="146"/>
        <v>439.28159165815276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3.8280666534294125</v>
      </c>
      <c r="BQ166" s="23">
        <f>EXP(-LN(2)/25)*BQ165+(1-EXP(-LN(2)/25))/(LN(2)/25)*Calculateur!BL166*Calculateur!BN166*VLOOKUP('Données projet'!$B$11,Paramètres!$A$1:$I$89,3,0)*0.475*44/12</f>
        <v>1.1001897383020278</v>
      </c>
      <c r="BR166" s="23">
        <f>EXP(-LN(2)/2)*BR165+(1-EXP(-LN(2)/2))/(LN(2)/2)*BL166*BO166*VLOOKUP('Données projet'!$B$11,Paramètres!$A$1:$I$89,3,0)*0.475*44/12</f>
        <v>4.1750990182007134E-19</v>
      </c>
      <c r="BS166" s="24">
        <f t="shared" si="169"/>
        <v>4.9282563917314404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1.9895196601282805E-13</v>
      </c>
      <c r="BZ166" s="14">
        <f>BY166*VLOOKUP('Données projet'!$B$12,Paramètres!$A$1:$I$89,3,0)*VLOOKUP('Données projet'!$B$12,Paramètres!$A$1:$I$89,5,0)</f>
        <v>1.8001173884840681E-13</v>
      </c>
      <c r="CA166" s="14">
        <f t="shared" si="170"/>
        <v>2.5254331426407198E-12</v>
      </c>
      <c r="CB166" s="22">
        <f t="shared" si="171"/>
        <v>4.7119831685935622E-12</v>
      </c>
      <c r="CC166" s="62">
        <f t="shared" si="119"/>
        <v>293.33333333333803</v>
      </c>
      <c r="CD166" s="62">
        <f ca="1">AVERAGE(OFFSET($CC$3,0,0,'Données projet'!$E$12+1,1))-AVERAGE(OFFSET($H$3,0,0,'Données projet'!$E$12+1,1))</f>
        <v>302.6112905010138</v>
      </c>
      <c r="CE166" s="62">
        <f t="shared" si="148"/>
        <v>423.44006663873375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0.59855857943581525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0.59855857943581525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187.13674266165236</v>
      </c>
      <c r="T167" s="62">
        <f t="shared" si="142"/>
        <v>439.28159165815276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-1.1368683772161603E-13</v>
      </c>
      <c r="AJ167" s="14">
        <f>AI167*VLOOKUP('Données projet'!$B$10,Paramètres!$A$1:$I$89,3,0)*VLOOKUP('Données projet'!$B$10,Paramètres!$A$1:$I$89,5,0)</f>
        <v>-9.9316821433603781E-14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327.826081588335</v>
      </c>
      <c r="AO167" s="62">
        <f t="shared" si="144"/>
        <v>348.84706693879735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0.38579058556593182</v>
      </c>
      <c r="AW167" s="23">
        <f>EXP(-LN(2)/2)*AW166+(1-EXP(-LN(2)/2))/(LN(2)/2)*AQ167*AT167*VLOOKUP('Données projet'!$B$10,Paramètres!$A$1:$I$89,3,0)*0.475*44/12</f>
        <v>1.0093091879821976E-19</v>
      </c>
      <c r="AX167" s="23">
        <f t="shared" si="166"/>
        <v>0.38579058556593182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1.1368683772161603E-13</v>
      </c>
      <c r="BE167" s="14">
        <f>BD167*VLOOKUP('Données projet'!$B$11,Paramètres!$A$1:$I$89,3,0)*VLOOKUP('Données projet'!$B$11,Paramètres!$A$1:$I$89,5,0)</f>
        <v>6.7984728957526396E-14</v>
      </c>
      <c r="BF167" s="14">
        <f t="shared" si="167"/>
        <v>1.0682447123141398E-12</v>
      </c>
      <c r="BG167" s="22">
        <f t="shared" si="168"/>
        <v>1.978932943548152E-12</v>
      </c>
      <c r="BH167" s="62">
        <f t="shared" si="116"/>
        <v>293.3333333333353</v>
      </c>
      <c r="BI167" s="62">
        <f ca="1">AVERAGE(OFFSET($BH$3,0,0,'Données projet'!$E$11+1,1))-AVERAGE(OFFSET($H$3,0,0,'Données projet'!$E$11+1,1))</f>
        <v>187.13674266165236</v>
      </c>
      <c r="BJ167" s="62">
        <f t="shared" si="146"/>
        <v>439.28159165815276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3.7530006012457693</v>
      </c>
      <c r="BQ167" s="23">
        <f>EXP(-LN(2)/25)*BQ166+(1-EXP(-LN(2)/25))/(LN(2)/25)*Calculateur!BL167*Calculateur!BN167*VLOOKUP('Données projet'!$B$11,Paramètres!$A$1:$I$89,3,0)*0.475*44/12</f>
        <v>1.070104992051695</v>
      </c>
      <c r="BR167" s="23">
        <f>EXP(-LN(2)/2)*BR166+(1-EXP(-LN(2)/2))/(LN(2)/2)*BL167*BO167*VLOOKUP('Données projet'!$B$11,Paramètres!$A$1:$I$89,3,0)*0.475*44/12</f>
        <v>2.9522408278950212E-19</v>
      </c>
      <c r="BS167" s="24">
        <f t="shared" si="169"/>
        <v>4.8231055932974645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1.9895196601282805E-13</v>
      </c>
      <c r="BZ167" s="14">
        <f>BY167*VLOOKUP('Données projet'!$B$12,Paramètres!$A$1:$I$89,3,0)*VLOOKUP('Données projet'!$B$12,Paramètres!$A$1:$I$89,5,0)</f>
        <v>1.8001173884840681E-13</v>
      </c>
      <c r="CA167" s="14">
        <f t="shared" si="170"/>
        <v>2.5254331426407198E-12</v>
      </c>
      <c r="CB167" s="22">
        <f t="shared" si="171"/>
        <v>4.7119831685935622E-12</v>
      </c>
      <c r="CC167" s="62">
        <f t="shared" si="119"/>
        <v>293.33333333333803</v>
      </c>
      <c r="CD167" s="62">
        <f ca="1">AVERAGE(OFFSET($CC$3,0,0,'Données projet'!$E$12+1,1))-AVERAGE(OFFSET($H$3,0,0,'Données projet'!$E$12+1,1))</f>
        <v>302.6112905010138</v>
      </c>
      <c r="CE167" s="62">
        <f t="shared" si="148"/>
        <v>423.44006663873375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0.58682121077776328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0.58682121077776328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187.13674266165236</v>
      </c>
      <c r="T168" s="62">
        <f t="shared" si="142"/>
        <v>439.28159165815276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-1.1368683772161603E-13</v>
      </c>
      <c r="AJ168" s="14">
        <f>AI168*VLOOKUP('Données projet'!$B$10,Paramètres!$A$1:$I$89,3,0)*VLOOKUP('Données projet'!$B$10,Paramètres!$A$1:$I$89,5,0)</f>
        <v>-9.9316821433603781E-14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327.826081588335</v>
      </c>
      <c r="AO168" s="62">
        <f t="shared" si="144"/>
        <v>348.84706693879735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0.37524112171578627</v>
      </c>
      <c r="AW168" s="23">
        <f>EXP(-LN(2)/2)*AW167+(1-EXP(-LN(2)/2))/(LN(2)/2)*AQ168*AT168*VLOOKUP('Données projet'!$B$10,Paramètres!$A$1:$I$89,3,0)*0.475*44/12</f>
        <v>7.1368937113609977E-20</v>
      </c>
      <c r="AX168" s="23">
        <f t="shared" si="166"/>
        <v>0.37524112171578627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1.1368683772161603E-13</v>
      </c>
      <c r="BE168" s="14">
        <f>BD168*VLOOKUP('Données projet'!$B$11,Paramètres!$A$1:$I$89,3,0)*VLOOKUP('Données projet'!$B$11,Paramètres!$A$1:$I$89,5,0)</f>
        <v>6.7984728957526396E-14</v>
      </c>
      <c r="BF168" s="14">
        <f t="shared" si="167"/>
        <v>1.0682447123141398E-12</v>
      </c>
      <c r="BG168" s="22">
        <f t="shared" si="168"/>
        <v>1.978932943548152E-12</v>
      </c>
      <c r="BH168" s="62">
        <f t="shared" si="116"/>
        <v>293.3333333333353</v>
      </c>
      <c r="BI168" s="62">
        <f ca="1">AVERAGE(OFFSET($BH$3,0,0,'Données projet'!$E$11+1,1))-AVERAGE(OFFSET($H$3,0,0,'Données projet'!$E$11+1,1))</f>
        <v>187.13674266165236</v>
      </c>
      <c r="BJ168" s="62">
        <f t="shared" si="146"/>
        <v>439.28159165815276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3.6794065485596761</v>
      </c>
      <c r="BQ168" s="23">
        <f>EXP(-LN(2)/25)*BQ167+(1-EXP(-LN(2)/25))/(LN(2)/25)*Calculateur!BL168*Calculateur!BN168*VLOOKUP('Données projet'!$B$11,Paramètres!$A$1:$I$89,3,0)*0.475*44/12</f>
        <v>1.0408429147696656</v>
      </c>
      <c r="BR168" s="23">
        <f>EXP(-LN(2)/2)*BR167+(1-EXP(-LN(2)/2))/(LN(2)/2)*BL168*BO168*VLOOKUP('Données projet'!$B$11,Paramètres!$A$1:$I$89,3,0)*0.475*44/12</f>
        <v>2.0875495091003567E-19</v>
      </c>
      <c r="BS168" s="24">
        <f t="shared" si="169"/>
        <v>4.7202494633293419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1.9895196601282805E-13</v>
      </c>
      <c r="BZ168" s="14">
        <f>BY168*VLOOKUP('Données projet'!$B$12,Paramètres!$A$1:$I$89,3,0)*VLOOKUP('Données projet'!$B$12,Paramètres!$A$1:$I$89,5,0)</f>
        <v>1.8001173884840681E-13</v>
      </c>
      <c r="CA168" s="14">
        <f t="shared" si="170"/>
        <v>2.5254331426407198E-12</v>
      </c>
      <c r="CB168" s="22">
        <f t="shared" si="171"/>
        <v>4.7119831685935622E-12</v>
      </c>
      <c r="CC168" s="62">
        <f t="shared" si="119"/>
        <v>293.33333333333803</v>
      </c>
      <c r="CD168" s="62">
        <f ca="1">AVERAGE(OFFSET($CC$3,0,0,'Données projet'!$E$12+1,1))-AVERAGE(OFFSET($H$3,0,0,'Données projet'!$E$12+1,1))</f>
        <v>302.6112905010138</v>
      </c>
      <c r="CE168" s="62">
        <f t="shared" si="148"/>
        <v>423.44006663873375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0.57531400476000771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0.57531400476000771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187.13674266165236</v>
      </c>
      <c r="T169" s="62">
        <f t="shared" si="142"/>
        <v>439.28159165815276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-1.1368683772161603E-13</v>
      </c>
      <c r="AJ169" s="14">
        <f>AI169*VLOOKUP('Données projet'!$B$10,Paramètres!$A$1:$I$89,3,0)*VLOOKUP('Données projet'!$B$10,Paramètres!$A$1:$I$89,5,0)</f>
        <v>-9.9316821433603781E-14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327.826081588335</v>
      </c>
      <c r="AO169" s="62">
        <f t="shared" si="144"/>
        <v>348.84706693879735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0.36498013350939512</v>
      </c>
      <c r="AW169" s="23">
        <f>EXP(-LN(2)/2)*AW168+(1-EXP(-LN(2)/2))/(LN(2)/2)*AQ169*AT169*VLOOKUP('Données projet'!$B$10,Paramètres!$A$1:$I$89,3,0)*0.475*44/12</f>
        <v>5.0465459399109881E-20</v>
      </c>
      <c r="AX169" s="23">
        <f t="shared" si="166"/>
        <v>0.36498013350939512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1.1368683772161603E-13</v>
      </c>
      <c r="BE169" s="14">
        <f>BD169*VLOOKUP('Données projet'!$B$11,Paramètres!$A$1:$I$89,3,0)*VLOOKUP('Données projet'!$B$11,Paramètres!$A$1:$I$89,5,0)</f>
        <v>6.7984728957526396E-14</v>
      </c>
      <c r="BF169" s="14">
        <f t="shared" si="167"/>
        <v>1.0682447123141398E-12</v>
      </c>
      <c r="BG169" s="22">
        <f t="shared" si="168"/>
        <v>1.978932943548152E-12</v>
      </c>
      <c r="BH169" s="62">
        <f t="shared" si="116"/>
        <v>293.3333333333353</v>
      </c>
      <c r="BI169" s="62">
        <f ca="1">AVERAGE(OFFSET($BH$3,0,0,'Données projet'!$E$11+1,1))-AVERAGE(OFFSET($H$3,0,0,'Données projet'!$E$11+1,1))</f>
        <v>187.13674266165236</v>
      </c>
      <c r="BJ169" s="62">
        <f t="shared" si="146"/>
        <v>439.28159165815276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3.6072556303588175</v>
      </c>
      <c r="BQ169" s="23">
        <f>EXP(-LN(2)/25)*BQ168+(1-EXP(-LN(2)/25))/(LN(2)/25)*Calculateur!BL169*Calculateur!BN169*VLOOKUP('Données projet'!$B$11,Paramètres!$A$1:$I$89,3,0)*0.475*44/12</f>
        <v>1.0123810105297391</v>
      </c>
      <c r="BR169" s="23">
        <f>EXP(-LN(2)/2)*BR168+(1-EXP(-LN(2)/2))/(LN(2)/2)*BL169*BO169*VLOOKUP('Données projet'!$B$11,Paramètres!$A$1:$I$89,3,0)*0.475*44/12</f>
        <v>1.4761204139475106E-19</v>
      </c>
      <c r="BS169" s="24">
        <f t="shared" si="169"/>
        <v>4.6196366408885563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1.9895196601282805E-13</v>
      </c>
      <c r="BZ169" s="14">
        <f>BY169*VLOOKUP('Données projet'!$B$12,Paramètres!$A$1:$I$89,3,0)*VLOOKUP('Données projet'!$B$12,Paramètres!$A$1:$I$89,5,0)</f>
        <v>1.8001173884840681E-13</v>
      </c>
      <c r="CA169" s="14">
        <f t="shared" si="170"/>
        <v>2.5254331426407198E-12</v>
      </c>
      <c r="CB169" s="22">
        <f t="shared" si="171"/>
        <v>4.7119831685935622E-12</v>
      </c>
      <c r="CC169" s="62">
        <f t="shared" si="119"/>
        <v>293.33333333333803</v>
      </c>
      <c r="CD169" s="62">
        <f ca="1">AVERAGE(OFFSET($CC$3,0,0,'Données projet'!$E$12+1,1))-AVERAGE(OFFSET($H$3,0,0,'Données projet'!$E$12+1,1))</f>
        <v>302.6112905010138</v>
      </c>
      <c r="CE169" s="62">
        <f t="shared" si="148"/>
        <v>423.44006663873375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0.56403244803355768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0.56403244803355768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187.13674266165236</v>
      </c>
      <c r="T170" s="62">
        <f t="shared" si="142"/>
        <v>439.28159165815276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-1.1368683772161603E-13</v>
      </c>
      <c r="AJ170" s="14">
        <f>AI170*VLOOKUP('Données projet'!$B$10,Paramètres!$A$1:$I$89,3,0)*VLOOKUP('Données projet'!$B$10,Paramètres!$A$1:$I$89,5,0)</f>
        <v>-9.9316821433603781E-14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327.826081588335</v>
      </c>
      <c r="AO170" s="62">
        <f t="shared" si="144"/>
        <v>348.84706693879735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0.35499973256510964</v>
      </c>
      <c r="AW170" s="23">
        <f>EXP(-LN(2)/2)*AW169+(1-EXP(-LN(2)/2))/(LN(2)/2)*AQ170*AT170*VLOOKUP('Données projet'!$B$10,Paramètres!$A$1:$I$89,3,0)*0.475*44/12</f>
        <v>3.5684468556804988E-20</v>
      </c>
      <c r="AX170" s="23">
        <f t="shared" si="166"/>
        <v>0.35499973256510964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1.1368683772161603E-13</v>
      </c>
      <c r="BE170" s="14">
        <f>BD170*VLOOKUP('Données projet'!$B$11,Paramètres!$A$1:$I$89,3,0)*VLOOKUP('Données projet'!$B$11,Paramètres!$A$1:$I$89,5,0)</f>
        <v>6.7984728957526396E-14</v>
      </c>
      <c r="BF170" s="14">
        <f t="shared" si="167"/>
        <v>1.0682447123141398E-12</v>
      </c>
      <c r="BG170" s="22">
        <f t="shared" si="168"/>
        <v>1.978932943548152E-12</v>
      </c>
      <c r="BH170" s="62">
        <f t="shared" si="116"/>
        <v>293.3333333333353</v>
      </c>
      <c r="BI170" s="62">
        <f ca="1">AVERAGE(OFFSET($BH$3,0,0,'Données projet'!$E$11+1,1))-AVERAGE(OFFSET($H$3,0,0,'Données projet'!$E$11+1,1))</f>
        <v>187.13674266165236</v>
      </c>
      <c r="BJ170" s="62">
        <f t="shared" si="146"/>
        <v>439.28159165815276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3.5365195476561628</v>
      </c>
      <c r="BQ170" s="23">
        <f>EXP(-LN(2)/25)*BQ169+(1-EXP(-LN(2)/25))/(LN(2)/25)*Calculateur!BL170*Calculateur!BN170*VLOOKUP('Données projet'!$B$11,Paramètres!$A$1:$I$89,3,0)*0.475*44/12</f>
        <v>0.98469739855799987</v>
      </c>
      <c r="BR170" s="23">
        <f>EXP(-LN(2)/2)*BR169+(1-EXP(-LN(2)/2))/(LN(2)/2)*BL170*BO170*VLOOKUP('Données projet'!$B$11,Paramètres!$A$1:$I$89,3,0)*0.475*44/12</f>
        <v>1.0437747545501784E-19</v>
      </c>
      <c r="BS170" s="24">
        <f t="shared" si="169"/>
        <v>4.5212169462141629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1.9895196601282805E-13</v>
      </c>
      <c r="BZ170" s="14">
        <f>BY170*VLOOKUP('Données projet'!$B$12,Paramètres!$A$1:$I$89,3,0)*VLOOKUP('Données projet'!$B$12,Paramètres!$A$1:$I$89,5,0)</f>
        <v>1.8001173884840681E-13</v>
      </c>
      <c r="CA170" s="14">
        <f t="shared" si="170"/>
        <v>2.5254331426407198E-12</v>
      </c>
      <c r="CB170" s="22">
        <f t="shared" si="171"/>
        <v>4.7119831685935622E-12</v>
      </c>
      <c r="CC170" s="62">
        <f t="shared" si="119"/>
        <v>293.33333333333803</v>
      </c>
      <c r="CD170" s="62">
        <f ca="1">AVERAGE(OFFSET($CC$3,0,0,'Données projet'!$E$12+1,1))-AVERAGE(OFFSET($H$3,0,0,'Données projet'!$E$12+1,1))</f>
        <v>302.6112905010138</v>
      </c>
      <c r="CE170" s="62">
        <f t="shared" si="148"/>
        <v>423.44006663873375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0.55297211575344318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0.55297211575344318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187.13674266165236</v>
      </c>
      <c r="T171" s="62">
        <f t="shared" si="142"/>
        <v>439.28159165815276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-1.1368683772161603E-13</v>
      </c>
      <c r="AJ171" s="14">
        <f>AI171*VLOOKUP('Données projet'!$B$10,Paramètres!$A$1:$I$89,3,0)*VLOOKUP('Données projet'!$B$10,Paramètres!$A$1:$I$89,5,0)</f>
        <v>-9.9316821433603781E-14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327.826081588335</v>
      </c>
      <c r="AO171" s="62">
        <f t="shared" si="144"/>
        <v>348.84706693879735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0.34529224620949212</v>
      </c>
      <c r="AW171" s="23">
        <f>EXP(-LN(2)/2)*AW170+(1-EXP(-LN(2)/2))/(LN(2)/2)*AQ171*AT171*VLOOKUP('Données projet'!$B$10,Paramètres!$A$1:$I$89,3,0)*0.475*44/12</f>
        <v>2.523272969955494E-20</v>
      </c>
      <c r="AX171" s="23">
        <f t="shared" si="166"/>
        <v>0.34529224620949212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1.1368683772161603E-13</v>
      </c>
      <c r="BE171" s="14">
        <f>BD171*VLOOKUP('Données projet'!$B$11,Paramètres!$A$1:$I$89,3,0)*VLOOKUP('Données projet'!$B$11,Paramètres!$A$1:$I$89,5,0)</f>
        <v>6.7984728957526396E-14</v>
      </c>
      <c r="BF171" s="14">
        <f t="shared" si="167"/>
        <v>1.0682447123141398E-12</v>
      </c>
      <c r="BG171" s="22">
        <f t="shared" si="168"/>
        <v>1.978932943548152E-12</v>
      </c>
      <c r="BH171" s="62">
        <f t="shared" si="116"/>
        <v>293.3333333333353</v>
      </c>
      <c r="BI171" s="62">
        <f ca="1">AVERAGE(OFFSET($BH$3,0,0,'Données projet'!$E$11+1,1))-AVERAGE(OFFSET($H$3,0,0,'Données projet'!$E$11+1,1))</f>
        <v>187.13674266165236</v>
      </c>
      <c r="BJ171" s="62">
        <f t="shared" si="146"/>
        <v>439.28159165815276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3.467170556390557</v>
      </c>
      <c r="BQ171" s="23">
        <f>EXP(-LN(2)/25)*BQ170+(1-EXP(-LN(2)/25))/(LN(2)/25)*Calculateur!BL171*Calculateur!BN171*VLOOKUP('Données projet'!$B$11,Paramètres!$A$1:$I$89,3,0)*0.475*44/12</f>
        <v>0.95777079641144569</v>
      </c>
      <c r="BR171" s="23">
        <f>EXP(-LN(2)/2)*BR170+(1-EXP(-LN(2)/2))/(LN(2)/2)*BL171*BO171*VLOOKUP('Données projet'!$B$11,Paramètres!$A$1:$I$89,3,0)*0.475*44/12</f>
        <v>7.3806020697375531E-20</v>
      </c>
      <c r="BS171" s="24">
        <f t="shared" si="169"/>
        <v>4.4249413528020032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1.9895196601282805E-13</v>
      </c>
      <c r="BZ171" s="14">
        <f>BY171*VLOOKUP('Données projet'!$B$12,Paramètres!$A$1:$I$89,3,0)*VLOOKUP('Données projet'!$B$12,Paramètres!$A$1:$I$89,5,0)</f>
        <v>1.8001173884840681E-13</v>
      </c>
      <c r="CA171" s="14">
        <f t="shared" si="170"/>
        <v>2.5254331426407198E-12</v>
      </c>
      <c r="CB171" s="22">
        <f t="shared" si="171"/>
        <v>4.7119831685935622E-12</v>
      </c>
      <c r="CC171" s="62">
        <f t="shared" si="119"/>
        <v>293.33333333333803</v>
      </c>
      <c r="CD171" s="62">
        <f ca="1">AVERAGE(OFFSET($CC$3,0,0,'Données projet'!$E$12+1,1))-AVERAGE(OFFSET($H$3,0,0,'Données projet'!$E$12+1,1))</f>
        <v>302.6112905010138</v>
      </c>
      <c r="CE171" s="62">
        <f t="shared" si="148"/>
        <v>423.44006663873375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0.54212866984320518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0.54212866984320518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187.13674266165236</v>
      </c>
      <c r="T172" s="62">
        <f t="shared" si="142"/>
        <v>439.28159165815276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-1.1368683772161603E-13</v>
      </c>
      <c r="AJ172" s="14">
        <f>AI172*VLOOKUP('Données projet'!$B$10,Paramètres!$A$1:$I$89,3,0)*VLOOKUP('Données projet'!$B$10,Paramètres!$A$1:$I$89,5,0)</f>
        <v>-9.9316821433603781E-14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327.826081588335</v>
      </c>
      <c r="AO172" s="62">
        <f t="shared" si="144"/>
        <v>348.84706693879735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0.33585021157876349</v>
      </c>
      <c r="AW172" s="23">
        <f>EXP(-LN(2)/2)*AW171+(1-EXP(-LN(2)/2))/(LN(2)/2)*AQ172*AT172*VLOOKUP('Données projet'!$B$10,Paramètres!$A$1:$I$89,3,0)*0.475*44/12</f>
        <v>1.7842234278402494E-20</v>
      </c>
      <c r="AX172" s="23">
        <f t="shared" si="166"/>
        <v>0.33585021157876349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1.1368683772161603E-13</v>
      </c>
      <c r="BE172" s="14">
        <f>BD172*VLOOKUP('Données projet'!$B$11,Paramètres!$A$1:$I$89,3,0)*VLOOKUP('Données projet'!$B$11,Paramètres!$A$1:$I$89,5,0)</f>
        <v>6.7984728957526396E-14</v>
      </c>
      <c r="BF172" s="14">
        <f t="shared" si="167"/>
        <v>1.0682447123141398E-12</v>
      </c>
      <c r="BG172" s="22">
        <f t="shared" si="168"/>
        <v>1.978932943548152E-12</v>
      </c>
      <c r="BH172" s="62">
        <f t="shared" si="116"/>
        <v>293.3333333333353</v>
      </c>
      <c r="BI172" s="62">
        <f ca="1">AVERAGE(OFFSET($BH$3,0,0,'Données projet'!$E$11+1,1))-AVERAGE(OFFSET($H$3,0,0,'Données projet'!$E$11+1,1))</f>
        <v>187.13674266165236</v>
      </c>
      <c r="BJ172" s="62">
        <f t="shared" si="146"/>
        <v>439.28159165815276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3.3991814565449618</v>
      </c>
      <c r="BQ172" s="23">
        <f>EXP(-LN(2)/25)*BQ171+(1-EXP(-LN(2)/25))/(LN(2)/25)*Calculateur!BL172*Calculateur!BN172*VLOOKUP('Données projet'!$B$11,Paramètres!$A$1:$I$89,3,0)*0.475*44/12</f>
        <v>0.9315805036165975</v>
      </c>
      <c r="BR172" s="23">
        <f>EXP(-LN(2)/2)*BR171+(1-EXP(-LN(2)/2))/(LN(2)/2)*BL172*BO172*VLOOKUP('Données projet'!$B$11,Paramètres!$A$1:$I$89,3,0)*0.475*44/12</f>
        <v>5.2188737727508918E-20</v>
      </c>
      <c r="BS172" s="24">
        <f t="shared" si="169"/>
        <v>4.330761960161559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1.9895196601282805E-13</v>
      </c>
      <c r="BZ172" s="14">
        <f>BY172*VLOOKUP('Données projet'!$B$12,Paramètres!$A$1:$I$89,3,0)*VLOOKUP('Données projet'!$B$12,Paramètres!$A$1:$I$89,5,0)</f>
        <v>1.8001173884840681E-13</v>
      </c>
      <c r="CA172" s="14">
        <f t="shared" si="170"/>
        <v>2.5254331426407198E-12</v>
      </c>
      <c r="CB172" s="22">
        <f t="shared" si="171"/>
        <v>4.7119831685935622E-12</v>
      </c>
      <c r="CC172" s="62">
        <f t="shared" si="119"/>
        <v>293.33333333333803</v>
      </c>
      <c r="CD172" s="62">
        <f ca="1">AVERAGE(OFFSET($CC$3,0,0,'Données projet'!$E$12+1,1))-AVERAGE(OFFSET($H$3,0,0,'Données projet'!$E$12+1,1))</f>
        <v>302.6112905010138</v>
      </c>
      <c r="CE172" s="62">
        <f t="shared" si="148"/>
        <v>423.44006663873375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0.53149785729341803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0.53149785729341803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187.13674266165236</v>
      </c>
      <c r="T173" s="62">
        <f t="shared" si="142"/>
        <v>439.28159165815276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-1.1368683772161603E-13</v>
      </c>
      <c r="AJ173" s="14">
        <f>AI173*VLOOKUP('Données projet'!$B$10,Paramètres!$A$1:$I$89,3,0)*VLOOKUP('Données projet'!$B$10,Paramètres!$A$1:$I$89,5,0)</f>
        <v>-9.9316821433603781E-14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327.826081588335</v>
      </c>
      <c r="AO173" s="62">
        <f t="shared" si="144"/>
        <v>348.84706693879735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0.32666636988154718</v>
      </c>
      <c r="AW173" s="23">
        <f>EXP(-LN(2)/2)*AW172+(1-EXP(-LN(2)/2))/(LN(2)/2)*AQ173*AT173*VLOOKUP('Données projet'!$B$10,Paramètres!$A$1:$I$89,3,0)*0.475*44/12</f>
        <v>1.261636484977747E-20</v>
      </c>
      <c r="AX173" s="23">
        <f t="shared" si="166"/>
        <v>0.32666636988154718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1.1368683772161603E-13</v>
      </c>
      <c r="BE173" s="14">
        <f>BD173*VLOOKUP('Données projet'!$B$11,Paramètres!$A$1:$I$89,3,0)*VLOOKUP('Données projet'!$B$11,Paramètres!$A$1:$I$89,5,0)</f>
        <v>6.7984728957526396E-14</v>
      </c>
      <c r="BF173" s="14">
        <f t="shared" si="167"/>
        <v>1.0682447123141398E-12</v>
      </c>
      <c r="BG173" s="22">
        <f t="shared" si="168"/>
        <v>1.978932943548152E-12</v>
      </c>
      <c r="BH173" s="62">
        <f t="shared" si="116"/>
        <v>293.3333333333353</v>
      </c>
      <c r="BI173" s="62">
        <f ca="1">AVERAGE(OFFSET($BH$3,0,0,'Données projet'!$E$11+1,1))-AVERAGE(OFFSET($H$3,0,0,'Données projet'!$E$11+1,1))</f>
        <v>187.13674266165236</v>
      </c>
      <c r="BJ173" s="62">
        <f t="shared" si="146"/>
        <v>439.28159165815276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3.3325255814780825</v>
      </c>
      <c r="BQ173" s="23">
        <f>EXP(-LN(2)/25)*BQ172+(1-EXP(-LN(2)/25))/(LN(2)/25)*Calculateur!BL173*Calculateur!BN173*VLOOKUP('Données projet'!$B$11,Paramètres!$A$1:$I$89,3,0)*0.475*44/12</f>
        <v>0.90610638575551217</v>
      </c>
      <c r="BR173" s="23">
        <f>EXP(-LN(2)/2)*BR172+(1-EXP(-LN(2)/2))/(LN(2)/2)*BL173*BO173*VLOOKUP('Données projet'!$B$11,Paramètres!$A$1:$I$89,3,0)*0.475*44/12</f>
        <v>3.6903010348687766E-20</v>
      </c>
      <c r="BS173" s="24">
        <f t="shared" si="169"/>
        <v>4.2386319672335944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1.9895196601282805E-13</v>
      </c>
      <c r="BZ173" s="14">
        <f>BY173*VLOOKUP('Données projet'!$B$12,Paramètres!$A$1:$I$89,3,0)*VLOOKUP('Données projet'!$B$12,Paramètres!$A$1:$I$89,5,0)</f>
        <v>1.8001173884840681E-13</v>
      </c>
      <c r="CA173" s="14">
        <f t="shared" si="170"/>
        <v>2.5254331426407198E-12</v>
      </c>
      <c r="CB173" s="22">
        <f t="shared" si="171"/>
        <v>4.7119831685935622E-12</v>
      </c>
      <c r="CC173" s="62">
        <f t="shared" si="119"/>
        <v>293.33333333333803</v>
      </c>
      <c r="CD173" s="62">
        <f ca="1">AVERAGE(OFFSET($CC$3,0,0,'Données projet'!$E$12+1,1))-AVERAGE(OFFSET($H$3,0,0,'Données projet'!$E$12+1,1))</f>
        <v>302.6112905010138</v>
      </c>
      <c r="CE173" s="62">
        <f t="shared" si="148"/>
        <v>423.44006663873375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0.52107550849357676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0.52107550849357676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187.13674266165236</v>
      </c>
      <c r="T174" s="62">
        <f t="shared" si="142"/>
        <v>439.28159165815276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-1.1368683772161603E-13</v>
      </c>
      <c r="AJ174" s="14">
        <f>AI174*VLOOKUP('Données projet'!$B$10,Paramètres!$A$1:$I$89,3,0)*VLOOKUP('Données projet'!$B$10,Paramètres!$A$1:$I$89,5,0)</f>
        <v>-9.9316821433603781E-14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327.826081588335</v>
      </c>
      <c r="AO174" s="62">
        <f t="shared" si="144"/>
        <v>348.84706693879735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0.31773366081849846</v>
      </c>
      <c r="AW174" s="23">
        <f>EXP(-LN(2)/2)*AW173+(1-EXP(-LN(2)/2))/(LN(2)/2)*AQ174*AT174*VLOOKUP('Données projet'!$B$10,Paramètres!$A$1:$I$89,3,0)*0.475*44/12</f>
        <v>8.9211171392012471E-21</v>
      </c>
      <c r="AX174" s="23">
        <f t="shared" si="166"/>
        <v>0.31773366081849846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1.1368683772161603E-13</v>
      </c>
      <c r="BE174" s="14">
        <f>BD174*VLOOKUP('Données projet'!$B$11,Paramètres!$A$1:$I$89,3,0)*VLOOKUP('Données projet'!$B$11,Paramètres!$A$1:$I$89,5,0)</f>
        <v>6.7984728957526396E-14</v>
      </c>
      <c r="BF174" s="14">
        <f t="shared" si="167"/>
        <v>1.0682447123141398E-12</v>
      </c>
      <c r="BG174" s="22">
        <f t="shared" si="168"/>
        <v>1.978932943548152E-12</v>
      </c>
      <c r="BH174" s="62">
        <f t="shared" si="116"/>
        <v>293.3333333333353</v>
      </c>
      <c r="BI174" s="62">
        <f ca="1">AVERAGE(OFFSET($BH$3,0,0,'Données projet'!$E$11+1,1))-AVERAGE(OFFSET($H$3,0,0,'Données projet'!$E$11+1,1))</f>
        <v>187.13674266165236</v>
      </c>
      <c r="BJ174" s="62">
        <f t="shared" si="146"/>
        <v>439.28159165815276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3.2671767874651954</v>
      </c>
      <c r="BQ174" s="23">
        <f>EXP(-LN(2)/25)*BQ173+(1-EXP(-LN(2)/25))/(LN(2)/25)*Calculateur!BL174*Calculateur!BN174*VLOOKUP('Données projet'!$B$11,Paramètres!$A$1:$I$89,3,0)*0.475*44/12</f>
        <v>0.88132885898696378</v>
      </c>
      <c r="BR174" s="23">
        <f>EXP(-LN(2)/2)*BR173+(1-EXP(-LN(2)/2))/(LN(2)/2)*BL174*BO174*VLOOKUP('Données projet'!$B$11,Paramètres!$A$1:$I$89,3,0)*0.475*44/12</f>
        <v>2.6094368863754459E-20</v>
      </c>
      <c r="BS174" s="24">
        <f t="shared" si="169"/>
        <v>4.1485056464521595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1.9895196601282805E-13</v>
      </c>
      <c r="BZ174" s="14">
        <f>BY174*VLOOKUP('Données projet'!$B$12,Paramètres!$A$1:$I$89,3,0)*VLOOKUP('Données projet'!$B$12,Paramètres!$A$1:$I$89,5,0)</f>
        <v>1.8001173884840681E-13</v>
      </c>
      <c r="CA174" s="14">
        <f t="shared" si="170"/>
        <v>2.5254331426407198E-12</v>
      </c>
      <c r="CB174" s="22">
        <f t="shared" si="171"/>
        <v>4.7119831685935622E-12</v>
      </c>
      <c r="CC174" s="62">
        <f t="shared" si="119"/>
        <v>293.33333333333803</v>
      </c>
      <c r="CD174" s="62">
        <f ca="1">AVERAGE(OFFSET($CC$3,0,0,'Données projet'!$E$12+1,1))-AVERAGE(OFFSET($H$3,0,0,'Données projet'!$E$12+1,1))</f>
        <v>302.6112905010138</v>
      </c>
      <c r="CE174" s="62">
        <f t="shared" si="148"/>
        <v>423.44006663873375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0.51085753559669533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0.51085753559669533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187.13674266165236</v>
      </c>
      <c r="T175" s="62">
        <f t="shared" si="142"/>
        <v>439.28159165815276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-1.1368683772161603E-13</v>
      </c>
      <c r="AJ175" s="14">
        <f>AI175*VLOOKUP('Données projet'!$B$10,Paramètres!$A$1:$I$89,3,0)*VLOOKUP('Données projet'!$B$10,Paramètres!$A$1:$I$89,5,0)</f>
        <v>-9.9316821433603781E-14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327.826081588335</v>
      </c>
      <c r="AO175" s="62">
        <f t="shared" si="144"/>
        <v>348.84706693879735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0.30904521715452959</v>
      </c>
      <c r="AW175" s="23">
        <f>EXP(-LN(2)/2)*AW174+(1-EXP(-LN(2)/2))/(LN(2)/2)*AQ175*AT175*VLOOKUP('Données projet'!$B$10,Paramètres!$A$1:$I$89,3,0)*0.475*44/12</f>
        <v>6.3081824248887351E-21</v>
      </c>
      <c r="AX175" s="23">
        <f t="shared" si="166"/>
        <v>0.30904521715452959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1.1368683772161603E-13</v>
      </c>
      <c r="BE175" s="14">
        <f>BD175*VLOOKUP('Données projet'!$B$11,Paramètres!$A$1:$I$89,3,0)*VLOOKUP('Données projet'!$B$11,Paramètres!$A$1:$I$89,5,0)</f>
        <v>6.7984728957526396E-14</v>
      </c>
      <c r="BF175" s="14">
        <f t="shared" si="167"/>
        <v>1.0682447123141398E-12</v>
      </c>
      <c r="BG175" s="22">
        <f t="shared" si="168"/>
        <v>1.978932943548152E-12</v>
      </c>
      <c r="BH175" s="62">
        <f t="shared" si="116"/>
        <v>293.3333333333353</v>
      </c>
      <c r="BI175" s="62">
        <f ca="1">AVERAGE(OFFSET($BH$3,0,0,'Données projet'!$E$11+1,1))-AVERAGE(OFFSET($H$3,0,0,'Données projet'!$E$11+1,1))</f>
        <v>187.13674266165236</v>
      </c>
      <c r="BJ175" s="62">
        <f t="shared" si="146"/>
        <v>439.28159165815276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3.2031094434440726</v>
      </c>
      <c r="BQ175" s="23">
        <f>EXP(-LN(2)/25)*BQ174+(1-EXP(-LN(2)/25))/(LN(2)/25)*Calculateur!BL175*Calculateur!BN175*VLOOKUP('Données projet'!$B$11,Paramètres!$A$1:$I$89,3,0)*0.475*44/12</f>
        <v>0.85722887499089484</v>
      </c>
      <c r="BR175" s="23">
        <f>EXP(-LN(2)/2)*BR174+(1-EXP(-LN(2)/2))/(LN(2)/2)*BL175*BO175*VLOOKUP('Données projet'!$B$11,Paramètres!$A$1:$I$89,3,0)*0.475*44/12</f>
        <v>1.8451505174343883E-20</v>
      </c>
      <c r="BS175" s="24">
        <f t="shared" si="169"/>
        <v>4.0603383184349671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1.9895196601282805E-13</v>
      </c>
      <c r="BZ175" s="14">
        <f>BY175*VLOOKUP('Données projet'!$B$12,Paramètres!$A$1:$I$89,3,0)*VLOOKUP('Données projet'!$B$12,Paramètres!$A$1:$I$89,5,0)</f>
        <v>1.8001173884840681E-13</v>
      </c>
      <c r="CA175" s="14">
        <f t="shared" si="170"/>
        <v>2.5254331426407198E-12</v>
      </c>
      <c r="CB175" s="22">
        <f t="shared" si="171"/>
        <v>4.7119831685935622E-12</v>
      </c>
      <c r="CC175" s="62">
        <f t="shared" si="119"/>
        <v>293.33333333333803</v>
      </c>
      <c r="CD175" s="62">
        <f ca="1">AVERAGE(OFFSET($CC$3,0,0,'Données projet'!$E$12+1,1))-AVERAGE(OFFSET($H$3,0,0,'Données projet'!$E$12+1,1))</f>
        <v>302.6112905010138</v>
      </c>
      <c r="CE175" s="62">
        <f t="shared" si="148"/>
        <v>423.44006663873375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0.50083993091597367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0.50083993091597367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187.13674266165236</v>
      </c>
      <c r="T176" s="62">
        <f t="shared" si="142"/>
        <v>439.28159165815276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-1.1368683772161603E-13</v>
      </c>
      <c r="AJ176" s="14">
        <f>AI176*VLOOKUP('Données projet'!$B$10,Paramètres!$A$1:$I$89,3,0)*VLOOKUP('Données projet'!$B$10,Paramètres!$A$1:$I$89,5,0)</f>
        <v>-9.9316821433603781E-14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327.826081588335</v>
      </c>
      <c r="AO176" s="62">
        <f t="shared" si="144"/>
        <v>348.84706693879735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0.30059435943945734</v>
      </c>
      <c r="AW176" s="23">
        <f>EXP(-LN(2)/2)*AW175+(1-EXP(-LN(2)/2))/(LN(2)/2)*AQ176*AT176*VLOOKUP('Données projet'!$B$10,Paramètres!$A$1:$I$89,3,0)*0.475*44/12</f>
        <v>4.4605585696006235E-21</v>
      </c>
      <c r="AX176" s="23">
        <f t="shared" si="166"/>
        <v>0.30059435943945734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1.1368683772161603E-13</v>
      </c>
      <c r="BE176" s="14">
        <f>BD176*VLOOKUP('Données projet'!$B$11,Paramètres!$A$1:$I$89,3,0)*VLOOKUP('Données projet'!$B$11,Paramètres!$A$1:$I$89,5,0)</f>
        <v>6.7984728957526396E-14</v>
      </c>
      <c r="BF176" s="14">
        <f t="shared" si="167"/>
        <v>1.0682447123141398E-12</v>
      </c>
      <c r="BG176" s="22">
        <f t="shared" si="168"/>
        <v>1.978932943548152E-12</v>
      </c>
      <c r="BH176" s="62">
        <f t="shared" si="116"/>
        <v>293.3333333333353</v>
      </c>
      <c r="BI176" s="62">
        <f ca="1">AVERAGE(OFFSET($BH$3,0,0,'Données projet'!$E$11+1,1))-AVERAGE(OFFSET($H$3,0,0,'Données projet'!$E$11+1,1))</f>
        <v>187.13674266165236</v>
      </c>
      <c r="BJ176" s="62">
        <f t="shared" si="146"/>
        <v>439.28159165815276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3.1402984209619826</v>
      </c>
      <c r="BQ176" s="23">
        <f>EXP(-LN(2)/25)*BQ175+(1-EXP(-LN(2)/25))/(LN(2)/25)*Calculateur!BL176*Calculateur!BN176*VLOOKUP('Données projet'!$B$11,Paramètres!$A$1:$I$89,3,0)*0.475*44/12</f>
        <v>0.83378790632456146</v>
      </c>
      <c r="BR176" s="23">
        <f>EXP(-LN(2)/2)*BR175+(1-EXP(-LN(2)/2))/(LN(2)/2)*BL176*BO176*VLOOKUP('Données projet'!$B$11,Paramètres!$A$1:$I$89,3,0)*0.475*44/12</f>
        <v>1.3047184431877229E-20</v>
      </c>
      <c r="BS176" s="24">
        <f t="shared" si="169"/>
        <v>3.9740863272865443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1.9895196601282805E-13</v>
      </c>
      <c r="BZ176" s="14">
        <f>BY176*VLOOKUP('Données projet'!$B$12,Paramètres!$A$1:$I$89,3,0)*VLOOKUP('Données projet'!$B$12,Paramètres!$A$1:$I$89,5,0)</f>
        <v>1.8001173884840681E-13</v>
      </c>
      <c r="CA176" s="14">
        <f t="shared" si="170"/>
        <v>2.5254331426407198E-12</v>
      </c>
      <c r="CB176" s="22">
        <f t="shared" si="171"/>
        <v>4.7119831685935622E-12</v>
      </c>
      <c r="CC176" s="62">
        <f t="shared" si="119"/>
        <v>293.33333333333803</v>
      </c>
      <c r="CD176" s="62">
        <f ca="1">AVERAGE(OFFSET($CC$3,0,0,'Données projet'!$E$12+1,1))-AVERAGE(OFFSET($H$3,0,0,'Données projet'!$E$12+1,1))</f>
        <v>302.6112905010138</v>
      </c>
      <c r="CE176" s="62">
        <f t="shared" si="148"/>
        <v>423.44006663873375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0.49101876535290545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0.49101876535290545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187.13674266165236</v>
      </c>
      <c r="T177" s="62">
        <f t="shared" si="142"/>
        <v>439.28159165815276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-1.1368683772161603E-13</v>
      </c>
      <c r="AJ177" s="14">
        <f>AI177*VLOOKUP('Données projet'!$B$10,Paramètres!$A$1:$I$89,3,0)*VLOOKUP('Données projet'!$B$10,Paramètres!$A$1:$I$89,5,0)</f>
        <v>-9.9316821433603781E-14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327.826081588335</v>
      </c>
      <c r="AO177" s="62">
        <f t="shared" si="144"/>
        <v>348.84706693879735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0.29237459087301504</v>
      </c>
      <c r="AW177" s="23">
        <f>EXP(-LN(2)/2)*AW176+(1-EXP(-LN(2)/2))/(LN(2)/2)*AQ177*AT177*VLOOKUP('Données projet'!$B$10,Paramètres!$A$1:$I$89,3,0)*0.475*44/12</f>
        <v>3.1540912124443676E-21</v>
      </c>
      <c r="AX177" s="23">
        <f t="shared" si="166"/>
        <v>0.29237459087301504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1.1368683772161603E-13</v>
      </c>
      <c r="BE177" s="14">
        <f>BD177*VLOOKUP('Données projet'!$B$11,Paramètres!$A$1:$I$89,3,0)*VLOOKUP('Données projet'!$B$11,Paramètres!$A$1:$I$89,5,0)</f>
        <v>6.7984728957526396E-14</v>
      </c>
      <c r="BF177" s="14">
        <f t="shared" si="167"/>
        <v>1.0682447123141398E-12</v>
      </c>
      <c r="BG177" s="22">
        <f t="shared" si="168"/>
        <v>1.978932943548152E-12</v>
      </c>
      <c r="BH177" s="62">
        <f t="shared" si="116"/>
        <v>293.3333333333353</v>
      </c>
      <c r="BI177" s="62">
        <f ca="1">AVERAGE(OFFSET($BH$3,0,0,'Données projet'!$E$11+1,1))-AVERAGE(OFFSET($H$3,0,0,'Données projet'!$E$11+1,1))</f>
        <v>187.13674266165236</v>
      </c>
      <c r="BJ177" s="62">
        <f t="shared" si="146"/>
        <v>439.28159165815276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3.0787190843198258</v>
      </c>
      <c r="BQ177" s="23">
        <f>EXP(-LN(2)/25)*BQ176+(1-EXP(-LN(2)/25))/(LN(2)/25)*Calculateur!BL177*Calculateur!BN177*VLOOKUP('Données projet'!$B$11,Paramètres!$A$1:$I$89,3,0)*0.475*44/12</f>
        <v>0.81098793217911602</v>
      </c>
      <c r="BR177" s="23">
        <f>EXP(-LN(2)/2)*BR176+(1-EXP(-LN(2)/2))/(LN(2)/2)*BL177*BO177*VLOOKUP('Données projet'!$B$11,Paramètres!$A$1:$I$89,3,0)*0.475*44/12</f>
        <v>9.2257525871719414E-21</v>
      </c>
      <c r="BS177" s="24">
        <f t="shared" si="169"/>
        <v>3.8897070164989418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1.9895196601282805E-13</v>
      </c>
      <c r="BZ177" s="14">
        <f>BY177*VLOOKUP('Données projet'!$B$12,Paramètres!$A$1:$I$89,3,0)*VLOOKUP('Données projet'!$B$12,Paramètres!$A$1:$I$89,5,0)</f>
        <v>1.8001173884840681E-13</v>
      </c>
      <c r="CA177" s="14">
        <f t="shared" si="170"/>
        <v>2.5254331426407198E-12</v>
      </c>
      <c r="CB177" s="22">
        <f t="shared" si="171"/>
        <v>4.7119831685935622E-12</v>
      </c>
      <c r="CC177" s="62">
        <f t="shared" si="119"/>
        <v>293.33333333333803</v>
      </c>
      <c r="CD177" s="62">
        <f ca="1">AVERAGE(OFFSET($CC$3,0,0,'Données projet'!$E$12+1,1))-AVERAGE(OFFSET($H$3,0,0,'Données projet'!$E$12+1,1))</f>
        <v>302.6112905010138</v>
      </c>
      <c r="CE177" s="62">
        <f t="shared" si="148"/>
        <v>423.44006663873375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0.48139018685620949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0.48139018685620949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187.13674266165236</v>
      </c>
      <c r="T178" s="62">
        <f t="shared" si="142"/>
        <v>439.28159165815276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-1.1368683772161603E-13</v>
      </c>
      <c r="AJ178" s="14">
        <f>AI178*VLOOKUP('Données projet'!$B$10,Paramètres!$A$1:$I$89,3,0)*VLOOKUP('Données projet'!$B$10,Paramètres!$A$1:$I$89,5,0)</f>
        <v>-9.9316821433603781E-14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327.826081588335</v>
      </c>
      <c r="AO178" s="62">
        <f t="shared" si="144"/>
        <v>348.84706693879735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0.28437959231028093</v>
      </c>
      <c r="AW178" s="23">
        <f>EXP(-LN(2)/2)*AW177+(1-EXP(-LN(2)/2))/(LN(2)/2)*AQ178*AT178*VLOOKUP('Données projet'!$B$10,Paramètres!$A$1:$I$89,3,0)*0.475*44/12</f>
        <v>2.2302792848003118E-21</v>
      </c>
      <c r="AX178" s="23">
        <f t="shared" si="166"/>
        <v>0.28437959231028093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1.1368683772161603E-13</v>
      </c>
      <c r="BE178" s="14">
        <f>BD178*VLOOKUP('Données projet'!$B$11,Paramètres!$A$1:$I$89,3,0)*VLOOKUP('Données projet'!$B$11,Paramètres!$A$1:$I$89,5,0)</f>
        <v>6.7984728957526396E-14</v>
      </c>
      <c r="BF178" s="14">
        <f t="shared" si="167"/>
        <v>1.0682447123141398E-12</v>
      </c>
      <c r="BG178" s="22">
        <f t="shared" si="168"/>
        <v>1.978932943548152E-12</v>
      </c>
      <c r="BH178" s="62">
        <f t="shared" si="116"/>
        <v>293.3333333333353</v>
      </c>
      <c r="BI178" s="62">
        <f ca="1">AVERAGE(OFFSET($BH$3,0,0,'Données projet'!$E$11+1,1))-AVERAGE(OFFSET($H$3,0,0,'Données projet'!$E$11+1,1))</f>
        <v>187.13674266165236</v>
      </c>
      <c r="BJ178" s="62">
        <f t="shared" si="146"/>
        <v>439.28159165815276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3.0183472809095346</v>
      </c>
      <c r="BQ178" s="23">
        <f>EXP(-LN(2)/25)*BQ177+(1-EXP(-LN(2)/25))/(LN(2)/25)*Calculateur!BL178*Calculateur!BN178*VLOOKUP('Données projet'!$B$11,Paramètres!$A$1:$I$89,3,0)*0.475*44/12</f>
        <v>0.78881142452567632</v>
      </c>
      <c r="BR178" s="23">
        <f>EXP(-LN(2)/2)*BR177+(1-EXP(-LN(2)/2))/(LN(2)/2)*BL178*BO178*VLOOKUP('Données projet'!$B$11,Paramètres!$A$1:$I$89,3,0)*0.475*44/12</f>
        <v>6.5235922159386147E-21</v>
      </c>
      <c r="BS178" s="24">
        <f t="shared" si="169"/>
        <v>3.807158705435211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1.9895196601282805E-13</v>
      </c>
      <c r="BZ178" s="14">
        <f>BY178*VLOOKUP('Données projet'!$B$12,Paramètres!$A$1:$I$89,3,0)*VLOOKUP('Données projet'!$B$12,Paramètres!$A$1:$I$89,5,0)</f>
        <v>1.8001173884840681E-13</v>
      </c>
      <c r="CA178" s="14">
        <f t="shared" si="170"/>
        <v>2.5254331426407198E-12</v>
      </c>
      <c r="CB178" s="22">
        <f t="shared" si="171"/>
        <v>4.7119831685935622E-12</v>
      </c>
      <c r="CC178" s="62">
        <f t="shared" si="119"/>
        <v>293.33333333333803</v>
      </c>
      <c r="CD178" s="62">
        <f ca="1">AVERAGE(OFFSET($CC$3,0,0,'Données projet'!$E$12+1,1))-AVERAGE(OFFSET($H$3,0,0,'Données projet'!$E$12+1,1))</f>
        <v>302.6112905010138</v>
      </c>
      <c r="CE178" s="62">
        <f t="shared" si="148"/>
        <v>423.44006663873375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0.47195041891098072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0.47195041891098072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187.13674266165236</v>
      </c>
      <c r="T179" s="62">
        <f t="shared" si="142"/>
        <v>439.28159165815276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-1.1368683772161603E-13</v>
      </c>
      <c r="AJ179" s="14">
        <f>AI179*VLOOKUP('Données projet'!$B$10,Paramètres!$A$1:$I$89,3,0)*VLOOKUP('Données projet'!$B$10,Paramètres!$A$1:$I$89,5,0)</f>
        <v>-9.9316821433603781E-14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327.826081588335</v>
      </c>
      <c r="AO179" s="62">
        <f t="shared" si="144"/>
        <v>348.84706693879735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0.27660321740368349</v>
      </c>
      <c r="AW179" s="23">
        <f>EXP(-LN(2)/2)*AW178+(1-EXP(-LN(2)/2))/(LN(2)/2)*AQ179*AT179*VLOOKUP('Données projet'!$B$10,Paramètres!$A$1:$I$89,3,0)*0.475*44/12</f>
        <v>1.5770456062221838E-21</v>
      </c>
      <c r="AX179" s="23">
        <f t="shared" si="166"/>
        <v>0.27660321740368349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1.1368683772161603E-13</v>
      </c>
      <c r="BE179" s="14">
        <f>BD179*VLOOKUP('Données projet'!$B$11,Paramètres!$A$1:$I$89,3,0)*VLOOKUP('Données projet'!$B$11,Paramètres!$A$1:$I$89,5,0)</f>
        <v>6.7984728957526396E-14</v>
      </c>
      <c r="BF179" s="14">
        <f t="shared" si="167"/>
        <v>1.0682447123141398E-12</v>
      </c>
      <c r="BG179" s="22">
        <f t="shared" si="168"/>
        <v>1.978932943548152E-12</v>
      </c>
      <c r="BH179" s="62">
        <f t="shared" si="116"/>
        <v>293.3333333333353</v>
      </c>
      <c r="BI179" s="62">
        <f ca="1">AVERAGE(OFFSET($BH$3,0,0,'Données projet'!$E$11+1,1))-AVERAGE(OFFSET($H$3,0,0,'Données projet'!$E$11+1,1))</f>
        <v>187.13674266165236</v>
      </c>
      <c r="BJ179" s="62">
        <f t="shared" si="146"/>
        <v>439.28159165815276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2.9591593317409552</v>
      </c>
      <c r="BQ179" s="23">
        <f>EXP(-LN(2)/25)*BQ178+(1-EXP(-LN(2)/25))/(LN(2)/25)*Calculateur!BL179*Calculateur!BN179*VLOOKUP('Données projet'!$B$11,Paramètres!$A$1:$I$89,3,0)*0.475*44/12</f>
        <v>0.7672413346402317</v>
      </c>
      <c r="BR179" s="23">
        <f>EXP(-LN(2)/2)*BR178+(1-EXP(-LN(2)/2))/(LN(2)/2)*BL179*BO179*VLOOKUP('Données projet'!$B$11,Paramètres!$A$1:$I$89,3,0)*0.475*44/12</f>
        <v>4.6128762935859707E-21</v>
      </c>
      <c r="BS179" s="24">
        <f t="shared" si="169"/>
        <v>3.7264006663811871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1.9895196601282805E-13</v>
      </c>
      <c r="BZ179" s="14">
        <f>BY179*VLOOKUP('Données projet'!$B$12,Paramètres!$A$1:$I$89,3,0)*VLOOKUP('Données projet'!$B$12,Paramètres!$A$1:$I$89,5,0)</f>
        <v>1.8001173884840681E-13</v>
      </c>
      <c r="CA179" s="14">
        <f t="shared" si="170"/>
        <v>2.5254331426407198E-12</v>
      </c>
      <c r="CB179" s="22">
        <f t="shared" si="171"/>
        <v>4.7119831685935622E-12</v>
      </c>
      <c r="CC179" s="62">
        <f t="shared" si="119"/>
        <v>293.33333333333803</v>
      </c>
      <c r="CD179" s="62">
        <f ca="1">AVERAGE(OFFSET($CC$3,0,0,'Données projet'!$E$12+1,1))-AVERAGE(OFFSET($H$3,0,0,'Données projet'!$E$12+1,1))</f>
        <v>302.6112905010138</v>
      </c>
      <c r="CE179" s="62">
        <f t="shared" si="148"/>
        <v>423.44006663873375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0.46269575905746796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0.46269575905746796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187.13674266165236</v>
      </c>
      <c r="T180" s="62">
        <f t="shared" si="142"/>
        <v>439.28159165815276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-1.1368683772161603E-13</v>
      </c>
      <c r="AJ180" s="14">
        <f>AI180*VLOOKUP('Données projet'!$B$10,Paramètres!$A$1:$I$89,3,0)*VLOOKUP('Données projet'!$B$10,Paramètres!$A$1:$I$89,5,0)</f>
        <v>-9.9316821433603781E-14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327.826081588335</v>
      </c>
      <c r="AO180" s="62">
        <f t="shared" si="144"/>
        <v>348.84706693879735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0.26903948787784876</v>
      </c>
      <c r="AW180" s="23">
        <f>EXP(-LN(2)/2)*AW179+(1-EXP(-LN(2)/2))/(LN(2)/2)*AQ180*AT180*VLOOKUP('Données projet'!$B$10,Paramètres!$A$1:$I$89,3,0)*0.475*44/12</f>
        <v>1.1151396424001559E-21</v>
      </c>
      <c r="AX180" s="23">
        <f t="shared" si="166"/>
        <v>0.26903948787784876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1.1368683772161603E-13</v>
      </c>
      <c r="BE180" s="14">
        <f>BD180*VLOOKUP('Données projet'!$B$11,Paramètres!$A$1:$I$89,3,0)*VLOOKUP('Données projet'!$B$11,Paramètres!$A$1:$I$89,5,0)</f>
        <v>6.7984728957526396E-14</v>
      </c>
      <c r="BF180" s="14">
        <f t="shared" si="167"/>
        <v>1.0682447123141398E-12</v>
      </c>
      <c r="BG180" s="22">
        <f t="shared" si="168"/>
        <v>1.978932943548152E-12</v>
      </c>
      <c r="BH180" s="62">
        <f t="shared" si="116"/>
        <v>293.3333333333353</v>
      </c>
      <c r="BI180" s="62">
        <f ca="1">AVERAGE(OFFSET($BH$3,0,0,'Données projet'!$E$11+1,1))-AVERAGE(OFFSET($H$3,0,0,'Données projet'!$E$11+1,1))</f>
        <v>187.13674266165236</v>
      </c>
      <c r="BJ180" s="62">
        <f t="shared" si="146"/>
        <v>439.28159165815276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2.9011320221544876</v>
      </c>
      <c r="BQ180" s="23">
        <f>EXP(-LN(2)/25)*BQ179+(1-EXP(-LN(2)/25))/(LN(2)/25)*Calculateur!BL180*Calculateur!BN180*VLOOKUP('Données projet'!$B$11,Paramètres!$A$1:$I$89,3,0)*0.475*44/12</f>
        <v>0.74626107999702629</v>
      </c>
      <c r="BR180" s="23">
        <f>EXP(-LN(2)/2)*BR179+(1-EXP(-LN(2)/2))/(LN(2)/2)*BL180*BO180*VLOOKUP('Données projet'!$B$11,Paramètres!$A$1:$I$89,3,0)*0.475*44/12</f>
        <v>3.2617961079693074E-21</v>
      </c>
      <c r="BS180" s="24">
        <f t="shared" si="169"/>
        <v>3.647393102151514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1.9895196601282805E-13</v>
      </c>
      <c r="BZ180" s="14">
        <f>BY180*VLOOKUP('Données projet'!$B$12,Paramètres!$A$1:$I$89,3,0)*VLOOKUP('Données projet'!$B$12,Paramètres!$A$1:$I$89,5,0)</f>
        <v>1.8001173884840681E-13</v>
      </c>
      <c r="CA180" s="14">
        <f t="shared" si="170"/>
        <v>2.5254331426407198E-12</v>
      </c>
      <c r="CB180" s="22">
        <f t="shared" si="171"/>
        <v>4.7119831685935622E-12</v>
      </c>
      <c r="CC180" s="62">
        <f t="shared" si="119"/>
        <v>293.33333333333803</v>
      </c>
      <c r="CD180" s="62">
        <f ca="1">AVERAGE(OFFSET($CC$3,0,0,'Données projet'!$E$12+1,1))-AVERAGE(OFFSET($H$3,0,0,'Données projet'!$E$12+1,1))</f>
        <v>302.6112905010138</v>
      </c>
      <c r="CE180" s="62">
        <f t="shared" si="148"/>
        <v>423.44006663873375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0.45362257743889745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0.45362257743889745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187.13674266165236</v>
      </c>
      <c r="T181" s="62">
        <f t="shared" si="142"/>
        <v>439.28159165815276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-1.1368683772161603E-13</v>
      </c>
      <c r="AJ181" s="14">
        <f>AI181*VLOOKUP('Données projet'!$B$10,Paramètres!$A$1:$I$89,3,0)*VLOOKUP('Données projet'!$B$10,Paramètres!$A$1:$I$89,5,0)</f>
        <v>-9.9316821433603781E-14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327.826081588335</v>
      </c>
      <c r="AO181" s="62">
        <f t="shared" si="144"/>
        <v>348.84706693879735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0.2616825889336572</v>
      </c>
      <c r="AW181" s="23">
        <f>EXP(-LN(2)/2)*AW180+(1-EXP(-LN(2)/2))/(LN(2)/2)*AQ181*AT181*VLOOKUP('Données projet'!$B$10,Paramètres!$A$1:$I$89,3,0)*0.475*44/12</f>
        <v>7.8852280311109189E-22</v>
      </c>
      <c r="AX181" s="23">
        <f t="shared" si="166"/>
        <v>0.2616825889336572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1.1368683772161603E-13</v>
      </c>
      <c r="BE181" s="14">
        <f>BD181*VLOOKUP('Données projet'!$B$11,Paramètres!$A$1:$I$89,3,0)*VLOOKUP('Données projet'!$B$11,Paramètres!$A$1:$I$89,5,0)</f>
        <v>6.7984728957526396E-14</v>
      </c>
      <c r="BF181" s="14">
        <f t="shared" si="167"/>
        <v>1.0682447123141398E-12</v>
      </c>
      <c r="BG181" s="22">
        <f t="shared" si="168"/>
        <v>1.978932943548152E-12</v>
      </c>
      <c r="BH181" s="62">
        <f t="shared" si="116"/>
        <v>293.3333333333353</v>
      </c>
      <c r="BI181" s="62">
        <f ca="1">AVERAGE(OFFSET($BH$3,0,0,'Données projet'!$E$11+1,1))-AVERAGE(OFFSET($H$3,0,0,'Données projet'!$E$11+1,1))</f>
        <v>187.13674266165236</v>
      </c>
      <c r="BJ181" s="62">
        <f t="shared" si="146"/>
        <v>439.28159165815276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2.8442425927158466</v>
      </c>
      <c r="BQ181" s="23">
        <f>EXP(-LN(2)/25)*BQ180+(1-EXP(-LN(2)/25))/(LN(2)/25)*Calculateur!BL181*Calculateur!BN181*VLOOKUP('Données projet'!$B$11,Paramètres!$A$1:$I$89,3,0)*0.475*44/12</f>
        <v>0.72585453152034296</v>
      </c>
      <c r="BR181" s="23">
        <f>EXP(-LN(2)/2)*BR180+(1-EXP(-LN(2)/2))/(LN(2)/2)*BL181*BO181*VLOOKUP('Données projet'!$B$11,Paramètres!$A$1:$I$89,3,0)*0.475*44/12</f>
        <v>2.3064381467929853E-21</v>
      </c>
      <c r="BS181" s="24">
        <f t="shared" si="169"/>
        <v>3.5700971242361894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1.9895196601282805E-13</v>
      </c>
      <c r="BZ181" s="14">
        <f>BY181*VLOOKUP('Données projet'!$B$12,Paramètres!$A$1:$I$89,3,0)*VLOOKUP('Données projet'!$B$12,Paramètres!$A$1:$I$89,5,0)</f>
        <v>1.8001173884840681E-13</v>
      </c>
      <c r="CA181" s="14">
        <f t="shared" si="170"/>
        <v>2.5254331426407198E-12</v>
      </c>
      <c r="CB181" s="22">
        <f t="shared" si="171"/>
        <v>4.7119831685935622E-12</v>
      </c>
      <c r="CC181" s="62">
        <f t="shared" si="119"/>
        <v>293.33333333333803</v>
      </c>
      <c r="CD181" s="62">
        <f ca="1">AVERAGE(OFFSET($CC$3,0,0,'Données projet'!$E$12+1,1))-AVERAGE(OFFSET($H$3,0,0,'Données projet'!$E$12+1,1))</f>
        <v>302.6112905010138</v>
      </c>
      <c r="CE181" s="62">
        <f t="shared" si="148"/>
        <v>423.44006663873375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0.44472731537777277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0.44472731537777277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187.13674266165236</v>
      </c>
      <c r="T182" s="62">
        <f t="shared" si="142"/>
        <v>439.28159165815276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-1.1368683772161603E-13</v>
      </c>
      <c r="AJ182" s="14">
        <f>AI182*VLOOKUP('Données projet'!$B$10,Paramètres!$A$1:$I$89,3,0)*VLOOKUP('Données projet'!$B$10,Paramètres!$A$1:$I$89,5,0)</f>
        <v>-9.9316821433603781E-14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327.826081588335</v>
      </c>
      <c r="AO182" s="62">
        <f t="shared" si="144"/>
        <v>348.84706693879735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0.25452686477797709</v>
      </c>
      <c r="AW182" s="23">
        <f>EXP(-LN(2)/2)*AW181+(1-EXP(-LN(2)/2))/(LN(2)/2)*AQ182*AT182*VLOOKUP('Données projet'!$B$10,Paramètres!$A$1:$I$89,3,0)*0.475*44/12</f>
        <v>5.5756982120007794E-22</v>
      </c>
      <c r="AX182" s="23">
        <f t="shared" si="166"/>
        <v>0.25452686477797709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1.1368683772161603E-13</v>
      </c>
      <c r="BE182" s="14">
        <f>BD182*VLOOKUP('Données projet'!$B$11,Paramètres!$A$1:$I$89,3,0)*VLOOKUP('Données projet'!$B$11,Paramètres!$A$1:$I$89,5,0)</f>
        <v>6.7984728957526396E-14</v>
      </c>
      <c r="BF182" s="14">
        <f t="shared" si="167"/>
        <v>1.0682447123141398E-12</v>
      </c>
      <c r="BG182" s="22">
        <f t="shared" si="168"/>
        <v>1.978932943548152E-12</v>
      </c>
      <c r="BH182" s="62">
        <f t="shared" si="116"/>
        <v>293.3333333333353</v>
      </c>
      <c r="BI182" s="62">
        <f ca="1">AVERAGE(OFFSET($BH$3,0,0,'Données projet'!$E$11+1,1))-AVERAGE(OFFSET($H$3,0,0,'Données projet'!$E$11+1,1))</f>
        <v>187.13674266165236</v>
      </c>
      <c r="BJ182" s="62">
        <f t="shared" si="146"/>
        <v>439.28159165815276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2.7884687302893716</v>
      </c>
      <c r="BQ182" s="23">
        <f>EXP(-LN(2)/25)*BQ181+(1-EXP(-LN(2)/25))/(LN(2)/25)*Calculateur!BL182*Calculateur!BN182*VLOOKUP('Données projet'!$B$11,Paramètres!$A$1:$I$89,3,0)*0.475*44/12</f>
        <v>0.70600600118488832</v>
      </c>
      <c r="BR182" s="23">
        <f>EXP(-LN(2)/2)*BR181+(1-EXP(-LN(2)/2))/(LN(2)/2)*BL182*BO182*VLOOKUP('Données projet'!$B$11,Paramètres!$A$1:$I$89,3,0)*0.475*44/12</f>
        <v>1.6308980539846537E-21</v>
      </c>
      <c r="BS182" s="24">
        <f t="shared" si="169"/>
        <v>3.4944747314742601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1.9895196601282805E-13</v>
      </c>
      <c r="BZ182" s="14">
        <f>BY182*VLOOKUP('Données projet'!$B$12,Paramètres!$A$1:$I$89,3,0)*VLOOKUP('Données projet'!$B$12,Paramètres!$A$1:$I$89,5,0)</f>
        <v>1.8001173884840681E-13</v>
      </c>
      <c r="CA182" s="14">
        <f t="shared" si="170"/>
        <v>2.5254331426407198E-12</v>
      </c>
      <c r="CB182" s="22">
        <f t="shared" si="171"/>
        <v>4.7119831685935622E-12</v>
      </c>
      <c r="CC182" s="62">
        <f t="shared" si="119"/>
        <v>293.33333333333803</v>
      </c>
      <c r="CD182" s="62">
        <f ca="1">AVERAGE(OFFSET($CC$3,0,0,'Données projet'!$E$12+1,1))-AVERAGE(OFFSET($H$3,0,0,'Données projet'!$E$12+1,1))</f>
        <v>302.6112905010138</v>
      </c>
      <c r="CE182" s="62">
        <f t="shared" si="148"/>
        <v>423.44006663873375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0.43600648398009262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0.43600648398009262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187.13674266165236</v>
      </c>
      <c r="T183" s="62">
        <f t="shared" si="142"/>
        <v>439.28159165815276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-1.1368683772161603E-13</v>
      </c>
      <c r="AJ183" s="14">
        <f>AI183*VLOOKUP('Données projet'!$B$10,Paramètres!$A$1:$I$89,3,0)*VLOOKUP('Données projet'!$B$10,Paramètres!$A$1:$I$89,5,0)</f>
        <v>-9.9316821433603781E-14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327.826081588335</v>
      </c>
      <c r="AO183" s="62">
        <f t="shared" si="144"/>
        <v>348.84706693879735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0.24756681427563723</v>
      </c>
      <c r="AW183" s="23">
        <f>EXP(-LN(2)/2)*AW182+(1-EXP(-LN(2)/2))/(LN(2)/2)*AQ183*AT183*VLOOKUP('Données projet'!$B$10,Paramètres!$A$1:$I$89,3,0)*0.475*44/12</f>
        <v>3.9426140155554595E-22</v>
      </c>
      <c r="AX183" s="23">
        <f t="shared" si="166"/>
        <v>0.24756681427563723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1.1368683772161603E-13</v>
      </c>
      <c r="BE183" s="14">
        <f>BD183*VLOOKUP('Données projet'!$B$11,Paramètres!$A$1:$I$89,3,0)*VLOOKUP('Données projet'!$B$11,Paramètres!$A$1:$I$89,5,0)</f>
        <v>6.7984728957526396E-14</v>
      </c>
      <c r="BF183" s="14">
        <f t="shared" si="167"/>
        <v>1.0682447123141398E-12</v>
      </c>
      <c r="BG183" s="22">
        <f t="shared" si="168"/>
        <v>1.978932943548152E-12</v>
      </c>
      <c r="BH183" s="62">
        <f t="shared" si="116"/>
        <v>293.3333333333353</v>
      </c>
      <c r="BI183" s="62">
        <f ca="1">AVERAGE(OFFSET($BH$3,0,0,'Données projet'!$E$11+1,1))-AVERAGE(OFFSET($H$3,0,0,'Données projet'!$E$11+1,1))</f>
        <v>187.13674266165236</v>
      </c>
      <c r="BJ183" s="62">
        <f t="shared" si="146"/>
        <v>439.28159165815276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2.7337885592863826</v>
      </c>
      <c r="BQ183" s="23">
        <f>EXP(-LN(2)/25)*BQ182+(1-EXP(-LN(2)/25))/(LN(2)/25)*Calculateur!BL183*Calculateur!BN183*VLOOKUP('Données projet'!$B$11,Paramètres!$A$1:$I$89,3,0)*0.475*44/12</f>
        <v>0.6867002299552456</v>
      </c>
      <c r="BR183" s="23">
        <f>EXP(-LN(2)/2)*BR182+(1-EXP(-LN(2)/2))/(LN(2)/2)*BL183*BO183*VLOOKUP('Données projet'!$B$11,Paramètres!$A$1:$I$89,3,0)*0.475*44/12</f>
        <v>1.1532190733964927E-21</v>
      </c>
      <c r="BS183" s="24">
        <f t="shared" si="169"/>
        <v>3.4204887892416282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1.9895196601282805E-13</v>
      </c>
      <c r="BZ183" s="14">
        <f>BY183*VLOOKUP('Données projet'!$B$12,Paramètres!$A$1:$I$89,3,0)*VLOOKUP('Données projet'!$B$12,Paramètres!$A$1:$I$89,5,0)</f>
        <v>1.8001173884840681E-13</v>
      </c>
      <c r="CA183" s="14">
        <f t="shared" si="170"/>
        <v>2.5254331426407198E-12</v>
      </c>
      <c r="CB183" s="22">
        <f t="shared" si="171"/>
        <v>4.7119831685935622E-12</v>
      </c>
      <c r="CC183" s="62">
        <f t="shared" si="119"/>
        <v>293.33333333333803</v>
      </c>
      <c r="CD183" s="62">
        <f ca="1">AVERAGE(OFFSET($CC$3,0,0,'Données projet'!$E$12+1,1))-AVERAGE(OFFSET($H$3,0,0,'Données projet'!$E$12+1,1))</f>
        <v>302.6112905010138</v>
      </c>
      <c r="CE183" s="62">
        <f t="shared" si="148"/>
        <v>423.44006663873375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0.42745666276693906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0.42745666276693906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187.13674266165236</v>
      </c>
      <c r="T184" s="62">
        <f t="shared" si="142"/>
        <v>439.28159165815276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-1.1368683772161603E-13</v>
      </c>
      <c r="AJ184" s="14">
        <f>AI184*VLOOKUP('Données projet'!$B$10,Paramètres!$A$1:$I$89,3,0)*VLOOKUP('Données projet'!$B$10,Paramètres!$A$1:$I$89,5,0)</f>
        <v>-9.9316821433603781E-14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327.826081588335</v>
      </c>
      <c r="AO184" s="62">
        <f t="shared" si="144"/>
        <v>348.84706693879735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0.24079708672029698</v>
      </c>
      <c r="AW184" s="23">
        <f>EXP(-LN(2)/2)*AW183+(1-EXP(-LN(2)/2))/(LN(2)/2)*AQ184*AT184*VLOOKUP('Données projet'!$B$10,Paramètres!$A$1:$I$89,3,0)*0.475*44/12</f>
        <v>2.7878491060003897E-22</v>
      </c>
      <c r="AX184" s="23">
        <f t="shared" si="166"/>
        <v>0.24079708672029698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1.1368683772161603E-13</v>
      </c>
      <c r="BE184" s="14">
        <f>BD184*VLOOKUP('Données projet'!$B$11,Paramètres!$A$1:$I$89,3,0)*VLOOKUP('Données projet'!$B$11,Paramètres!$A$1:$I$89,5,0)</f>
        <v>6.7984728957526396E-14</v>
      </c>
      <c r="BF184" s="14">
        <f t="shared" si="167"/>
        <v>1.0682447123141398E-12</v>
      </c>
      <c r="BG184" s="22">
        <f t="shared" si="168"/>
        <v>1.978932943548152E-12</v>
      </c>
      <c r="BH184" s="62">
        <f t="shared" si="116"/>
        <v>293.3333333333353</v>
      </c>
      <c r="BI184" s="62">
        <f ca="1">AVERAGE(OFFSET($BH$3,0,0,'Données projet'!$E$11+1,1))-AVERAGE(OFFSET($H$3,0,0,'Données projet'!$E$11+1,1))</f>
        <v>187.13674266165236</v>
      </c>
      <c r="BJ184" s="62">
        <f t="shared" si="146"/>
        <v>439.28159165815276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2.680180633085151</v>
      </c>
      <c r="BQ184" s="23">
        <f>EXP(-LN(2)/25)*BQ183+(1-EXP(-LN(2)/25))/(LN(2)/25)*Calculateur!BL184*Calculateur!BN184*VLOOKUP('Données projet'!$B$11,Paramètres!$A$1:$I$89,3,0)*0.475*44/12</f>
        <v>0.66792237605512383</v>
      </c>
      <c r="BR184" s="23">
        <f>EXP(-LN(2)/2)*BR183+(1-EXP(-LN(2)/2))/(LN(2)/2)*BL184*BO184*VLOOKUP('Données projet'!$B$11,Paramètres!$A$1:$I$89,3,0)*0.475*44/12</f>
        <v>8.1544902699232684E-22</v>
      </c>
      <c r="BS184" s="24">
        <f t="shared" si="169"/>
        <v>3.3481030091402748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1.9895196601282805E-13</v>
      </c>
      <c r="BZ184" s="14">
        <f>BY184*VLOOKUP('Données projet'!$B$12,Paramètres!$A$1:$I$89,3,0)*VLOOKUP('Données projet'!$B$12,Paramètres!$A$1:$I$89,5,0)</f>
        <v>1.8001173884840681E-13</v>
      </c>
      <c r="CA184" s="14">
        <f t="shared" si="170"/>
        <v>2.5254331426407198E-12</v>
      </c>
      <c r="CB184" s="22">
        <f t="shared" si="171"/>
        <v>4.7119831685935622E-12</v>
      </c>
      <c r="CC184" s="62">
        <f t="shared" si="119"/>
        <v>293.33333333333803</v>
      </c>
      <c r="CD184" s="62">
        <f ca="1">AVERAGE(OFFSET($CC$3,0,0,'Données projet'!$E$12+1,1))-AVERAGE(OFFSET($H$3,0,0,'Données projet'!$E$12+1,1))</f>
        <v>302.6112905010138</v>
      </c>
      <c r="CE184" s="62">
        <f t="shared" si="148"/>
        <v>423.44006663873375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0.41907449833289945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0.41907449833289945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187.13674266165236</v>
      </c>
      <c r="T185" s="62">
        <f t="shared" si="142"/>
        <v>439.28159165815276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-1.1368683772161603E-13</v>
      </c>
      <c r="AJ185" s="14">
        <f>AI185*VLOOKUP('Données projet'!$B$10,Paramètres!$A$1:$I$89,3,0)*VLOOKUP('Données projet'!$B$10,Paramètres!$A$1:$I$89,5,0)</f>
        <v>-9.9316821433603781E-14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327.826081588335</v>
      </c>
      <c r="AO185" s="62">
        <f t="shared" si="144"/>
        <v>348.84706693879735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0.23421247772096201</v>
      </c>
      <c r="AW185" s="23">
        <f>EXP(-LN(2)/2)*AW184+(1-EXP(-LN(2)/2))/(LN(2)/2)*AQ185*AT185*VLOOKUP('Données projet'!$B$10,Paramètres!$A$1:$I$89,3,0)*0.475*44/12</f>
        <v>1.9713070077777297E-22</v>
      </c>
      <c r="AX185" s="23">
        <f t="shared" si="166"/>
        <v>0.23421247772096201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1.1368683772161603E-13</v>
      </c>
      <c r="BE185" s="14">
        <f>BD185*VLOOKUP('Données projet'!$B$11,Paramètres!$A$1:$I$89,3,0)*VLOOKUP('Données projet'!$B$11,Paramètres!$A$1:$I$89,5,0)</f>
        <v>6.7984728957526396E-14</v>
      </c>
      <c r="BF185" s="14">
        <f t="shared" si="167"/>
        <v>1.0682447123141398E-12</v>
      </c>
      <c r="BG185" s="22">
        <f t="shared" si="168"/>
        <v>1.978932943548152E-12</v>
      </c>
      <c r="BH185" s="62">
        <f t="shared" si="116"/>
        <v>293.3333333333353</v>
      </c>
      <c r="BI185" s="62">
        <f ca="1">AVERAGE(OFFSET($BH$3,0,0,'Données projet'!$E$11+1,1))-AVERAGE(OFFSET($H$3,0,0,'Données projet'!$E$11+1,1))</f>
        <v>187.13674266165236</v>
      </c>
      <c r="BJ185" s="62">
        <f t="shared" si="146"/>
        <v>439.28159165815276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2.6276239256191194</v>
      </c>
      <c r="BQ185" s="23">
        <f>EXP(-LN(2)/25)*BQ184+(1-EXP(-LN(2)/25))/(LN(2)/25)*Calculateur!BL185*Calculateur!BN185*VLOOKUP('Données projet'!$B$11,Paramètres!$A$1:$I$89,3,0)*0.475*44/12</f>
        <v>0.64965800355738523</v>
      </c>
      <c r="BR185" s="23">
        <f>EXP(-LN(2)/2)*BR184+(1-EXP(-LN(2)/2))/(LN(2)/2)*BL185*BO185*VLOOKUP('Données projet'!$B$11,Paramètres!$A$1:$I$89,3,0)*0.475*44/12</f>
        <v>5.7660953669824634E-22</v>
      </c>
      <c r="BS185" s="24">
        <f t="shared" si="169"/>
        <v>3.2772819291765045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1.9895196601282805E-13</v>
      </c>
      <c r="BZ185" s="14">
        <f>BY185*VLOOKUP('Données projet'!$B$12,Paramètres!$A$1:$I$89,3,0)*VLOOKUP('Données projet'!$B$12,Paramètres!$A$1:$I$89,5,0)</f>
        <v>1.8001173884840681E-13</v>
      </c>
      <c r="CA185" s="14">
        <f t="shared" si="170"/>
        <v>2.5254331426407198E-12</v>
      </c>
      <c r="CB185" s="22">
        <f t="shared" si="171"/>
        <v>4.7119831685935622E-12</v>
      </c>
      <c r="CC185" s="62">
        <f t="shared" si="119"/>
        <v>293.33333333333803</v>
      </c>
      <c r="CD185" s="62">
        <f ca="1">AVERAGE(OFFSET($CC$3,0,0,'Données projet'!$E$12+1,1))-AVERAGE(OFFSET($H$3,0,0,'Données projet'!$E$12+1,1))</f>
        <v>302.6112905010138</v>
      </c>
      <c r="CE185" s="62">
        <f t="shared" si="148"/>
        <v>423.44006663873375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0.41085670303079586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0.41085670303079586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187.13674266165236</v>
      </c>
      <c r="T186" s="62">
        <f t="shared" si="142"/>
        <v>439.28159165815276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-1.1368683772161603E-13</v>
      </c>
      <c r="AJ186" s="14">
        <f>AI186*VLOOKUP('Données projet'!$B$10,Paramètres!$A$1:$I$89,3,0)*VLOOKUP('Données projet'!$B$10,Paramètres!$A$1:$I$89,5,0)</f>
        <v>-9.9316821433603781E-14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327.826081588335</v>
      </c>
      <c r="AO186" s="62">
        <f t="shared" si="144"/>
        <v>348.84706693879735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0.22780792520098339</v>
      </c>
      <c r="AW186" s="23">
        <f>EXP(-LN(2)/2)*AW185+(1-EXP(-LN(2)/2))/(LN(2)/2)*AQ186*AT186*VLOOKUP('Données projet'!$B$10,Paramètres!$A$1:$I$89,3,0)*0.475*44/12</f>
        <v>1.3939245530001949E-22</v>
      </c>
      <c r="AX186" s="23">
        <f t="shared" si="166"/>
        <v>0.22780792520098339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1.1368683772161603E-13</v>
      </c>
      <c r="BE186" s="14">
        <f>BD186*VLOOKUP('Données projet'!$B$11,Paramètres!$A$1:$I$89,3,0)*VLOOKUP('Données projet'!$B$11,Paramètres!$A$1:$I$89,5,0)</f>
        <v>6.7984728957526396E-14</v>
      </c>
      <c r="BF186" s="14">
        <f t="shared" si="167"/>
        <v>1.0682447123141398E-12</v>
      </c>
      <c r="BG186" s="22">
        <f t="shared" si="168"/>
        <v>1.978932943548152E-12</v>
      </c>
      <c r="BH186" s="62">
        <f t="shared" si="116"/>
        <v>293.3333333333353</v>
      </c>
      <c r="BI186" s="62">
        <f ca="1">AVERAGE(OFFSET($BH$3,0,0,'Données projet'!$E$11+1,1))-AVERAGE(OFFSET($H$3,0,0,'Données projet'!$E$11+1,1))</f>
        <v>187.13674266165236</v>
      </c>
      <c r="BJ186" s="62">
        <f t="shared" si="146"/>
        <v>439.28159165815276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2.5760978231300702</v>
      </c>
      <c r="BQ186" s="23">
        <f>EXP(-LN(2)/25)*BQ185+(1-EXP(-LN(2)/25))/(LN(2)/25)*Calculateur!BL186*Calculateur!BN186*VLOOKUP('Données projet'!$B$11,Paramètres!$A$1:$I$89,3,0)*0.475*44/12</f>
        <v>0.63189307128607897</v>
      </c>
      <c r="BR186" s="23">
        <f>EXP(-LN(2)/2)*BR185+(1-EXP(-LN(2)/2))/(LN(2)/2)*BL186*BO186*VLOOKUP('Données projet'!$B$11,Paramètres!$A$1:$I$89,3,0)*0.475*44/12</f>
        <v>4.0772451349616342E-22</v>
      </c>
      <c r="BS186" s="24">
        <f t="shared" si="169"/>
        <v>3.2079908944161493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1.9895196601282805E-13</v>
      </c>
      <c r="BZ186" s="14">
        <f>BY186*VLOOKUP('Données projet'!$B$12,Paramètres!$A$1:$I$89,3,0)*VLOOKUP('Données projet'!$B$12,Paramètres!$A$1:$I$89,5,0)</f>
        <v>1.8001173884840681E-13</v>
      </c>
      <c r="CA186" s="14">
        <f t="shared" si="170"/>
        <v>2.5254331426407198E-12</v>
      </c>
      <c r="CB186" s="22">
        <f t="shared" si="171"/>
        <v>4.7119831685935622E-12</v>
      </c>
      <c r="CC186" s="62">
        <f t="shared" si="119"/>
        <v>293.33333333333803</v>
      </c>
      <c r="CD186" s="62">
        <f ca="1">AVERAGE(OFFSET($CC$3,0,0,'Données projet'!$E$12+1,1))-AVERAGE(OFFSET($H$3,0,0,'Données projet'!$E$12+1,1))</f>
        <v>302.6112905010138</v>
      </c>
      <c r="CE186" s="62">
        <f t="shared" si="148"/>
        <v>423.44006663873375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0.40280005368220634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0.40280005368220634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187.13674266165236</v>
      </c>
      <c r="T187" s="62">
        <f t="shared" si="142"/>
        <v>439.28159165815276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-1.1368683772161603E-13</v>
      </c>
      <c r="AJ187" s="14">
        <f>AI187*VLOOKUP('Données projet'!$B$10,Paramètres!$A$1:$I$89,3,0)*VLOOKUP('Données projet'!$B$10,Paramètres!$A$1:$I$89,5,0)</f>
        <v>-9.9316821433603781E-14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327.826081588335</v>
      </c>
      <c r="AO187" s="62">
        <f t="shared" si="144"/>
        <v>348.84706693879735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0.22157850550646438</v>
      </c>
      <c r="AW187" s="23">
        <f>EXP(-LN(2)/2)*AW186+(1-EXP(-LN(2)/2))/(LN(2)/2)*AQ187*AT187*VLOOKUP('Données projet'!$B$10,Paramètres!$A$1:$I$89,3,0)*0.475*44/12</f>
        <v>9.8565350388886486E-23</v>
      </c>
      <c r="AX187" s="23">
        <f t="shared" si="166"/>
        <v>0.22157850550646438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1.1368683772161603E-13</v>
      </c>
      <c r="BE187" s="14">
        <f>BD187*VLOOKUP('Données projet'!$B$11,Paramètres!$A$1:$I$89,3,0)*VLOOKUP('Données projet'!$B$11,Paramètres!$A$1:$I$89,5,0)</f>
        <v>6.7984728957526396E-14</v>
      </c>
      <c r="BF187" s="14">
        <f t="shared" si="167"/>
        <v>1.0682447123141398E-12</v>
      </c>
      <c r="BG187" s="22">
        <f t="shared" si="168"/>
        <v>1.978932943548152E-12</v>
      </c>
      <c r="BH187" s="62">
        <f t="shared" si="116"/>
        <v>293.3333333333353</v>
      </c>
      <c r="BI187" s="62">
        <f ca="1">AVERAGE(OFFSET($BH$3,0,0,'Données projet'!$E$11+1,1))-AVERAGE(OFFSET($H$3,0,0,'Données projet'!$E$11+1,1))</f>
        <v>187.13674266165236</v>
      </c>
      <c r="BJ187" s="62">
        <f t="shared" si="146"/>
        <v>439.28159165815276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2.5255821160830121</v>
      </c>
      <c r="BQ187" s="23">
        <f>EXP(-LN(2)/25)*BQ186+(1-EXP(-LN(2)/25))/(LN(2)/25)*Calculateur!BL187*Calculateur!BN187*VLOOKUP('Données projet'!$B$11,Paramètres!$A$1:$I$89,3,0)*0.475*44/12</f>
        <v>0.61461392202194876</v>
      </c>
      <c r="BR187" s="23">
        <f>EXP(-LN(2)/2)*BR186+(1-EXP(-LN(2)/2))/(LN(2)/2)*BL187*BO187*VLOOKUP('Données projet'!$B$11,Paramètres!$A$1:$I$89,3,0)*0.475*44/12</f>
        <v>2.8830476834912317E-22</v>
      </c>
      <c r="BS187" s="24">
        <f t="shared" si="169"/>
        <v>3.140196038104961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1.9895196601282805E-13</v>
      </c>
      <c r="BZ187" s="14">
        <f>BY187*VLOOKUP('Données projet'!$B$12,Paramètres!$A$1:$I$89,3,0)*VLOOKUP('Données projet'!$B$12,Paramètres!$A$1:$I$89,5,0)</f>
        <v>1.8001173884840681E-13</v>
      </c>
      <c r="CA187" s="14">
        <f t="shared" si="170"/>
        <v>2.5254331426407198E-12</v>
      </c>
      <c r="CB187" s="22">
        <f t="shared" si="171"/>
        <v>4.7119831685935622E-12</v>
      </c>
      <c r="CC187" s="62">
        <f t="shared" si="119"/>
        <v>293.33333333333803</v>
      </c>
      <c r="CD187" s="62">
        <f ca="1">AVERAGE(OFFSET($CC$3,0,0,'Données projet'!$E$12+1,1))-AVERAGE(OFFSET($H$3,0,0,'Données projet'!$E$12+1,1))</f>
        <v>302.6112905010138</v>
      </c>
      <c r="CE187" s="62">
        <f t="shared" si="148"/>
        <v>423.44006663873375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0.39490139031327176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0.39490139031327176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187.13674266165236</v>
      </c>
      <c r="T188" s="62">
        <f t="shared" si="142"/>
        <v>439.28159165815276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-1.1368683772161603E-13</v>
      </c>
      <c r="AJ188" s="14">
        <f>AI188*VLOOKUP('Données projet'!$B$10,Paramètres!$A$1:$I$89,3,0)*VLOOKUP('Données projet'!$B$10,Paramètres!$A$1:$I$89,5,0)</f>
        <v>-9.9316821433603781E-14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327.826081588335</v>
      </c>
      <c r="AO188" s="62">
        <f t="shared" si="144"/>
        <v>348.84706693879735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0.21551942962108292</v>
      </c>
      <c r="AW188" s="23">
        <f>EXP(-LN(2)/2)*AW187+(1-EXP(-LN(2)/2))/(LN(2)/2)*AQ188*AT188*VLOOKUP('Données projet'!$B$10,Paramètres!$A$1:$I$89,3,0)*0.475*44/12</f>
        <v>6.9696227650009743E-23</v>
      </c>
      <c r="AX188" s="23">
        <f t="shared" si="166"/>
        <v>0.21551942962108292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1.1368683772161603E-13</v>
      </c>
      <c r="BE188" s="14">
        <f>BD188*VLOOKUP('Données projet'!$B$11,Paramètres!$A$1:$I$89,3,0)*VLOOKUP('Données projet'!$B$11,Paramètres!$A$1:$I$89,5,0)</f>
        <v>6.7984728957526396E-14</v>
      </c>
      <c r="BF188" s="14">
        <f t="shared" si="167"/>
        <v>1.0682447123141398E-12</v>
      </c>
      <c r="BG188" s="22">
        <f t="shared" si="168"/>
        <v>1.978932943548152E-12</v>
      </c>
      <c r="BH188" s="62">
        <f t="shared" si="116"/>
        <v>293.3333333333353</v>
      </c>
      <c r="BI188" s="62">
        <f ca="1">AVERAGE(OFFSET($BH$3,0,0,'Données projet'!$E$11+1,1))-AVERAGE(OFFSET($H$3,0,0,'Données projet'!$E$11+1,1))</f>
        <v>187.13674266165236</v>
      </c>
      <c r="BJ188" s="62">
        <f t="shared" si="146"/>
        <v>439.28159165815276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2.476056991239608</v>
      </c>
      <c r="BQ188" s="23">
        <f>EXP(-LN(2)/25)*BQ187+(1-EXP(-LN(2)/25))/(LN(2)/25)*Calculateur!BL188*Calculateur!BN188*VLOOKUP('Données projet'!$B$11,Paramètres!$A$1:$I$89,3,0)*0.475*44/12</f>
        <v>0.59780727200311712</v>
      </c>
      <c r="BR188" s="23">
        <f>EXP(-LN(2)/2)*BR187+(1-EXP(-LN(2)/2))/(LN(2)/2)*BL188*BO188*VLOOKUP('Données projet'!$B$11,Paramètres!$A$1:$I$89,3,0)*0.475*44/12</f>
        <v>2.0386225674808171E-22</v>
      </c>
      <c r="BS188" s="24">
        <f t="shared" si="169"/>
        <v>3.0738642632427249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1.9895196601282805E-13</v>
      </c>
      <c r="BZ188" s="14">
        <f>BY188*VLOOKUP('Données projet'!$B$12,Paramètres!$A$1:$I$89,3,0)*VLOOKUP('Données projet'!$B$12,Paramètres!$A$1:$I$89,5,0)</f>
        <v>1.8001173884840681E-13</v>
      </c>
      <c r="CA188" s="14">
        <f t="shared" si="170"/>
        <v>2.5254331426407198E-12</v>
      </c>
      <c r="CB188" s="22">
        <f t="shared" si="171"/>
        <v>4.7119831685935622E-12</v>
      </c>
      <c r="CC188" s="62">
        <f t="shared" si="119"/>
        <v>293.33333333333803</v>
      </c>
      <c r="CD188" s="62">
        <f ca="1">AVERAGE(OFFSET($CC$3,0,0,'Données projet'!$E$12+1,1))-AVERAGE(OFFSET($H$3,0,0,'Données projet'!$E$12+1,1))</f>
        <v>302.6112905010138</v>
      </c>
      <c r="CE188" s="62">
        <f t="shared" si="148"/>
        <v>423.44006663873375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0.38715761491529305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0.38715761491529305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187.13674266165236</v>
      </c>
      <c r="T189" s="62">
        <f t="shared" si="142"/>
        <v>439.28159165815276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-1.1368683772161603E-13</v>
      </c>
      <c r="AJ189" s="14">
        <f>AI189*VLOOKUP('Données projet'!$B$10,Paramètres!$A$1:$I$89,3,0)*VLOOKUP('Données projet'!$B$10,Paramètres!$A$1:$I$89,5,0)</f>
        <v>-9.9316821433603781E-14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327.826081588335</v>
      </c>
      <c r="AO189" s="62">
        <f t="shared" si="144"/>
        <v>348.84706693879735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0.20962603948442018</v>
      </c>
      <c r="AW189" s="23">
        <f>EXP(-LN(2)/2)*AW188+(1-EXP(-LN(2)/2))/(LN(2)/2)*AQ189*AT189*VLOOKUP('Données projet'!$B$10,Paramètres!$A$1:$I$89,3,0)*0.475*44/12</f>
        <v>4.9282675194443243E-23</v>
      </c>
      <c r="AX189" s="23">
        <f t="shared" si="166"/>
        <v>0.20962603948442018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1.1368683772161603E-13</v>
      </c>
      <c r="BE189" s="14">
        <f>BD189*VLOOKUP('Données projet'!$B$11,Paramètres!$A$1:$I$89,3,0)*VLOOKUP('Données projet'!$B$11,Paramètres!$A$1:$I$89,5,0)</f>
        <v>6.7984728957526396E-14</v>
      </c>
      <c r="BF189" s="14">
        <f t="shared" si="167"/>
        <v>1.0682447123141398E-12</v>
      </c>
      <c r="BG189" s="22">
        <f t="shared" si="168"/>
        <v>1.978932943548152E-12</v>
      </c>
      <c r="BH189" s="62">
        <f t="shared" si="116"/>
        <v>293.3333333333353</v>
      </c>
      <c r="BI189" s="62">
        <f ca="1">AVERAGE(OFFSET($BH$3,0,0,'Données projet'!$E$11+1,1))-AVERAGE(OFFSET($H$3,0,0,'Données projet'!$E$11+1,1))</f>
        <v>187.13674266165236</v>
      </c>
      <c r="BJ189" s="62">
        <f t="shared" si="146"/>
        <v>439.28159165815276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2.4275030238870396</v>
      </c>
      <c r="BQ189" s="23">
        <f>EXP(-LN(2)/25)*BQ188+(1-EXP(-LN(2)/25))/(LN(2)/25)*Calculateur!BL189*Calculateur!BN189*VLOOKUP('Données projet'!$B$11,Paramètres!$A$1:$I$89,3,0)*0.475*44/12</f>
        <v>0.58146020071287374</v>
      </c>
      <c r="BR189" s="23">
        <f>EXP(-LN(2)/2)*BR188+(1-EXP(-LN(2)/2))/(LN(2)/2)*BL189*BO189*VLOOKUP('Données projet'!$B$11,Paramètres!$A$1:$I$89,3,0)*0.475*44/12</f>
        <v>1.4415238417456158E-22</v>
      </c>
      <c r="BS189" s="24">
        <f t="shared" si="169"/>
        <v>3.0089632245999134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1.9895196601282805E-13</v>
      </c>
      <c r="BZ189" s="14">
        <f>BY189*VLOOKUP('Données projet'!$B$12,Paramètres!$A$1:$I$89,3,0)*VLOOKUP('Données projet'!$B$12,Paramètres!$A$1:$I$89,5,0)</f>
        <v>1.8001173884840681E-13</v>
      </c>
      <c r="CA189" s="14">
        <f t="shared" si="170"/>
        <v>2.5254331426407198E-12</v>
      </c>
      <c r="CB189" s="22">
        <f t="shared" si="171"/>
        <v>4.7119831685935622E-12</v>
      </c>
      <c r="CC189" s="62">
        <f t="shared" si="119"/>
        <v>293.33333333333803</v>
      </c>
      <c r="CD189" s="62">
        <f ca="1">AVERAGE(OFFSET($CC$3,0,0,'Données projet'!$E$12+1,1))-AVERAGE(OFFSET($H$3,0,0,'Données projet'!$E$12+1,1))</f>
        <v>302.6112905010138</v>
      </c>
      <c r="CE189" s="62">
        <f t="shared" si="148"/>
        <v>423.44006663873375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0.3795656902296321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0.3795656902296321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187.13674266165236</v>
      </c>
      <c r="T190" s="62">
        <f t="shared" si="142"/>
        <v>439.28159165815276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-1.1368683772161603E-13</v>
      </c>
      <c r="AJ190" s="14">
        <f>AI190*VLOOKUP('Données projet'!$B$10,Paramètres!$A$1:$I$89,3,0)*VLOOKUP('Données projet'!$B$10,Paramètres!$A$1:$I$89,5,0)</f>
        <v>-9.9316821433603781E-14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327.826081588335</v>
      </c>
      <c r="AO190" s="62">
        <f t="shared" si="144"/>
        <v>348.84706693879735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0.20389380441096441</v>
      </c>
      <c r="AW190" s="23">
        <f>EXP(-LN(2)/2)*AW189+(1-EXP(-LN(2)/2))/(LN(2)/2)*AQ190*AT190*VLOOKUP('Données projet'!$B$10,Paramètres!$A$1:$I$89,3,0)*0.475*44/12</f>
        <v>3.4848113825004871E-23</v>
      </c>
      <c r="AX190" s="23">
        <f t="shared" si="166"/>
        <v>0.20389380441096441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1.1368683772161603E-13</v>
      </c>
      <c r="BE190" s="14">
        <f>BD190*VLOOKUP('Données projet'!$B$11,Paramètres!$A$1:$I$89,3,0)*VLOOKUP('Données projet'!$B$11,Paramètres!$A$1:$I$89,5,0)</f>
        <v>6.7984728957526396E-14</v>
      </c>
      <c r="BF190" s="14">
        <f t="shared" si="167"/>
        <v>1.0682447123141398E-12</v>
      </c>
      <c r="BG190" s="22">
        <f t="shared" si="168"/>
        <v>1.978932943548152E-12</v>
      </c>
      <c r="BH190" s="62">
        <f t="shared" si="116"/>
        <v>293.3333333333353</v>
      </c>
      <c r="BI190" s="62">
        <f ca="1">AVERAGE(OFFSET($BH$3,0,0,'Données projet'!$E$11+1,1))-AVERAGE(OFFSET($H$3,0,0,'Données projet'!$E$11+1,1))</f>
        <v>187.13674266165236</v>
      </c>
      <c r="BJ190" s="62">
        <f t="shared" si="146"/>
        <v>439.28159165815276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2.3799011702192594</v>
      </c>
      <c r="BQ190" s="23">
        <f>EXP(-LN(2)/25)*BQ189+(1-EXP(-LN(2)/25))/(LN(2)/25)*Calculateur!BL190*Calculateur!BN190*VLOOKUP('Données projet'!$B$11,Paramètres!$A$1:$I$89,3,0)*0.475*44/12</f>
        <v>0.56556014094671725</v>
      </c>
      <c r="BR190" s="23">
        <f>EXP(-LN(2)/2)*BR189+(1-EXP(-LN(2)/2))/(LN(2)/2)*BL190*BO190*VLOOKUP('Données projet'!$B$11,Paramètres!$A$1:$I$89,3,0)*0.475*44/12</f>
        <v>1.0193112837404086E-22</v>
      </c>
      <c r="BS190" s="24">
        <f t="shared" si="169"/>
        <v>2.9454613111659764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1.9895196601282805E-13</v>
      </c>
      <c r="BZ190" s="14">
        <f>BY190*VLOOKUP('Données projet'!$B$12,Paramètres!$A$1:$I$89,3,0)*VLOOKUP('Données projet'!$B$12,Paramètres!$A$1:$I$89,5,0)</f>
        <v>1.8001173884840681E-13</v>
      </c>
      <c r="CA190" s="14">
        <f t="shared" si="170"/>
        <v>2.5254331426407198E-12</v>
      </c>
      <c r="CB190" s="22">
        <f t="shared" si="171"/>
        <v>4.7119831685935622E-12</v>
      </c>
      <c r="CC190" s="62">
        <f t="shared" si="119"/>
        <v>293.33333333333803</v>
      </c>
      <c r="CD190" s="62">
        <f ca="1">AVERAGE(OFFSET($CC$3,0,0,'Données projet'!$E$12+1,1))-AVERAGE(OFFSET($H$3,0,0,'Données projet'!$E$12+1,1))</f>
        <v>302.6112905010138</v>
      </c>
      <c r="CE190" s="62">
        <f t="shared" si="148"/>
        <v>423.44006663873375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0.37212263855644012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0.37212263855644012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187.13674266165236</v>
      </c>
      <c r="T191" s="62">
        <f t="shared" si="142"/>
        <v>439.28159165815276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-1.1368683772161603E-13</v>
      </c>
      <c r="AJ191" s="14">
        <f>AI191*VLOOKUP('Données projet'!$B$10,Paramètres!$A$1:$I$89,3,0)*VLOOKUP('Données projet'!$B$10,Paramètres!$A$1:$I$89,5,0)</f>
        <v>-9.9316821433603781E-14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327.826081588335</v>
      </c>
      <c r="AO191" s="62">
        <f t="shared" si="144"/>
        <v>348.84706693879735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0.19831831760703741</v>
      </c>
      <c r="AW191" s="23">
        <f>EXP(-LN(2)/2)*AW190+(1-EXP(-LN(2)/2))/(LN(2)/2)*AQ191*AT191*VLOOKUP('Données projet'!$B$10,Paramètres!$A$1:$I$89,3,0)*0.475*44/12</f>
        <v>2.4641337597221622E-23</v>
      </c>
      <c r="AX191" s="23">
        <f t="shared" si="166"/>
        <v>0.19831831760703741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1.1368683772161603E-13</v>
      </c>
      <c r="BE191" s="14">
        <f>BD191*VLOOKUP('Données projet'!$B$11,Paramètres!$A$1:$I$89,3,0)*VLOOKUP('Données projet'!$B$11,Paramètres!$A$1:$I$89,5,0)</f>
        <v>6.7984728957526396E-14</v>
      </c>
      <c r="BF191" s="14">
        <f t="shared" si="167"/>
        <v>1.0682447123141398E-12</v>
      </c>
      <c r="BG191" s="22">
        <f t="shared" si="168"/>
        <v>1.978932943548152E-12</v>
      </c>
      <c r="BH191" s="62">
        <f t="shared" si="116"/>
        <v>293.3333333333353</v>
      </c>
      <c r="BI191" s="62">
        <f ca="1">AVERAGE(OFFSET($BH$3,0,0,'Données projet'!$E$11+1,1))-AVERAGE(OFFSET($H$3,0,0,'Données projet'!$E$11+1,1))</f>
        <v>187.13674266165236</v>
      </c>
      <c r="BJ191" s="62">
        <f t="shared" si="146"/>
        <v>439.28159165815276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2.3332327598676401</v>
      </c>
      <c r="BQ191" s="23">
        <f>EXP(-LN(2)/25)*BQ190+(1-EXP(-LN(2)/25))/(LN(2)/25)*Calculateur!BL191*Calculateur!BN191*VLOOKUP('Données projet'!$B$11,Paramètres!$A$1:$I$89,3,0)*0.475*44/12</f>
        <v>0.55009486915101402</v>
      </c>
      <c r="BR191" s="23">
        <f>EXP(-LN(2)/2)*BR190+(1-EXP(-LN(2)/2))/(LN(2)/2)*BL191*BO191*VLOOKUP('Données projet'!$B$11,Paramètres!$A$1:$I$89,3,0)*0.475*44/12</f>
        <v>7.2076192087280792E-23</v>
      </c>
      <c r="BS191" s="24">
        <f t="shared" si="169"/>
        <v>2.883327629018654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1.9895196601282805E-13</v>
      </c>
      <c r="BZ191" s="14">
        <f>BY191*VLOOKUP('Données projet'!$B$12,Paramètres!$A$1:$I$89,3,0)*VLOOKUP('Données projet'!$B$12,Paramètres!$A$1:$I$89,5,0)</f>
        <v>1.8001173884840681E-13</v>
      </c>
      <c r="CA191" s="14">
        <f t="shared" si="170"/>
        <v>2.5254331426407198E-12</v>
      </c>
      <c r="CB191" s="22">
        <f t="shared" si="171"/>
        <v>4.7119831685935622E-12</v>
      </c>
      <c r="CC191" s="62">
        <f t="shared" si="119"/>
        <v>293.33333333333803</v>
      </c>
      <c r="CD191" s="62">
        <f ca="1">AVERAGE(OFFSET($CC$3,0,0,'Données projet'!$E$12+1,1))-AVERAGE(OFFSET($H$3,0,0,'Données projet'!$E$12+1,1))</f>
        <v>302.6112905010138</v>
      </c>
      <c r="CE191" s="62">
        <f t="shared" si="148"/>
        <v>423.44006663873375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0.36482554058674621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0.36482554058674621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187.13674266165236</v>
      </c>
      <c r="T192" s="62">
        <f t="shared" si="142"/>
        <v>439.28159165815276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-1.1368683772161603E-13</v>
      </c>
      <c r="AJ192" s="14">
        <f>AI192*VLOOKUP('Données projet'!$B$10,Paramètres!$A$1:$I$89,3,0)*VLOOKUP('Données projet'!$B$10,Paramètres!$A$1:$I$89,5,0)</f>
        <v>-9.9316821433603781E-14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327.826081588335</v>
      </c>
      <c r="AO192" s="62">
        <f t="shared" si="144"/>
        <v>348.84706693879735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0.19289529278296591</v>
      </c>
      <c r="AW192" s="23">
        <f>EXP(-LN(2)/2)*AW191+(1-EXP(-LN(2)/2))/(LN(2)/2)*AQ192*AT192*VLOOKUP('Données projet'!$B$10,Paramètres!$A$1:$I$89,3,0)*0.475*44/12</f>
        <v>1.7424056912502436E-23</v>
      </c>
      <c r="AX192" s="23">
        <f t="shared" si="166"/>
        <v>0.19289529278296591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1.1368683772161603E-13</v>
      </c>
      <c r="BE192" s="14">
        <f>BD192*VLOOKUP('Données projet'!$B$11,Paramètres!$A$1:$I$89,3,0)*VLOOKUP('Données projet'!$B$11,Paramètres!$A$1:$I$89,5,0)</f>
        <v>6.7984728957526396E-14</v>
      </c>
      <c r="BF192" s="14">
        <f t="shared" si="167"/>
        <v>1.0682447123141398E-12</v>
      </c>
      <c r="BG192" s="22">
        <f t="shared" si="168"/>
        <v>1.978932943548152E-12</v>
      </c>
      <c r="BH192" s="62">
        <f t="shared" si="116"/>
        <v>293.3333333333353</v>
      </c>
      <c r="BI192" s="62">
        <f ca="1">AVERAGE(OFFSET($BH$3,0,0,'Données projet'!$E$11+1,1))-AVERAGE(OFFSET($H$3,0,0,'Données projet'!$E$11+1,1))</f>
        <v>187.13674266165236</v>
      </c>
      <c r="BJ192" s="62">
        <f t="shared" si="146"/>
        <v>439.28159165815276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2.2874794885780965</v>
      </c>
      <c r="BQ192" s="23">
        <f>EXP(-LN(2)/25)*BQ191+(1-EXP(-LN(2)/25))/(LN(2)/25)*Calculateur!BL192*Calculateur!BN192*VLOOKUP('Données projet'!$B$11,Paramètres!$A$1:$I$89,3,0)*0.475*44/12</f>
        <v>0.53505249602584759</v>
      </c>
      <c r="BR192" s="23">
        <f>EXP(-LN(2)/2)*BR191+(1-EXP(-LN(2)/2))/(LN(2)/2)*BL192*BO192*VLOOKUP('Données projet'!$B$11,Paramètres!$A$1:$I$89,3,0)*0.475*44/12</f>
        <v>5.0965564187020428E-23</v>
      </c>
      <c r="BS192" s="24">
        <f t="shared" si="169"/>
        <v>2.8225319846039438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1.9895196601282805E-13</v>
      </c>
      <c r="BZ192" s="14">
        <f>BY192*VLOOKUP('Données projet'!$B$12,Paramètres!$A$1:$I$89,3,0)*VLOOKUP('Données projet'!$B$12,Paramètres!$A$1:$I$89,5,0)</f>
        <v>1.8001173884840681E-13</v>
      </c>
      <c r="CA192" s="14">
        <f t="shared" si="170"/>
        <v>2.5254331426407198E-12</v>
      </c>
      <c r="CB192" s="22">
        <f t="shared" si="171"/>
        <v>4.7119831685935622E-12</v>
      </c>
      <c r="CC192" s="62">
        <f t="shared" si="119"/>
        <v>293.33333333333803</v>
      </c>
      <c r="CD192" s="62">
        <f ca="1">AVERAGE(OFFSET($CC$3,0,0,'Données projet'!$E$12+1,1))-AVERAGE(OFFSET($H$3,0,0,'Données projet'!$E$12+1,1))</f>
        <v>302.6112905010138</v>
      </c>
      <c r="CE192" s="62">
        <f t="shared" si="148"/>
        <v>423.44006663873375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0.35767153425744769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0.35767153425744769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187.13674266165236</v>
      </c>
      <c r="T193" s="62">
        <f t="shared" si="142"/>
        <v>439.28159165815276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-1.1368683772161603E-13</v>
      </c>
      <c r="AJ193" s="14">
        <f>AI193*VLOOKUP('Données projet'!$B$10,Paramètres!$A$1:$I$89,3,0)*VLOOKUP('Données projet'!$B$10,Paramètres!$A$1:$I$89,5,0)</f>
        <v>-9.9316821433603781E-14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327.826081588335</v>
      </c>
      <c r="AO193" s="62">
        <f t="shared" si="144"/>
        <v>348.84706693879735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0.18762056085789314</v>
      </c>
      <c r="AW193" s="23">
        <f>EXP(-LN(2)/2)*AW192+(1-EXP(-LN(2)/2))/(LN(2)/2)*AQ193*AT193*VLOOKUP('Données projet'!$B$10,Paramètres!$A$1:$I$89,3,0)*0.475*44/12</f>
        <v>1.2320668798610811E-23</v>
      </c>
      <c r="AX193" s="23">
        <f t="shared" si="166"/>
        <v>0.18762056085789314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1.1368683772161603E-13</v>
      </c>
      <c r="BE193" s="14">
        <f>BD193*VLOOKUP('Données projet'!$B$11,Paramètres!$A$1:$I$89,3,0)*VLOOKUP('Données projet'!$B$11,Paramètres!$A$1:$I$89,5,0)</f>
        <v>6.7984728957526396E-14</v>
      </c>
      <c r="BF193" s="14">
        <f t="shared" si="167"/>
        <v>1.0682447123141398E-12</v>
      </c>
      <c r="BG193" s="22">
        <f t="shared" si="168"/>
        <v>1.978932943548152E-12</v>
      </c>
      <c r="BH193" s="62">
        <f t="shared" si="116"/>
        <v>293.3333333333353</v>
      </c>
      <c r="BI193" s="62">
        <f ca="1">AVERAGE(OFFSET($BH$3,0,0,'Données projet'!$E$11+1,1))-AVERAGE(OFFSET($H$3,0,0,'Données projet'!$E$11+1,1))</f>
        <v>187.13674266165236</v>
      </c>
      <c r="BJ193" s="62">
        <f t="shared" si="146"/>
        <v>439.28159165815276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2.2426234110318011</v>
      </c>
      <c r="BQ193" s="23">
        <f>EXP(-LN(2)/25)*BQ192+(1-EXP(-LN(2)/25))/(LN(2)/25)*Calculateur!BL193*Calculateur!BN193*VLOOKUP('Données projet'!$B$11,Paramètres!$A$1:$I$89,3,0)*0.475*44/12</f>
        <v>0.52042145738483292</v>
      </c>
      <c r="BR193" s="23">
        <f>EXP(-LN(2)/2)*BR192+(1-EXP(-LN(2)/2))/(LN(2)/2)*BL193*BO193*VLOOKUP('Données projet'!$B$11,Paramètres!$A$1:$I$89,3,0)*0.475*44/12</f>
        <v>3.6038096043640396E-23</v>
      </c>
      <c r="BS193" s="24">
        <f t="shared" si="169"/>
        <v>2.763044868416634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1.9895196601282805E-13</v>
      </c>
      <c r="BZ193" s="14">
        <f>BY193*VLOOKUP('Données projet'!$B$12,Paramètres!$A$1:$I$89,3,0)*VLOOKUP('Données projet'!$B$12,Paramètres!$A$1:$I$89,5,0)</f>
        <v>1.8001173884840681E-13</v>
      </c>
      <c r="CA193" s="14">
        <f t="shared" si="170"/>
        <v>2.5254331426407198E-12</v>
      </c>
      <c r="CB193" s="22">
        <f t="shared" si="171"/>
        <v>4.7119831685935622E-12</v>
      </c>
      <c r="CC193" s="62">
        <f t="shared" si="119"/>
        <v>293.33333333333803</v>
      </c>
      <c r="CD193" s="62">
        <f ca="1">AVERAGE(OFFSET($CC$3,0,0,'Données projet'!$E$12+1,1))-AVERAGE(OFFSET($H$3,0,0,'Données projet'!$E$12+1,1))</f>
        <v>302.6112905010138</v>
      </c>
      <c r="CE193" s="62">
        <f t="shared" si="148"/>
        <v>423.44006663873375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0.3506578136287537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0.3506578136287537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187.13674266165236</v>
      </c>
      <c r="T194" s="62">
        <f t="shared" si="142"/>
        <v>439.28159165815276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-1.1368683772161603E-13</v>
      </c>
      <c r="AJ194" s="14">
        <f>AI194*VLOOKUP('Données projet'!$B$10,Paramètres!$A$1:$I$89,3,0)*VLOOKUP('Données projet'!$B$10,Paramètres!$A$1:$I$89,5,0)</f>
        <v>-9.9316821433603781E-14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327.826081588335</v>
      </c>
      <c r="AO194" s="62">
        <f t="shared" si="144"/>
        <v>348.84706693879735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0.18249006675469756</v>
      </c>
      <c r="AW194" s="23">
        <f>EXP(-LN(2)/2)*AW193+(1-EXP(-LN(2)/2))/(LN(2)/2)*AQ194*AT194*VLOOKUP('Données projet'!$B$10,Paramètres!$A$1:$I$89,3,0)*0.475*44/12</f>
        <v>8.7120284562512178E-24</v>
      </c>
      <c r="AX194" s="23">
        <f t="shared" si="166"/>
        <v>0.18249006675469756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1.1368683772161603E-13</v>
      </c>
      <c r="BE194" s="14">
        <f>BD194*VLOOKUP('Données projet'!$B$11,Paramètres!$A$1:$I$89,3,0)*VLOOKUP('Données projet'!$B$11,Paramètres!$A$1:$I$89,5,0)</f>
        <v>6.7984728957526396E-14</v>
      </c>
      <c r="BF194" s="14">
        <f t="shared" si="167"/>
        <v>1.0682447123141398E-12</v>
      </c>
      <c r="BG194" s="22">
        <f t="shared" si="168"/>
        <v>1.978932943548152E-12</v>
      </c>
      <c r="BH194" s="62">
        <f t="shared" si="116"/>
        <v>293.3333333333353</v>
      </c>
      <c r="BI194" s="62">
        <f ca="1">AVERAGE(OFFSET($BH$3,0,0,'Données projet'!$E$11+1,1))-AVERAGE(OFFSET($H$3,0,0,'Données projet'!$E$11+1,1))</f>
        <v>187.13674266165236</v>
      </c>
      <c r="BJ194" s="62">
        <f t="shared" si="146"/>
        <v>439.28159165815276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2.1986469338066827</v>
      </c>
      <c r="BQ194" s="23">
        <f>EXP(-LN(2)/25)*BQ193+(1-EXP(-LN(2)/25))/(LN(2)/25)*Calculateur!BL194*Calculateur!BN194*VLOOKUP('Données projet'!$B$11,Paramètres!$A$1:$I$89,3,0)*0.475*44/12</f>
        <v>0.50619050526486964</v>
      </c>
      <c r="BR194" s="23">
        <f>EXP(-LN(2)/2)*BR193+(1-EXP(-LN(2)/2))/(LN(2)/2)*BL194*BO194*VLOOKUP('Données projet'!$B$11,Paramètres!$A$1:$I$89,3,0)*0.475*44/12</f>
        <v>2.5482782093510214E-23</v>
      </c>
      <c r="BS194" s="24">
        <f t="shared" si="169"/>
        <v>2.7048374390715524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1.9895196601282805E-13</v>
      </c>
      <c r="BZ194" s="14">
        <f>BY194*VLOOKUP('Données projet'!$B$12,Paramètres!$A$1:$I$89,3,0)*VLOOKUP('Données projet'!$B$12,Paramètres!$A$1:$I$89,5,0)</f>
        <v>1.8001173884840681E-13</v>
      </c>
      <c r="CA194" s="14">
        <f t="shared" si="170"/>
        <v>2.5254331426407198E-12</v>
      </c>
      <c r="CB194" s="22">
        <f t="shared" si="171"/>
        <v>4.7119831685935622E-12</v>
      </c>
      <c r="CC194" s="62">
        <f t="shared" si="119"/>
        <v>293.33333333333803</v>
      </c>
      <c r="CD194" s="62">
        <f ca="1">AVERAGE(OFFSET($CC$3,0,0,'Données projet'!$E$12+1,1))-AVERAGE(OFFSET($H$3,0,0,'Données projet'!$E$12+1,1))</f>
        <v>302.6112905010138</v>
      </c>
      <c r="CE194" s="62">
        <f t="shared" si="148"/>
        <v>423.44006663873375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0.34378162778364124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0.34378162778364124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187.13674266165236</v>
      </c>
      <c r="T195" s="62">
        <f t="shared" si="142"/>
        <v>439.28159165815276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-1.1368683772161603E-13</v>
      </c>
      <c r="AJ195" s="14">
        <f>AI195*VLOOKUP('Données projet'!$B$10,Paramètres!$A$1:$I$89,3,0)*VLOOKUP('Données projet'!$B$10,Paramètres!$A$1:$I$89,5,0)</f>
        <v>-9.9316821433603781E-14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327.826081588335</v>
      </c>
      <c r="AO195" s="62">
        <f t="shared" si="144"/>
        <v>348.84706693879735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0.17749986628255482</v>
      </c>
      <c r="AW195" s="23">
        <f>EXP(-LN(2)/2)*AW194+(1-EXP(-LN(2)/2))/(LN(2)/2)*AQ195*AT195*VLOOKUP('Données projet'!$B$10,Paramètres!$A$1:$I$89,3,0)*0.475*44/12</f>
        <v>6.1603343993054054E-24</v>
      </c>
      <c r="AX195" s="23">
        <f t="shared" si="166"/>
        <v>0.17749986628255482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1.1368683772161603E-13</v>
      </c>
      <c r="BE195" s="14">
        <f>BD195*VLOOKUP('Données projet'!$B$11,Paramètres!$A$1:$I$89,3,0)*VLOOKUP('Données projet'!$B$11,Paramètres!$A$1:$I$89,5,0)</f>
        <v>6.7984728957526396E-14</v>
      </c>
      <c r="BF195" s="14">
        <f t="shared" si="167"/>
        <v>1.0682447123141398E-12</v>
      </c>
      <c r="BG195" s="22">
        <f t="shared" si="168"/>
        <v>1.978932943548152E-12</v>
      </c>
      <c r="BH195" s="62">
        <f t="shared" si="116"/>
        <v>293.3333333333353</v>
      </c>
      <c r="BI195" s="62">
        <f ca="1">AVERAGE(OFFSET($BH$3,0,0,'Données projet'!$E$11+1,1))-AVERAGE(OFFSET($H$3,0,0,'Données projet'!$E$11+1,1))</f>
        <v>187.13674266165236</v>
      </c>
      <c r="BJ195" s="62">
        <f t="shared" si="146"/>
        <v>439.28159165815276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2.1555328084769463</v>
      </c>
      <c r="BQ195" s="23">
        <f>EXP(-LN(2)/25)*BQ194+(1-EXP(-LN(2)/25))/(LN(2)/25)*Calculateur!BL195*Calculateur!BN195*VLOOKUP('Données projet'!$B$11,Paramètres!$A$1:$I$89,3,0)*0.475*44/12</f>
        <v>0.49234869927900005</v>
      </c>
      <c r="BR195" s="23">
        <f>EXP(-LN(2)/2)*BR194+(1-EXP(-LN(2)/2))/(LN(2)/2)*BL195*BO195*VLOOKUP('Données projet'!$B$11,Paramètres!$A$1:$I$89,3,0)*0.475*44/12</f>
        <v>1.8019048021820198E-23</v>
      </c>
      <c r="BS195" s="24">
        <f t="shared" si="169"/>
        <v>2.6478815077559466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1.9895196601282805E-13</v>
      </c>
      <c r="BZ195" s="14">
        <f>BY195*VLOOKUP('Données projet'!$B$12,Paramètres!$A$1:$I$89,3,0)*VLOOKUP('Données projet'!$B$12,Paramètres!$A$1:$I$89,5,0)</f>
        <v>1.8001173884840681E-13</v>
      </c>
      <c r="CA195" s="14">
        <f t="shared" si="170"/>
        <v>2.5254331426407198E-12</v>
      </c>
      <c r="CB195" s="22">
        <f t="shared" si="171"/>
        <v>4.7119831685935622E-12</v>
      </c>
      <c r="CC195" s="62">
        <f t="shared" si="119"/>
        <v>293.33333333333803</v>
      </c>
      <c r="CD195" s="62">
        <f ca="1">AVERAGE(OFFSET($CC$3,0,0,'Données projet'!$E$12+1,1))-AVERAGE(OFFSET($H$3,0,0,'Données projet'!$E$12+1,1))</f>
        <v>302.6112905010138</v>
      </c>
      <c r="CE195" s="62">
        <f t="shared" si="148"/>
        <v>423.44006663873375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0.33704027974889222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0.33704027974889222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187.13674266165236</v>
      </c>
      <c r="T196" s="62">
        <f t="shared" si="142"/>
        <v>439.28159165815276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-1.1368683772161603E-13</v>
      </c>
      <c r="AJ196" s="14">
        <f>AI196*VLOOKUP('Données projet'!$B$10,Paramètres!$A$1:$I$89,3,0)*VLOOKUP('Données projet'!$B$10,Paramètres!$A$1:$I$89,5,0)</f>
        <v>-9.9316821433603781E-14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327.826081588335</v>
      </c>
      <c r="AO196" s="62">
        <f t="shared" si="144"/>
        <v>348.84706693879735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0.17264612310474606</v>
      </c>
      <c r="AW196" s="23">
        <f>EXP(-LN(2)/2)*AW195+(1-EXP(-LN(2)/2))/(LN(2)/2)*AQ196*AT196*VLOOKUP('Données projet'!$B$10,Paramètres!$A$1:$I$89,3,0)*0.475*44/12</f>
        <v>4.3560142281256089E-24</v>
      </c>
      <c r="AX196" s="23">
        <f t="shared" si="166"/>
        <v>0.17264612310474606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1.1368683772161603E-13</v>
      </c>
      <c r="BE196" s="14">
        <f>BD196*VLOOKUP('Données projet'!$B$11,Paramètres!$A$1:$I$89,3,0)*VLOOKUP('Données projet'!$B$11,Paramètres!$A$1:$I$89,5,0)</f>
        <v>6.7984728957526396E-14</v>
      </c>
      <c r="BF196" s="14">
        <f t="shared" si="167"/>
        <v>1.0682447123141398E-12</v>
      </c>
      <c r="BG196" s="22">
        <f t="shared" si="168"/>
        <v>1.978932943548152E-12</v>
      </c>
      <c r="BH196" s="62">
        <f t="shared" ref="BH196:BH203" si="194">BG196+(AY196+AZ196)*44/12</f>
        <v>293.3333333333353</v>
      </c>
      <c r="BI196" s="62">
        <f ca="1">AVERAGE(OFFSET($BH$3,0,0,'Données projet'!$E$11+1,1))-AVERAGE(OFFSET($H$3,0,0,'Données projet'!$E$11+1,1))</f>
        <v>187.13674266165236</v>
      </c>
      <c r="BJ196" s="62">
        <f t="shared" si="146"/>
        <v>439.28159165815276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2.1132641248479063</v>
      </c>
      <c r="BQ196" s="23">
        <f>EXP(-LN(2)/25)*BQ195+(1-EXP(-LN(2)/25))/(LN(2)/25)*Calculateur!BL196*Calculateur!BN196*VLOOKUP('Données projet'!$B$11,Paramètres!$A$1:$I$89,3,0)*0.475*44/12</f>
        <v>0.47888539820572296</v>
      </c>
      <c r="BR196" s="23">
        <f>EXP(-LN(2)/2)*BR195+(1-EXP(-LN(2)/2))/(LN(2)/2)*BL196*BO196*VLOOKUP('Données projet'!$B$11,Paramètres!$A$1:$I$89,3,0)*0.475*44/12</f>
        <v>1.2741391046755107E-23</v>
      </c>
      <c r="BS196" s="24">
        <f t="shared" si="169"/>
        <v>2.5921495230536293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1.9895196601282805E-13</v>
      </c>
      <c r="BZ196" s="14">
        <f>BY196*VLOOKUP('Données projet'!$B$12,Paramètres!$A$1:$I$89,3,0)*VLOOKUP('Données projet'!$B$12,Paramètres!$A$1:$I$89,5,0)</f>
        <v>1.8001173884840681E-13</v>
      </c>
      <c r="CA196" s="14">
        <f t="shared" si="170"/>
        <v>2.5254331426407198E-12</v>
      </c>
      <c r="CB196" s="22">
        <f t="shared" si="171"/>
        <v>4.7119831685935622E-12</v>
      </c>
      <c r="CC196" s="62">
        <f t="shared" ref="CC196:CC203" si="195">CB196+(BT196+BU196)*44/12</f>
        <v>293.33333333333803</v>
      </c>
      <c r="CD196" s="62">
        <f ca="1">AVERAGE(OFFSET($CC$3,0,0,'Données projet'!$E$12+1,1))-AVERAGE(OFFSET($H$3,0,0,'Données projet'!$E$12+1,1))</f>
        <v>302.6112905010138</v>
      </c>
      <c r="CE196" s="62">
        <f t="shared" si="148"/>
        <v>423.44006663873375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0.33043112543728831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0.33043112543728831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187.13674266165236</v>
      </c>
      <c r="T197" s="62">
        <f t="shared" ref="T197:T203" si="204">$T$3</f>
        <v>439.28159165815276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-1.1368683772161603E-13</v>
      </c>
      <c r="AJ197" s="14">
        <f>AI197*VLOOKUP('Données projet'!$B$10,Paramètres!$A$1:$I$89,3,0)*VLOOKUP('Données projet'!$B$10,Paramètres!$A$1:$I$89,5,0)</f>
        <v>-9.9316821433603781E-14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327.826081588335</v>
      </c>
      <c r="AO197" s="62">
        <f t="shared" ref="AO197:AO203" si="205">$AO$3</f>
        <v>348.84706693879735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0.16792510578938175</v>
      </c>
      <c r="AW197" s="23">
        <f>EXP(-LN(2)/2)*AW196+(1-EXP(-LN(2)/2))/(LN(2)/2)*AQ197*AT197*VLOOKUP('Données projet'!$B$10,Paramètres!$A$1:$I$89,3,0)*0.475*44/12</f>
        <v>3.0801671996527027E-24</v>
      </c>
      <c r="AX197" s="23">
        <f t="shared" si="166"/>
        <v>0.16792510578938175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1.1368683772161603E-13</v>
      </c>
      <c r="BE197" s="14">
        <f>BD197*VLOOKUP('Données projet'!$B$11,Paramètres!$A$1:$I$89,3,0)*VLOOKUP('Données projet'!$B$11,Paramètres!$A$1:$I$89,5,0)</f>
        <v>6.7984728957526396E-14</v>
      </c>
      <c r="BF197" s="14">
        <f t="shared" si="167"/>
        <v>1.0682447123141398E-12</v>
      </c>
      <c r="BG197" s="22">
        <f t="shared" si="168"/>
        <v>1.978932943548152E-12</v>
      </c>
      <c r="BH197" s="62">
        <f t="shared" si="194"/>
        <v>293.3333333333353</v>
      </c>
      <c r="BI197" s="62">
        <f ca="1">AVERAGE(OFFSET($BH$3,0,0,'Données projet'!$E$11+1,1))-AVERAGE(OFFSET($H$3,0,0,'Données projet'!$E$11+1,1))</f>
        <v>187.13674266165236</v>
      </c>
      <c r="BJ197" s="62">
        <f t="shared" ref="BJ197:BJ203" si="206">$BJ$3</f>
        <v>439.28159165815276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2.0718243043234805</v>
      </c>
      <c r="BQ197" s="23">
        <f>EXP(-LN(2)/25)*BQ196+(1-EXP(-LN(2)/25))/(LN(2)/25)*Calculateur!BL197*Calculateur!BN197*VLOOKUP('Données projet'!$B$11,Paramètres!$A$1:$I$89,3,0)*0.475*44/12</f>
        <v>0.46579025180829886</v>
      </c>
      <c r="BR197" s="23">
        <f>EXP(-LN(2)/2)*BR196+(1-EXP(-LN(2)/2))/(LN(2)/2)*BL197*BO197*VLOOKUP('Données projet'!$B$11,Paramètres!$A$1:$I$89,3,0)*0.475*44/12</f>
        <v>9.009524010910099E-24</v>
      </c>
      <c r="BS197" s="24">
        <f t="shared" si="169"/>
        <v>2.5376145561317793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1.9895196601282805E-13</v>
      </c>
      <c r="BZ197" s="14">
        <f>BY197*VLOOKUP('Données projet'!$B$12,Paramètres!$A$1:$I$89,3,0)*VLOOKUP('Données projet'!$B$12,Paramètres!$A$1:$I$89,5,0)</f>
        <v>1.8001173884840681E-13</v>
      </c>
      <c r="CA197" s="14">
        <f t="shared" si="170"/>
        <v>2.5254331426407198E-12</v>
      </c>
      <c r="CB197" s="22">
        <f t="shared" si="171"/>
        <v>4.7119831685935622E-12</v>
      </c>
      <c r="CC197" s="62">
        <f t="shared" si="195"/>
        <v>293.33333333333803</v>
      </c>
      <c r="CD197" s="62">
        <f ca="1">AVERAGE(OFFSET($CC$3,0,0,'Données projet'!$E$12+1,1))-AVERAGE(OFFSET($H$3,0,0,'Données projet'!$E$12+1,1))</f>
        <v>302.6112905010138</v>
      </c>
      <c r="CE197" s="62">
        <f t="shared" ref="CE197:CE203" si="207">$CE$3</f>
        <v>423.44006663873375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0.32395157261054885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0.32395157261054885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187.13674266165236</v>
      </c>
      <c r="T198" s="62">
        <f t="shared" si="204"/>
        <v>439.28159165815276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-1.1368683772161603E-13</v>
      </c>
      <c r="AJ198" s="14">
        <f>AI198*VLOOKUP('Données projet'!$B$10,Paramètres!$A$1:$I$89,3,0)*VLOOKUP('Données projet'!$B$10,Paramètres!$A$1:$I$89,5,0)</f>
        <v>-9.9316821433603781E-14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327.826081588335</v>
      </c>
      <c r="AO198" s="62">
        <f t="shared" si="205"/>
        <v>348.84706693879735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0.16333318494077359</v>
      </c>
      <c r="AW198" s="23">
        <f>EXP(-LN(2)/2)*AW197+(1-EXP(-LN(2)/2))/(LN(2)/2)*AQ198*AT198*VLOOKUP('Données projet'!$B$10,Paramètres!$A$1:$I$89,3,0)*0.475*44/12</f>
        <v>2.1780071140628045E-24</v>
      </c>
      <c r="AX198" s="23">
        <f t="shared" si="166"/>
        <v>0.16333318494077359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1.1368683772161603E-13</v>
      </c>
      <c r="BE198" s="14">
        <f>BD198*VLOOKUP('Données projet'!$B$11,Paramètres!$A$1:$I$89,3,0)*VLOOKUP('Données projet'!$B$11,Paramètres!$A$1:$I$89,5,0)</f>
        <v>6.7984728957526396E-14</v>
      </c>
      <c r="BF198" s="14">
        <f t="shared" si="167"/>
        <v>1.0682447123141398E-12</v>
      </c>
      <c r="BG198" s="22">
        <f t="shared" si="168"/>
        <v>1.978932943548152E-12</v>
      </c>
      <c r="BH198" s="62">
        <f t="shared" si="194"/>
        <v>293.3333333333353</v>
      </c>
      <c r="BI198" s="62">
        <f ca="1">AVERAGE(OFFSET($BH$3,0,0,'Données projet'!$E$11+1,1))-AVERAGE(OFFSET($H$3,0,0,'Données projet'!$E$11+1,1))</f>
        <v>187.13674266165236</v>
      </c>
      <c r="BJ198" s="62">
        <f t="shared" si="206"/>
        <v>439.28159165815276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2.031197093403744</v>
      </c>
      <c r="BQ198" s="23">
        <f>EXP(-LN(2)/25)*BQ197+(1-EXP(-LN(2)/25))/(LN(2)/25)*Calculateur!BL198*Calculateur!BN198*VLOOKUP('Données projet'!$B$11,Paramètres!$A$1:$I$89,3,0)*0.475*44/12</f>
        <v>0.45305319287775614</v>
      </c>
      <c r="BR198" s="23">
        <f>EXP(-LN(2)/2)*BR197+(1-EXP(-LN(2)/2))/(LN(2)/2)*BL198*BO198*VLOOKUP('Données projet'!$B$11,Paramètres!$A$1:$I$89,3,0)*0.475*44/12</f>
        <v>6.3706955233775535E-24</v>
      </c>
      <c r="BS198" s="24">
        <f t="shared" si="169"/>
        <v>2.4842502862815001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1.9895196601282805E-13</v>
      </c>
      <c r="BZ198" s="14">
        <f>BY198*VLOOKUP('Données projet'!$B$12,Paramètres!$A$1:$I$89,3,0)*VLOOKUP('Données projet'!$B$12,Paramètres!$A$1:$I$89,5,0)</f>
        <v>1.8001173884840681E-13</v>
      </c>
      <c r="CA198" s="14">
        <f t="shared" si="170"/>
        <v>2.5254331426407198E-12</v>
      </c>
      <c r="CB198" s="22">
        <f t="shared" si="171"/>
        <v>4.7119831685935622E-12</v>
      </c>
      <c r="CC198" s="62">
        <f t="shared" si="195"/>
        <v>293.33333333333803</v>
      </c>
      <c r="CD198" s="62">
        <f ca="1">AVERAGE(OFFSET($CC$3,0,0,'Données projet'!$E$12+1,1))-AVERAGE(OFFSET($H$3,0,0,'Données projet'!$E$12+1,1))</f>
        <v>302.6112905010138</v>
      </c>
      <c r="CE198" s="62">
        <f t="shared" si="207"/>
        <v>423.44006663873375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0.31759907986260477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0.31759907986260477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187.13674266165236</v>
      </c>
      <c r="T199" s="62">
        <f t="shared" si="204"/>
        <v>439.28159165815276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-1.1368683772161603E-13</v>
      </c>
      <c r="AJ199" s="14">
        <f>AI199*VLOOKUP('Données projet'!$B$10,Paramètres!$A$1:$I$89,3,0)*VLOOKUP('Données projet'!$B$10,Paramètres!$A$1:$I$89,5,0)</f>
        <v>-9.9316821433603781E-14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327.826081588335</v>
      </c>
      <c r="AO199" s="62">
        <f t="shared" si="205"/>
        <v>348.84706693879735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0.15886683040924923</v>
      </c>
      <c r="AW199" s="23">
        <f>EXP(-LN(2)/2)*AW198+(1-EXP(-LN(2)/2))/(LN(2)/2)*AQ199*AT199*VLOOKUP('Données projet'!$B$10,Paramètres!$A$1:$I$89,3,0)*0.475*44/12</f>
        <v>1.5400835998263513E-24</v>
      </c>
      <c r="AX199" s="23">
        <f t="shared" si="166"/>
        <v>0.15886683040924923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1.1368683772161603E-13</v>
      </c>
      <c r="BE199" s="14">
        <f>BD199*VLOOKUP('Données projet'!$B$11,Paramètres!$A$1:$I$89,3,0)*VLOOKUP('Données projet'!$B$11,Paramètres!$A$1:$I$89,5,0)</f>
        <v>6.7984728957526396E-14</v>
      </c>
      <c r="BF199" s="14">
        <f t="shared" si="167"/>
        <v>1.0682447123141398E-12</v>
      </c>
      <c r="BG199" s="22">
        <f t="shared" si="168"/>
        <v>1.978932943548152E-12</v>
      </c>
      <c r="BH199" s="62">
        <f t="shared" si="194"/>
        <v>293.3333333333353</v>
      </c>
      <c r="BI199" s="62">
        <f ca="1">AVERAGE(OFFSET($BH$3,0,0,'Données projet'!$E$11+1,1))-AVERAGE(OFFSET($H$3,0,0,'Données projet'!$E$11+1,1))</f>
        <v>187.13674266165236</v>
      </c>
      <c r="BJ199" s="62">
        <f t="shared" si="206"/>
        <v>439.28159165815276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1.9913665573099915</v>
      </c>
      <c r="BQ199" s="23">
        <f>EXP(-LN(2)/25)*BQ198+(1-EXP(-LN(2)/25))/(LN(2)/25)*Calculateur!BL199*Calculateur!BN199*VLOOKUP('Données projet'!$B$11,Paramètres!$A$1:$I$89,3,0)*0.475*44/12</f>
        <v>0.44066442949348195</v>
      </c>
      <c r="BR199" s="23">
        <f>EXP(-LN(2)/2)*BR198+(1-EXP(-LN(2)/2))/(LN(2)/2)*BL199*BO199*VLOOKUP('Données projet'!$B$11,Paramètres!$A$1:$I$89,3,0)*0.475*44/12</f>
        <v>4.5047620054550495E-24</v>
      </c>
      <c r="BS199" s="24">
        <f t="shared" si="169"/>
        <v>2.4320309868034733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1.9895196601282805E-13</v>
      </c>
      <c r="BZ199" s="14">
        <f>BY199*VLOOKUP('Données projet'!$B$12,Paramètres!$A$1:$I$89,3,0)*VLOOKUP('Données projet'!$B$12,Paramètres!$A$1:$I$89,5,0)</f>
        <v>1.8001173884840681E-13</v>
      </c>
      <c r="CA199" s="14">
        <f t="shared" si="170"/>
        <v>2.5254331426407198E-12</v>
      </c>
      <c r="CB199" s="22">
        <f t="shared" si="171"/>
        <v>4.7119831685935622E-12</v>
      </c>
      <c r="CC199" s="62">
        <f t="shared" si="195"/>
        <v>293.33333333333803</v>
      </c>
      <c r="CD199" s="62">
        <f ca="1">AVERAGE(OFFSET($CC$3,0,0,'Données projet'!$E$12+1,1))-AVERAGE(OFFSET($H$3,0,0,'Données projet'!$E$12+1,1))</f>
        <v>302.6112905010138</v>
      </c>
      <c r="CE199" s="62">
        <f t="shared" si="207"/>
        <v>423.44006663873375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0.31137115562280993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0.31137115562280993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187.13674266165236</v>
      </c>
      <c r="T200" s="62">
        <f t="shared" si="204"/>
        <v>439.28159165815276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-1.1368683772161603E-13</v>
      </c>
      <c r="AJ200" s="14">
        <f>AI200*VLOOKUP('Données projet'!$B$10,Paramètres!$A$1:$I$89,3,0)*VLOOKUP('Données projet'!$B$10,Paramètres!$A$1:$I$89,5,0)</f>
        <v>-9.9316821433603781E-14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327.826081588335</v>
      </c>
      <c r="AO200" s="62">
        <f t="shared" si="205"/>
        <v>348.84706693879735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0.1545226085772648</v>
      </c>
      <c r="AW200" s="23">
        <f>EXP(-LN(2)/2)*AW199+(1-EXP(-LN(2)/2))/(LN(2)/2)*AQ200*AT200*VLOOKUP('Données projet'!$B$10,Paramètres!$A$1:$I$89,3,0)*0.475*44/12</f>
        <v>1.0890035570314022E-24</v>
      </c>
      <c r="AX200" s="23">
        <f t="shared" si="166"/>
        <v>0.1545226085772648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1.1368683772161603E-13</v>
      </c>
      <c r="BE200" s="14">
        <f>BD200*VLOOKUP('Données projet'!$B$11,Paramètres!$A$1:$I$89,3,0)*VLOOKUP('Données projet'!$B$11,Paramètres!$A$1:$I$89,5,0)</f>
        <v>6.7984728957526396E-14</v>
      </c>
      <c r="BF200" s="14">
        <f t="shared" si="167"/>
        <v>1.0682447123141398E-12</v>
      </c>
      <c r="BG200" s="22">
        <f t="shared" si="168"/>
        <v>1.978932943548152E-12</v>
      </c>
      <c r="BH200" s="62">
        <f t="shared" si="194"/>
        <v>293.3333333333353</v>
      </c>
      <c r="BI200" s="62">
        <f ca="1">AVERAGE(OFFSET($BH$3,0,0,'Données projet'!$E$11+1,1))-AVERAGE(OFFSET($H$3,0,0,'Données projet'!$E$11+1,1))</f>
        <v>187.13674266165236</v>
      </c>
      <c r="BJ200" s="62">
        <f t="shared" si="206"/>
        <v>439.28159165815276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1.9523170737348094</v>
      </c>
      <c r="BQ200" s="23">
        <f>EXP(-LN(2)/25)*BQ199+(1-EXP(-LN(2)/25))/(LN(2)/25)*Calculateur!BL200*Calculateur!BN200*VLOOKUP('Données projet'!$B$11,Paramètres!$A$1:$I$89,3,0)*0.475*44/12</f>
        <v>0.42861443749544748</v>
      </c>
      <c r="BR200" s="23">
        <f>EXP(-LN(2)/2)*BR199+(1-EXP(-LN(2)/2))/(LN(2)/2)*BL200*BO200*VLOOKUP('Données projet'!$B$11,Paramètres!$A$1:$I$89,3,0)*0.475*44/12</f>
        <v>3.1853477616887767E-24</v>
      </c>
      <c r="BS200" s="24">
        <f t="shared" si="169"/>
        <v>2.3809315112302567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1.9895196601282805E-13</v>
      </c>
      <c r="BZ200" s="14">
        <f>BY200*VLOOKUP('Données projet'!$B$12,Paramètres!$A$1:$I$89,3,0)*VLOOKUP('Données projet'!$B$12,Paramètres!$A$1:$I$89,5,0)</f>
        <v>1.8001173884840681E-13</v>
      </c>
      <c r="CA200" s="14">
        <f t="shared" si="170"/>
        <v>2.5254331426407198E-12</v>
      </c>
      <c r="CB200" s="22">
        <f t="shared" si="171"/>
        <v>4.7119831685935622E-12</v>
      </c>
      <c r="CC200" s="62">
        <f t="shared" si="195"/>
        <v>293.33333333333803</v>
      </c>
      <c r="CD200" s="62">
        <f ca="1">AVERAGE(OFFSET($CC$3,0,0,'Données projet'!$E$12+1,1))-AVERAGE(OFFSET($H$3,0,0,'Données projet'!$E$12+1,1))</f>
        <v>302.6112905010138</v>
      </c>
      <c r="CE200" s="62">
        <f t="shared" si="207"/>
        <v>423.44006663873375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0.30526535717869874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0.30526535717869874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187.13674266165236</v>
      </c>
      <c r="T201" s="62">
        <f t="shared" si="204"/>
        <v>439.28159165815276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-1.1368683772161603E-13</v>
      </c>
      <c r="AJ201" s="14">
        <f>AI201*VLOOKUP('Données projet'!$B$10,Paramètres!$A$1:$I$89,3,0)*VLOOKUP('Données projet'!$B$10,Paramètres!$A$1:$I$89,5,0)</f>
        <v>-9.9316821433603781E-14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327.826081588335</v>
      </c>
      <c r="AO201" s="62">
        <f t="shared" si="205"/>
        <v>348.84706693879735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0.15029717971972867</v>
      </c>
      <c r="AW201" s="23">
        <f>EXP(-LN(2)/2)*AW200+(1-EXP(-LN(2)/2))/(LN(2)/2)*AQ201*AT201*VLOOKUP('Données projet'!$B$10,Paramètres!$A$1:$I$89,3,0)*0.475*44/12</f>
        <v>7.7004179991317567E-25</v>
      </c>
      <c r="AX201" s="23">
        <f t="shared" si="166"/>
        <v>0.15029717971972867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1.1368683772161603E-13</v>
      </c>
      <c r="BE201" s="14">
        <f>BD201*VLOOKUP('Données projet'!$B$11,Paramètres!$A$1:$I$89,3,0)*VLOOKUP('Données projet'!$B$11,Paramètres!$A$1:$I$89,5,0)</f>
        <v>6.7984728957526396E-14</v>
      </c>
      <c r="BF201" s="14">
        <f t="shared" si="167"/>
        <v>1.0682447123141398E-12</v>
      </c>
      <c r="BG201" s="22">
        <f t="shared" si="168"/>
        <v>1.978932943548152E-12</v>
      </c>
      <c r="BH201" s="62">
        <f t="shared" si="194"/>
        <v>293.3333333333353</v>
      </c>
      <c r="BI201" s="62">
        <f ca="1">AVERAGE(OFFSET($BH$3,0,0,'Données projet'!$E$11+1,1))-AVERAGE(OFFSET($H$3,0,0,'Données projet'!$E$11+1,1))</f>
        <v>187.13674266165236</v>
      </c>
      <c r="BJ201" s="62">
        <f t="shared" si="206"/>
        <v>439.28159165815276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1.9140333267147034</v>
      </c>
      <c r="BQ201" s="23">
        <f>EXP(-LN(2)/25)*BQ200+(1-EXP(-LN(2)/25))/(LN(2)/25)*Calculateur!BL201*Calculateur!BN201*VLOOKUP('Données projet'!$B$11,Paramètres!$A$1:$I$89,3,0)*0.475*44/12</f>
        <v>0.41689395316228078</v>
      </c>
      <c r="BR201" s="23">
        <f>EXP(-LN(2)/2)*BR200+(1-EXP(-LN(2)/2))/(LN(2)/2)*BL201*BO201*VLOOKUP('Données projet'!$B$11,Paramètres!$A$1:$I$89,3,0)*0.475*44/12</f>
        <v>2.2523810027275247E-24</v>
      </c>
      <c r="BS201" s="24">
        <f t="shared" si="169"/>
        <v>2.3309272798769842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1.9895196601282805E-13</v>
      </c>
      <c r="BZ201" s="14">
        <f>BY201*VLOOKUP('Données projet'!$B$12,Paramètres!$A$1:$I$89,3,0)*VLOOKUP('Données projet'!$B$12,Paramètres!$A$1:$I$89,5,0)</f>
        <v>1.8001173884840681E-13</v>
      </c>
      <c r="CA201" s="14">
        <f t="shared" si="170"/>
        <v>2.5254331426407198E-12</v>
      </c>
      <c r="CB201" s="22">
        <f t="shared" si="171"/>
        <v>4.7119831685935622E-12</v>
      </c>
      <c r="CC201" s="62">
        <f t="shared" si="195"/>
        <v>293.33333333333803</v>
      </c>
      <c r="CD201" s="62">
        <f ca="1">AVERAGE(OFFSET($CC$3,0,0,'Données projet'!$E$12+1,1))-AVERAGE(OFFSET($H$3,0,0,'Données projet'!$E$12+1,1))</f>
        <v>302.6112905010138</v>
      </c>
      <c r="CE201" s="62">
        <f t="shared" si="207"/>
        <v>423.44006663873375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0.29927928971790724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0.29927928971790724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187.13674266165236</v>
      </c>
      <c r="T202" s="62">
        <f t="shared" si="204"/>
        <v>439.28159165815276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-1.1368683772161603E-13</v>
      </c>
      <c r="AJ202" s="14">
        <f>AI202*VLOOKUP('Données projet'!$B$10,Paramètres!$A$1:$I$89,3,0)*VLOOKUP('Données projet'!$B$10,Paramètres!$A$1:$I$89,5,0)</f>
        <v>-9.9316821433603781E-14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327.826081588335</v>
      </c>
      <c r="AO202" s="62">
        <f t="shared" si="205"/>
        <v>348.84706693879735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0.14618729543650752</v>
      </c>
      <c r="AW202" s="23">
        <f>EXP(-LN(2)/2)*AW201+(1-EXP(-LN(2)/2))/(LN(2)/2)*AQ202*AT202*VLOOKUP('Données projet'!$B$10,Paramètres!$A$1:$I$89,3,0)*0.475*44/12</f>
        <v>5.4450177851570112E-25</v>
      </c>
      <c r="AX202" s="23">
        <f t="shared" si="166"/>
        <v>0.14618729543650752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1.1368683772161603E-13</v>
      </c>
      <c r="BE202" s="14">
        <f>BD202*VLOOKUP('Données projet'!$B$11,Paramètres!$A$1:$I$89,3,0)*VLOOKUP('Données projet'!$B$11,Paramètres!$A$1:$I$89,5,0)</f>
        <v>6.7984728957526396E-14</v>
      </c>
      <c r="BF202" s="14">
        <f t="shared" si="167"/>
        <v>1.0682447123141398E-12</v>
      </c>
      <c r="BG202" s="22">
        <f t="shared" si="168"/>
        <v>1.978932943548152E-12</v>
      </c>
      <c r="BH202" s="62">
        <f t="shared" si="194"/>
        <v>293.3333333333353</v>
      </c>
      <c r="BI202" s="62">
        <f ca="1">AVERAGE(OFFSET($BH$3,0,0,'Données projet'!$E$11+1,1))-AVERAGE(OFFSET($H$3,0,0,'Données projet'!$E$11+1,1))</f>
        <v>187.13674266165236</v>
      </c>
      <c r="BJ202" s="62">
        <f t="shared" si="206"/>
        <v>439.28159165815276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1.8765003006228818</v>
      </c>
      <c r="BQ202" s="23">
        <f>EXP(-LN(2)/25)*BQ201+(1-EXP(-LN(2)/25))/(LN(2)/25)*Calculateur!BL202*Calculateur!BN202*VLOOKUP('Données projet'!$B$11,Paramètres!$A$1:$I$89,3,0)*0.475*44/12</f>
        <v>0.40549396608955807</v>
      </c>
      <c r="BR202" s="23">
        <f>EXP(-LN(2)/2)*BR201+(1-EXP(-LN(2)/2))/(LN(2)/2)*BL202*BO202*VLOOKUP('Données projet'!$B$11,Paramètres!$A$1:$I$89,3,0)*0.475*44/12</f>
        <v>1.5926738808443884E-24</v>
      </c>
      <c r="BS202" s="24">
        <f t="shared" si="169"/>
        <v>2.2819942667124398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1.9895196601282805E-13</v>
      </c>
      <c r="BZ202" s="14">
        <f>BY202*VLOOKUP('Données projet'!$B$12,Paramètres!$A$1:$I$89,3,0)*VLOOKUP('Données projet'!$B$12,Paramètres!$A$1:$I$89,5,0)</f>
        <v>1.8001173884840681E-13</v>
      </c>
      <c r="CA202" s="14">
        <f t="shared" si="170"/>
        <v>2.5254331426407198E-12</v>
      </c>
      <c r="CB202" s="22">
        <f t="shared" si="171"/>
        <v>4.7119831685935622E-12</v>
      </c>
      <c r="CC202" s="62">
        <f t="shared" si="195"/>
        <v>293.33333333333803</v>
      </c>
      <c r="CD202" s="62">
        <f ca="1">AVERAGE(OFFSET($CC$3,0,0,'Données projet'!$E$12+1,1))-AVERAGE(OFFSET($H$3,0,0,'Données projet'!$E$12+1,1))</f>
        <v>302.6112905010138</v>
      </c>
      <c r="CE202" s="62">
        <f t="shared" si="207"/>
        <v>423.44006663873375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0.29341060538888125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0.29341060538888125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187.13674266165236</v>
      </c>
      <c r="T203" s="62">
        <f t="shared" si="204"/>
        <v>439.28159165815276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-1.1368683772161603E-13</v>
      </c>
      <c r="AJ203" s="14">
        <f>AI203*VLOOKUP('Données projet'!$B$10,Paramètres!$A$1:$I$89,3,0)*VLOOKUP('Données projet'!$B$10,Paramètres!$A$1:$I$89,5,0)</f>
        <v>-9.9316821433603781E-14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327.826081588335</v>
      </c>
      <c r="AO203" s="62">
        <f t="shared" si="205"/>
        <v>348.84706693879735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0.14218979615514046</v>
      </c>
      <c r="AW203" s="23">
        <f>EXP(-LN(2)/2)*AW202+(1-EXP(-LN(2)/2))/(LN(2)/2)*AQ203*AT203*VLOOKUP('Données projet'!$B$10,Paramètres!$A$1:$I$89,3,0)*0.475*44/12</f>
        <v>3.8502089995658784E-25</v>
      </c>
      <c r="AX203" s="23">
        <f t="shared" si="166"/>
        <v>0.14218979615514046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1.1368683772161603E-13</v>
      </c>
      <c r="BE203" s="14">
        <f>BD203*VLOOKUP('Données projet'!$B$11,Paramètres!$A$1:$I$89,3,0)*VLOOKUP('Données projet'!$B$11,Paramètres!$A$1:$I$89,5,0)</f>
        <v>6.7984728957526396E-14</v>
      </c>
      <c r="BF203" s="14">
        <f t="shared" si="167"/>
        <v>1.0682447123141398E-12</v>
      </c>
      <c r="BG203" s="22">
        <f t="shared" si="168"/>
        <v>1.978932943548152E-12</v>
      </c>
      <c r="BH203" s="62">
        <f t="shared" si="194"/>
        <v>293.3333333333353</v>
      </c>
      <c r="BI203" s="62">
        <f ca="1">AVERAGE(OFFSET($BH$3,0,0,'Données projet'!$E$11+1,1))-AVERAGE(OFFSET($H$3,0,0,'Données projet'!$E$11+1,1))</f>
        <v>187.13674266165236</v>
      </c>
      <c r="BJ203" s="62">
        <f t="shared" si="206"/>
        <v>439.28159165815276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1.8397032742798354</v>
      </c>
      <c r="BQ203" s="23">
        <f>EXP(-LN(2)/25)*BQ202+(1-EXP(-LN(2)/25))/(LN(2)/25)*Calculateur!BL203*Calculateur!BN203*VLOOKUP('Données projet'!$B$11,Paramètres!$A$1:$I$89,3,0)*0.475*44/12</f>
        <v>0.39440571226283822</v>
      </c>
      <c r="BR203" s="23">
        <f>EXP(-LN(2)/2)*BR202+(1-EXP(-LN(2)/2))/(LN(2)/2)*BL203*BO203*VLOOKUP('Données projet'!$B$11,Paramètres!$A$1:$I$89,3,0)*0.475*44/12</f>
        <v>1.1261905013637624E-24</v>
      </c>
      <c r="BS203" s="24">
        <f t="shared" si="169"/>
        <v>2.2341089865426738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1.9895196601282805E-13</v>
      </c>
      <c r="BZ203" s="14">
        <f>BY203*VLOOKUP('Données projet'!$B$12,Paramètres!$A$1:$I$89,3,0)*VLOOKUP('Données projet'!$B$12,Paramètres!$A$1:$I$89,5,0)</f>
        <v>1.8001173884840681E-13</v>
      </c>
      <c r="CA203" s="14">
        <f t="shared" si="170"/>
        <v>2.5254331426407198E-12</v>
      </c>
      <c r="CB203" s="22">
        <f t="shared" si="171"/>
        <v>4.7119831685935622E-12</v>
      </c>
      <c r="CC203" s="62">
        <f t="shared" si="195"/>
        <v>293.33333333333803</v>
      </c>
      <c r="CD203" s="62">
        <f ca="1">AVERAGE(OFFSET($CC$3,0,0,'Données projet'!$E$12+1,1))-AVERAGE(OFFSET($H$3,0,0,'Données projet'!$E$12+1,1))</f>
        <v>302.6112905010138</v>
      </c>
      <c r="CE203" s="62">
        <f t="shared" si="207"/>
        <v>423.44006663873375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0.28765700238000347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0.28765700238000347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1.2765231539157764</v>
      </c>
      <c r="BA205" s="88">
        <f>EXP(LN('Données projet'!B88)/'Données projet'!A88)</f>
        <v>1.4749438547769935</v>
      </c>
      <c r="BV205" s="88">
        <f>EXP(LN('Données projet'!B114)/'Données projet'!A114)</f>
        <v>1.9472943612303364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F1" workbookViewId="0">
      <selection activeCell="N12" sqref="N12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Pin maritime</v>
      </c>
      <c r="B6" s="155">
        <f>'Données projet'!D9</f>
        <v>1.470183</v>
      </c>
      <c r="C6" s="156">
        <f ca="1">IF(OR('Données projet'!B9="",'Données projet'!C9="",'Données projet'!C9=0%),0,Calculateur!S3)</f>
        <v>187.13674266165236</v>
      </c>
      <c r="D6" s="156">
        <f>IF(OR('Données projet'!B9="",'Données projet'!C9="",'Données projet'!C9=0%),0,Calculateur!T3)</f>
        <v>439.28159165815276</v>
      </c>
      <c r="E6" s="156">
        <f ca="1">MIN(C6,D6)</f>
        <v>187.13674266165236</v>
      </c>
      <c r="F6" s="156">
        <f ca="1">E6*B6</f>
        <v>275.12525773653607</v>
      </c>
      <c r="G6" s="156">
        <f ca="1">F6*(100%-'Données projet'!$C$24)*(100%-'Données projet'!$C$25)*(100%-'Données projet'!$C$26)*(100%-'Données projet'!$C$27)</f>
        <v>210.4708221684501</v>
      </c>
      <c r="H6" s="157">
        <f>IF(OR('Données projet'!B9="",'Données projet'!C9="",'Données projet'!C9=0%),0,AVERAGE(Calculateur!$AC$3:$AC$33)*B6)</f>
        <v>22.10137565287862</v>
      </c>
      <c r="I6" s="158">
        <f>H6*(100%-'Données projet'!$C$24)*(100%-'Données projet'!$C$25)*(100%-'Données projet'!$C$26)*(100%-'Données projet'!$C$27)</f>
        <v>16.907552374452145</v>
      </c>
      <c r="J6" s="159">
        <f>IF(OR('Données projet'!B9="",'Données projet'!C9="",'Données projet'!C9=0%),0,SUM(Calculateur!$V$3:$V$33)*VLOOKUP('Données projet'!$B$9,Paramètres!$A$1:$I$89,9,0)*B6)</f>
        <v>383.39432273999995</v>
      </c>
      <c r="K6" s="160">
        <f>J6*(100%-'Données projet'!$C$24)*(100%-'Données projet'!$C$25)*(100%-'Données projet'!$C$26)*(100%-'Données projet'!$C$27)</f>
        <v>293.29665689609993</v>
      </c>
      <c r="L6" s="161">
        <f ca="1">G6+I6+K6</f>
        <v>520.67503143900217</v>
      </c>
      <c r="M6" s="25">
        <f ca="1">L6/B6</f>
        <v>354.15661277473765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Chêne rouge d'Amérique</v>
      </c>
      <c r="B7" s="163">
        <f>'Données projet'!D10</f>
        <v>0.92020499999999994</v>
      </c>
      <c r="C7" s="156">
        <f ca="1">IF(OR('Données projet'!B10="",'Données projet'!C10="",'Données projet'!C10=0%),0,Calculateur!AN3)</f>
        <v>327.826081588335</v>
      </c>
      <c r="D7" s="156">
        <f>IF(OR('Données projet'!B10="",'Données projet'!C10="",'Données projet'!C10=0%),0,Calculateur!AO3)</f>
        <v>348.84706693879735</v>
      </c>
      <c r="E7" s="156">
        <f t="shared" ref="E7:E15" ca="1" si="0">MIN(C7,D7)</f>
        <v>327.826081588335</v>
      </c>
      <c r="F7" s="156">
        <f t="shared" ref="F7:F15" ca="1" si="1">E7*B7</f>
        <v>301.66719940799379</v>
      </c>
      <c r="G7" s="156">
        <f ca="1">F7*(100%-'Données projet'!$C$24)*(100%-'Données projet'!$C$25)*(100%-'Données projet'!$C$26)*(100%-'Données projet'!$C$27)</f>
        <v>230.77540754711524</v>
      </c>
      <c r="H7" s="164">
        <f>IF(OR('Données projet'!B10="",'Données projet'!C10="",'Données projet'!C10=0%),0,AVERAGE(Calculateur!$AX$3:$AX$33)*B7)</f>
        <v>3.2600044236969432</v>
      </c>
      <c r="I7" s="158">
        <f>H7*(100%-'Données projet'!$C$24)*(100%-'Données projet'!$C$25)*(100%-'Données projet'!$C$26)*(100%-'Données projet'!$C$27)</f>
        <v>2.4939033841281617</v>
      </c>
      <c r="J7" s="159">
        <f>IF(OR('Données projet'!B10="",'Données projet'!C10="",'Données projet'!C10=0%),0,SUM(Calculateur!$AQ$3:$AQ$33)*VLOOKUP('Données projet'!$B$10,Paramètres!$A$1:$I$89,9,0)*B7)</f>
        <v>28.526354999999999</v>
      </c>
      <c r="K7" s="160">
        <f>J7*(100%-'Données projet'!$C$24)*(100%-'Données projet'!$C$25)*(100%-'Données projet'!$C$26)*(100%-'Données projet'!$C$27)</f>
        <v>21.822661575000001</v>
      </c>
      <c r="L7" s="161">
        <f t="shared" ref="L7:L15" ca="1" si="2">G7+I7+K7</f>
        <v>255.09197250624342</v>
      </c>
      <c r="M7" s="25">
        <f ca="1">L7/B7</f>
        <v>277.21211306854826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Pin taeda</v>
      </c>
      <c r="B8" s="163">
        <f>'Données projet'!D11</f>
        <v>1.0699260000000002</v>
      </c>
      <c r="C8" s="156">
        <f ca="1">IF(OR('Données projet'!B11="",'Données projet'!C11="",'Données projet'!C11=0%),0,Calculateur!BI3)</f>
        <v>187.13674266165236</v>
      </c>
      <c r="D8" s="156">
        <f>IF(OR('Données projet'!B11="",'Données projet'!C11="",'Données projet'!C11=0%),0,Calculateur!BJ3)</f>
        <v>439.28159165815276</v>
      </c>
      <c r="E8" s="156">
        <f t="shared" ca="1" si="0"/>
        <v>187.13674266165236</v>
      </c>
      <c r="F8" s="156">
        <f t="shared" ca="1" si="1"/>
        <v>200.22246652901109</v>
      </c>
      <c r="G8" s="156">
        <f ca="1">F8*(100%-'Données projet'!$C$24)*(100%-'Données projet'!$C$25)*(100%-'Données projet'!$C$26)*(100%-'Données projet'!$C$27)</f>
        <v>153.17018689469347</v>
      </c>
      <c r="H8" s="164">
        <f>IF(OR('Données projet'!B11="",'Données projet'!C11="",'Données projet'!C11=0%),0,AVERAGE(Calculateur!$BS$3:$BS$33)*B8)</f>
        <v>16.084280968275252</v>
      </c>
      <c r="I8" s="158">
        <f>H8*(100%-'Données projet'!$C$24)*(100%-'Données projet'!$C$25)*(100%-'Données projet'!$C$26)*(100%-'Données projet'!$C$27)</f>
        <v>12.304474940730566</v>
      </c>
      <c r="J8" s="159">
        <f>IF(OR('Données projet'!B11="",'Données projet'!C11="",'Données projet'!C11=0%),0,SUM(Calculateur!$BL$3:$BL$33)*VLOOKUP('Données projet'!$B$11,Paramètres!$A$1:$I$89,9,0)*B8)</f>
        <v>203.35013556000004</v>
      </c>
      <c r="K8" s="160">
        <f>J8*(100%-'Données projet'!$C$24)*(100%-'Données projet'!$C$25)*(100%-'Données projet'!$C$26)*(100%-'Données projet'!$C$27)</f>
        <v>155.56285370340004</v>
      </c>
      <c r="L8" s="161">
        <f t="shared" ca="1" si="2"/>
        <v>321.0375155388241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>Robinier faux-acacia</v>
      </c>
      <c r="B9" s="163">
        <f>'Données projet'!D12</f>
        <v>0.82796999999999998</v>
      </c>
      <c r="C9" s="156">
        <f ca="1">IF(OR('Données projet'!B12="",'Données projet'!C12="",'Données projet'!C12=0%),0,Calculateur!CD3)</f>
        <v>302.6112905010138</v>
      </c>
      <c r="D9" s="156">
        <f>IF(OR('Données projet'!B12="",'Données projet'!C12="",'Données projet'!C12=0%),0,Calculateur!CE3)</f>
        <v>423.44006663873375</v>
      </c>
      <c r="E9" s="156">
        <f t="shared" ca="1" si="0"/>
        <v>302.6112905010138</v>
      </c>
      <c r="F9" s="156">
        <f t="shared" ca="1" si="1"/>
        <v>250.55307019612439</v>
      </c>
      <c r="G9" s="156">
        <f ca="1">F9*(100%-'Données projet'!$C$24)*(100%-'Données projet'!$C$25)*(100%-'Données projet'!$C$26)*(100%-'Données projet'!$C$27)</f>
        <v>191.67309870003515</v>
      </c>
      <c r="H9" s="164">
        <f>IF(OR('Données projet'!B12="",'Données projet'!C12="",'Données projet'!C12=0%),0,AVERAGE(Calculateur!$CN$3:$CN$33)*B9)</f>
        <v>1.7412947032434258</v>
      </c>
      <c r="I9" s="158">
        <f>H9*(100%-'Données projet'!$C$24)*(100%-'Données projet'!$C$25)*(100%-'Données projet'!$C$26)*(100%-'Données projet'!$C$27)</f>
        <v>1.3320904479812208</v>
      </c>
      <c r="J9" s="159">
        <f>IF(OR('Données projet'!B12="",'Données projet'!C12="",'Données projet'!C12=0%),0,SUM(Calculateur!$CG$3:$CG$33)*VLOOKUP('Données projet'!$B$12,Paramètres!$A$1:$I$89,9,0)*B9)</f>
        <v>15.73143</v>
      </c>
      <c r="K9" s="160">
        <f>J9*(100%-'Données projet'!$C$24)*(100%-'Données projet'!$C$25)*(100%-'Données projet'!$C$26)*(100%-'Données projet'!$C$27)</f>
        <v>12.03454395</v>
      </c>
      <c r="L9" s="161">
        <f t="shared" ca="1" si="2"/>
        <v>205.03973309801637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1027.5679938696653</v>
      </c>
      <c r="G16" s="175">
        <f t="shared" ca="1" si="3"/>
        <v>786.08951531029402</v>
      </c>
      <c r="H16" s="176">
        <f t="shared" si="3"/>
        <v>43.186955748094242</v>
      </c>
      <c r="I16" s="176">
        <f t="shared" si="3"/>
        <v>33.038021147292092</v>
      </c>
      <c r="J16" s="177">
        <f t="shared" si="3"/>
        <v>631.00224330000003</v>
      </c>
      <c r="K16" s="177">
        <f t="shared" si="3"/>
        <v>482.71671612449995</v>
      </c>
      <c r="L16" s="178">
        <f t="shared" ca="1" si="3"/>
        <v>1301.844252582086</v>
      </c>
      <c r="M16" s="25">
        <f ca="1">L16/6.42</f>
        <v>202.77947859534049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Chêne rouge d'Amérique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Pin taeda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>Robinier faux-acacia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P7" zoomScale="90" zoomScaleNormal="90" workbookViewId="0">
      <selection activeCell="C100" sqref="C100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27" t="s">
        <v>315</v>
      </c>
      <c r="I4" s="327"/>
      <c r="K4" s="324" t="s">
        <v>253</v>
      </c>
      <c r="L4" s="32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5" t="s">
        <v>310</v>
      </c>
      <c r="S7" s="336"/>
      <c r="T7" s="336"/>
      <c r="U7" s="336"/>
      <c r="V7" s="33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4126.8466702244814</v>
      </c>
      <c r="U10" s="190">
        <f>'Données projet'!D9</f>
        <v>1.470183</v>
      </c>
      <c r="V10" s="189">
        <f>U10*T10</f>
        <v>6067.219818170639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rouge d'Amérique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895.3620699952794</v>
      </c>
      <c r="U11" s="190">
        <f>'Données projet'!D10</f>
        <v>0.92020499999999994</v>
      </c>
      <c r="V11" s="189">
        <f t="shared" ref="V11" si="0">U11*T11</f>
        <v>823.91665362000606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Pin taeda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4126.8466702244814</v>
      </c>
      <c r="U12" s="190">
        <f>'Données projet'!D11</f>
        <v>1.0699260000000002</v>
      </c>
      <c r="V12" s="189">
        <f t="shared" ref="V12:V19" si="1">U12*T12</f>
        <v>4415.4205504865995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Robinier faux-acacia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878.41340148668132</v>
      </c>
      <c r="U13" s="190">
        <f>'Données projet'!D12</f>
        <v>0.82796999999999998</v>
      </c>
      <c r="V13" s="189">
        <f t="shared" si="1"/>
        <v>727.29994402892748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28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8"/>
      <c r="H16" s="203"/>
      <c r="I16" s="204"/>
      <c r="J16" s="216"/>
      <c r="K16" s="225"/>
      <c r="L16" s="324" t="s">
        <v>254</v>
      </c>
      <c r="M16" s="325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8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8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8"/>
      <c r="H19" s="232" t="s">
        <v>178</v>
      </c>
      <c r="I19" s="232" t="s">
        <v>287</v>
      </c>
      <c r="J19" s="260"/>
      <c r="K19" s="183"/>
      <c r="L19" s="324" t="s">
        <v>288</v>
      </c>
      <c r="M19" s="325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8"/>
      <c r="H20" s="203">
        <v>0</v>
      </c>
      <c r="I20" s="204">
        <f>(2291+1595+2471+1200+400)/4.1</f>
        <v>1940.7317073170734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f>2061/4.11</f>
        <v>501.45985401459848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f>2193/4.11</f>
        <v>533.57664233576634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12</v>
      </c>
      <c r="B23" s="193">
        <f>'Données projet'!D36</f>
        <v>34</v>
      </c>
      <c r="C23" s="206">
        <v>15</v>
      </c>
      <c r="D23" s="194">
        <f>B23*C23</f>
        <v>510</v>
      </c>
      <c r="E23" s="206"/>
      <c r="F23" s="261"/>
      <c r="H23" s="203">
        <v>3</v>
      </c>
      <c r="I23" s="204">
        <f>1315/4.11</f>
        <v>319.95133819951337</v>
      </c>
      <c r="K23" s="225"/>
      <c r="L23" s="326" t="s">
        <v>260</v>
      </c>
      <c r="M23" s="326"/>
      <c r="N23" s="326"/>
      <c r="O23" s="25"/>
      <c r="P23" s="25"/>
      <c r="Q23" s="265"/>
      <c r="R23" s="25"/>
      <c r="S23" s="185" t="s">
        <v>264</v>
      </c>
      <c r="T23" s="3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-1649.4497284122863</v>
      </c>
      <c r="U23" s="340"/>
      <c r="V23" s="34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17</v>
      </c>
      <c r="B24" s="193">
        <f>'Données projet'!D37</f>
        <v>43</v>
      </c>
      <c r="C24" s="206">
        <v>20</v>
      </c>
      <c r="D24" s="194">
        <f t="shared" ref="D24:D42" si="2">B24*C24</f>
        <v>860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1"/>
      <c r="V24" s="34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22</v>
      </c>
      <c r="B25" s="193">
        <f>'Données projet'!D38</f>
        <v>56</v>
      </c>
      <c r="C25" s="206">
        <v>25</v>
      </c>
      <c r="D25" s="194">
        <f t="shared" si="2"/>
        <v>1400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2">
        <f ca="1">T23-T24</f>
        <v>-1649.4497284122863</v>
      </c>
      <c r="U25" s="342"/>
      <c r="V25" s="34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30</v>
      </c>
      <c r="B26" s="193">
        <f>'Données projet'!D39</f>
        <v>309</v>
      </c>
      <c r="C26" s="206">
        <v>35</v>
      </c>
      <c r="D26" s="194">
        <f t="shared" si="2"/>
        <v>10815</v>
      </c>
      <c r="E26" s="206"/>
      <c r="F26" s="264"/>
      <c r="G26" s="259"/>
      <c r="H26" s="203"/>
      <c r="I26" s="204"/>
      <c r="K26" s="225"/>
      <c r="L26" s="329" t="s">
        <v>258</v>
      </c>
      <c r="M26" s="330"/>
      <c r="N26" s="330"/>
      <c r="O26" s="330"/>
      <c r="P26" s="331"/>
      <c r="Q26" s="265"/>
      <c r="R26" s="25"/>
      <c r="S26" s="198" t="s">
        <v>265</v>
      </c>
      <c r="T26" s="339" t="str">
        <f ca="1">IF(T25&lt;0,"Votre projet est additionnel","Votre projet n'est pas additionnel")</f>
        <v>Votre projet est additionnel</v>
      </c>
      <c r="U26" s="339"/>
      <c r="V26" s="33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2"/>
      <c r="M27" s="333"/>
      <c r="N27" s="333"/>
      <c r="O27" s="333"/>
      <c r="P27" s="334"/>
      <c r="Q27" s="265"/>
      <c r="R27" s="25"/>
      <c r="S27" s="338" t="s">
        <v>267</v>
      </c>
      <c r="T27" s="338"/>
      <c r="U27" s="338"/>
      <c r="V27" s="33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Chêne rouge d'Amérique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20</v>
      </c>
      <c r="B54" s="193">
        <f>'Données projet'!D62</f>
        <v>50</v>
      </c>
      <c r="C54" s="292">
        <v>5</v>
      </c>
      <c r="D54" s="191">
        <f>B54*C54</f>
        <v>250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25</v>
      </c>
      <c r="B55" s="193">
        <f>'Données projet'!D63</f>
        <v>37</v>
      </c>
      <c r="C55" s="292">
        <v>7</v>
      </c>
      <c r="D55" s="191">
        <f t="shared" ref="D55:D73" si="4">B55*C55</f>
        <v>259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30</v>
      </c>
      <c r="B56" s="193">
        <f>'Données projet'!D64</f>
        <v>37</v>
      </c>
      <c r="C56" s="292">
        <v>9</v>
      </c>
      <c r="D56" s="191">
        <f t="shared" si="4"/>
        <v>333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35</v>
      </c>
      <c r="B57" s="193">
        <f>'Données projet'!D65</f>
        <v>36</v>
      </c>
      <c r="C57" s="292">
        <v>9</v>
      </c>
      <c r="D57" s="191">
        <f t="shared" si="4"/>
        <v>324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40</v>
      </c>
      <c r="B58" s="193">
        <f>'Données projet'!D66</f>
        <v>33</v>
      </c>
      <c r="C58" s="292">
        <v>9</v>
      </c>
      <c r="D58" s="191">
        <f t="shared" si="4"/>
        <v>297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45</v>
      </c>
      <c r="B59" s="193">
        <f>'Données projet'!D67</f>
        <v>31</v>
      </c>
      <c r="C59" s="292">
        <v>14</v>
      </c>
      <c r="D59" s="191">
        <f t="shared" si="4"/>
        <v>434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50</v>
      </c>
      <c r="B60" s="193">
        <f>'Données projet'!D68</f>
        <v>28</v>
      </c>
      <c r="C60" s="292">
        <v>14</v>
      </c>
      <c r="D60" s="191">
        <f t="shared" si="4"/>
        <v>392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55</v>
      </c>
      <c r="B61" s="193">
        <f>'Données projet'!D69</f>
        <v>25</v>
      </c>
      <c r="C61" s="292">
        <v>14</v>
      </c>
      <c r="D61" s="191">
        <f t="shared" si="4"/>
        <v>350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60</v>
      </c>
      <c r="B62" s="193">
        <f>'Données projet'!D70</f>
        <v>22</v>
      </c>
      <c r="C62" s="292">
        <v>17</v>
      </c>
      <c r="D62" s="191">
        <f t="shared" si="4"/>
        <v>374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65</v>
      </c>
      <c r="B63" s="193">
        <f>'Données projet'!D71</f>
        <v>20</v>
      </c>
      <c r="C63" s="292">
        <v>17</v>
      </c>
      <c r="D63" s="191">
        <f t="shared" si="4"/>
        <v>340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70</v>
      </c>
      <c r="B64" s="193">
        <f>'Données projet'!D72</f>
        <v>17</v>
      </c>
      <c r="C64" s="292">
        <v>17</v>
      </c>
      <c r="D64" s="191">
        <f t="shared" si="4"/>
        <v>289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75</v>
      </c>
      <c r="B65" s="193">
        <f>'Données projet'!D73</f>
        <v>15</v>
      </c>
      <c r="C65" s="292">
        <v>20</v>
      </c>
      <c r="D65" s="191">
        <f t="shared" si="4"/>
        <v>300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80</v>
      </c>
      <c r="B66" s="193">
        <f>'Données projet'!D74</f>
        <v>13</v>
      </c>
      <c r="C66" s="292">
        <v>25</v>
      </c>
      <c r="D66" s="191">
        <f t="shared" si="4"/>
        <v>325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85</v>
      </c>
      <c r="B67" s="193">
        <f>'Données projet'!D75</f>
        <v>12</v>
      </c>
      <c r="C67" s="292">
        <v>30</v>
      </c>
      <c r="D67" s="191">
        <f t="shared" si="4"/>
        <v>360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90</v>
      </c>
      <c r="B68" s="193">
        <f>'Données projet'!D76</f>
        <v>236</v>
      </c>
      <c r="C68" s="292">
        <v>80</v>
      </c>
      <c r="D68" s="191">
        <f t="shared" si="4"/>
        <v>18880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Pin taeda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12</v>
      </c>
      <c r="B85" s="193">
        <f>'Données projet'!D88</f>
        <v>34</v>
      </c>
      <c r="C85" s="206">
        <v>15</v>
      </c>
      <c r="D85" s="191">
        <f>B85*C85</f>
        <v>510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17</v>
      </c>
      <c r="B86" s="193">
        <f>'Données projet'!D89</f>
        <v>43</v>
      </c>
      <c r="C86" s="206">
        <v>20</v>
      </c>
      <c r="D86" s="191">
        <f t="shared" ref="D86:D104" si="6">B86*C86</f>
        <v>860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22</v>
      </c>
      <c r="B87" s="193">
        <f>'Données projet'!D90</f>
        <v>56</v>
      </c>
      <c r="C87" s="206">
        <v>25</v>
      </c>
      <c r="D87" s="191">
        <f t="shared" si="6"/>
        <v>1400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30</v>
      </c>
      <c r="B88" s="193">
        <f>'Données projet'!D91</f>
        <v>309</v>
      </c>
      <c r="C88" s="206">
        <v>35</v>
      </c>
      <c r="D88" s="191">
        <f t="shared" si="6"/>
        <v>10815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>Robinier faux-acacia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5</v>
      </c>
      <c r="B116" s="193">
        <f>'Données projet'!D114</f>
        <v>4</v>
      </c>
      <c r="C116" s="292">
        <v>8</v>
      </c>
      <c r="D116" s="191">
        <f>B116*C116</f>
        <v>32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10</v>
      </c>
      <c r="B117" s="193">
        <f>'Données projet'!D115</f>
        <v>21</v>
      </c>
      <c r="C117" s="292">
        <v>8</v>
      </c>
      <c r="D117" s="191">
        <f t="shared" ref="D117:D135" si="8">B117*C117</f>
        <v>168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15</v>
      </c>
      <c r="B118" s="193">
        <f>'Données projet'!D116</f>
        <v>17</v>
      </c>
      <c r="C118" s="292">
        <v>9</v>
      </c>
      <c r="D118" s="191">
        <f t="shared" si="8"/>
        <v>153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20</v>
      </c>
      <c r="B119" s="193">
        <f>'Données projet'!D117</f>
        <v>14</v>
      </c>
      <c r="C119" s="292">
        <v>12</v>
      </c>
      <c r="D119" s="191">
        <f t="shared" si="8"/>
        <v>168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25</v>
      </c>
      <c r="B120" s="193">
        <f>'Données projet'!D118</f>
        <v>11</v>
      </c>
      <c r="C120" s="292">
        <v>12</v>
      </c>
      <c r="D120" s="191">
        <f t="shared" si="8"/>
        <v>132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30</v>
      </c>
      <c r="B121" s="193">
        <f>'Données projet'!D119</f>
        <v>9</v>
      </c>
      <c r="C121" s="292">
        <v>13</v>
      </c>
      <c r="D121" s="191">
        <f t="shared" si="8"/>
        <v>117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35</v>
      </c>
      <c r="B122" s="193">
        <f>'Données projet'!D120</f>
        <v>7</v>
      </c>
      <c r="C122" s="292">
        <v>13</v>
      </c>
      <c r="D122" s="191">
        <f t="shared" si="8"/>
        <v>91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40</v>
      </c>
      <c r="B123" s="193">
        <f>'Données projet'!D121</f>
        <v>6</v>
      </c>
      <c r="C123" s="292">
        <v>14</v>
      </c>
      <c r="D123" s="191">
        <f t="shared" si="8"/>
        <v>84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45</v>
      </c>
      <c r="B124" s="193">
        <f>'Données projet'!D122</f>
        <v>252</v>
      </c>
      <c r="C124" s="292">
        <v>14</v>
      </c>
      <c r="D124" s="191">
        <f t="shared" si="8"/>
        <v>3528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2024-10-02T10:02:56Z</dcterms:modified>
</cp:coreProperties>
</file>