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17-B-DELAMOTTE-NAQ(86)-JOLINES-Chotard-Archigny-3,19ha/"/>
    </mc:Choice>
  </mc:AlternateContent>
  <xr:revisionPtr revIDLastSave="0" documentId="13_ncr:1_{9423EA25-855C-9F46-B5D3-DB478406A043}" xr6:coauthVersionLast="47" xr6:coauthVersionMax="47" xr10:uidLastSave="{00000000-0000-0000-0000-000000000000}"/>
  <bookViews>
    <workbookView xWindow="0" yWindow="760" windowWidth="30240" windowHeight="18880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51" i="2" a="1"/>
  <c r="AH151" i="2" s="1"/>
  <c r="AH166" i="2" a="1"/>
  <c r="AH166" i="2" s="1"/>
  <c r="BC34" i="2" a="1"/>
  <c r="BC34" i="2" s="1"/>
  <c r="BC117" i="2" a="1"/>
  <c r="BC117" i="2" s="1"/>
  <c r="BC114" i="2" a="1"/>
  <c r="BC114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53" i="2" l="1"/>
  <c r="CD94" i="2"/>
  <c r="CD46" i="2"/>
  <c r="CD126" i="2"/>
  <c r="CD201" i="2"/>
  <c r="CD85" i="2"/>
  <c r="CD177" i="2"/>
  <c r="CD171" i="2"/>
  <c r="CD39" i="2"/>
  <c r="CD29" i="2"/>
  <c r="CD160" i="2"/>
  <c r="CD167" i="2"/>
  <c r="CD132" i="2"/>
  <c r="CD60" i="2"/>
  <c r="CD40" i="2"/>
  <c r="CD173" i="2"/>
  <c r="CD165" i="2"/>
  <c r="CD182" i="2"/>
  <c r="CD87" i="2"/>
  <c r="CD72" i="2"/>
  <c r="CD8" i="2"/>
  <c r="CD148" i="2"/>
  <c r="CD95" i="2"/>
  <c r="CD70" i="2"/>
  <c r="CD20" i="2"/>
  <c r="CD61" i="2"/>
  <c r="CD58" i="2"/>
  <c r="CD5" i="2"/>
  <c r="CD69" i="2"/>
  <c r="CD112" i="2"/>
  <c r="CD181" i="2"/>
  <c r="CD47" i="2"/>
  <c r="CD198" i="2"/>
  <c r="CD12" i="2"/>
  <c r="CD57" i="2"/>
  <c r="CD119" i="2"/>
  <c r="CD71" i="2"/>
  <c r="CD104" i="2"/>
  <c r="CD150" i="2"/>
  <c r="CD140" i="2"/>
  <c r="CD168" i="2"/>
  <c r="CD23" i="2"/>
  <c r="CD145" i="2"/>
  <c r="CD107" i="2"/>
  <c r="CD27" i="2"/>
  <c r="CD88" i="2"/>
  <c r="CD141" i="2"/>
  <c r="CD123" i="2"/>
  <c r="CD144" i="2"/>
  <c r="CD159" i="2"/>
  <c r="CD185" i="2"/>
  <c r="CD90" i="2"/>
  <c r="CD155" i="2"/>
  <c r="CD184" i="2"/>
  <c r="CD129" i="2"/>
  <c r="CD42" i="2"/>
  <c r="CD113" i="2"/>
  <c r="CD116" i="2"/>
  <c r="CD139" i="2"/>
  <c r="CD110" i="2"/>
  <c r="CD164" i="2"/>
  <c r="CD9" i="2"/>
  <c r="CD133" i="2"/>
  <c r="CD127" i="2"/>
  <c r="CD103" i="2"/>
  <c r="CD24" i="2"/>
  <c r="CD203" i="2"/>
  <c r="CD81" i="2"/>
  <c r="CD172" i="2"/>
  <c r="CD89" i="2"/>
  <c r="CD147" i="2"/>
  <c r="CD99" i="2"/>
  <c r="CD64" i="2"/>
  <c r="CD162" i="2"/>
  <c r="CD121" i="2"/>
  <c r="CD26" i="2"/>
  <c r="CD43" i="2"/>
  <c r="CD93" i="2"/>
  <c r="CD35" i="2"/>
  <c r="CD98" i="2"/>
  <c r="CD28" i="2"/>
  <c r="CD195" i="2"/>
  <c r="CD10" i="2"/>
  <c r="CD54" i="2"/>
  <c r="CD21" i="2"/>
  <c r="CD122" i="2"/>
  <c r="CD32" i="2"/>
  <c r="CD76" i="2"/>
  <c r="CD143" i="2"/>
  <c r="CD33" i="2"/>
  <c r="CD82" i="2"/>
  <c r="CD158" i="2"/>
  <c r="CD183" i="2"/>
  <c r="CD52" i="2"/>
  <c r="CD30" i="2"/>
  <c r="CD109" i="2"/>
  <c r="CD102" i="2"/>
  <c r="CD179" i="2"/>
  <c r="CD49" i="2"/>
  <c r="CD149" i="2"/>
  <c r="CD106" i="2"/>
  <c r="CD117" i="2"/>
  <c r="CD4" i="2"/>
  <c r="CD66" i="2"/>
  <c r="CD191" i="2"/>
  <c r="CD78" i="2"/>
  <c r="CD62" i="2"/>
  <c r="CD190" i="2"/>
  <c r="CD18" i="2"/>
  <c r="CD31" i="2"/>
  <c r="CD138" i="2"/>
  <c r="CD176" i="2"/>
  <c r="CD166" i="2"/>
  <c r="CD38" i="2"/>
  <c r="CD91" i="2"/>
  <c r="CD146" i="2"/>
  <c r="CD196" i="2"/>
  <c r="CD37" i="2"/>
  <c r="CD142" i="2"/>
  <c r="CD15" i="2"/>
  <c r="CD77" i="2"/>
  <c r="CD56" i="2"/>
  <c r="CD169" i="2"/>
  <c r="CD200" i="2"/>
  <c r="CD63" i="2"/>
  <c r="CD118" i="2"/>
  <c r="CD25" i="2"/>
  <c r="CD22" i="2"/>
  <c r="CD53" i="2"/>
  <c r="CD92" i="2"/>
  <c r="CD128" i="2"/>
  <c r="CD174" i="2"/>
  <c r="CD34" i="2"/>
  <c r="CD83" i="2"/>
  <c r="CD84" i="2"/>
  <c r="CD194" i="2"/>
  <c r="CD197" i="2"/>
  <c r="CD44" i="2"/>
  <c r="CD75" i="2"/>
  <c r="CD50" i="2"/>
  <c r="CD68" i="2"/>
  <c r="CD101" i="2"/>
  <c r="CD180" i="2"/>
  <c r="CD130" i="2"/>
  <c r="CD192" i="2"/>
  <c r="CD131" i="2"/>
  <c r="CD79" i="2"/>
  <c r="CD41" i="2"/>
  <c r="CD156" i="2"/>
  <c r="CD55" i="2"/>
  <c r="CD187" i="2"/>
  <c r="CD86" i="2"/>
  <c r="CD74" i="2"/>
  <c r="CD163" i="2"/>
  <c r="CD134" i="2"/>
  <c r="CD120" i="2"/>
  <c r="CD186" i="2"/>
  <c r="CD73" i="2"/>
  <c r="CD124" i="2"/>
  <c r="CD51" i="2"/>
  <c r="CD6" i="2"/>
  <c r="CD13" i="2"/>
  <c r="CD3" i="2"/>
  <c r="C9" i="4" s="1"/>
  <c r="E9" i="4" s="1"/>
  <c r="F9" i="4" s="1"/>
  <c r="G9" i="4" s="1"/>
  <c r="L9" i="4" s="1"/>
  <c r="CD137" i="2"/>
  <c r="CD189" i="2"/>
  <c r="CD136" i="2"/>
  <c r="CD11" i="2"/>
  <c r="CD96" i="2"/>
  <c r="CD36" i="2"/>
  <c r="CD175" i="2"/>
  <c r="CD108" i="2"/>
  <c r="CD100" i="2"/>
  <c r="CD111" i="2"/>
  <c r="CD161" i="2"/>
  <c r="CD178" i="2"/>
  <c r="CD105" i="2"/>
  <c r="CD170" i="2"/>
  <c r="CD115" i="2"/>
  <c r="CD188" i="2"/>
  <c r="CD202" i="2"/>
  <c r="CD152" i="2"/>
  <c r="CD59" i="2"/>
  <c r="CD193" i="2"/>
  <c r="CD16" i="2"/>
  <c r="CD65" i="2"/>
  <c r="CD151" i="2"/>
  <c r="CD19" i="2"/>
  <c r="CD125" i="2"/>
  <c r="CD14" i="2"/>
  <c r="CD17" i="2"/>
  <c r="CD67" i="2"/>
  <c r="CD97" i="2"/>
  <c r="CD114" i="2"/>
  <c r="CD199" i="2"/>
  <c r="CD157" i="2"/>
  <c r="CD154" i="2"/>
  <c r="CD45" i="2"/>
  <c r="CD135" i="2"/>
  <c r="CD48" i="2"/>
  <c r="CD7" i="2"/>
  <c r="CD8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2" i="2" l="1"/>
  <c r="BI97" i="2"/>
  <c r="BI172" i="2"/>
  <c r="BI197" i="2"/>
  <c r="BI25" i="2"/>
  <c r="BI179" i="2"/>
  <c r="BI18" i="2"/>
  <c r="BI10" i="2"/>
  <c r="BI38" i="2"/>
  <c r="BI154" i="2"/>
  <c r="BI41" i="2"/>
  <c r="BI124" i="2"/>
  <c r="BI65" i="2"/>
  <c r="BI51" i="2"/>
  <c r="BI27" i="2"/>
  <c r="BI23" i="2"/>
  <c r="BI118" i="2"/>
  <c r="BI46" i="2"/>
  <c r="BI101" i="2"/>
  <c r="BI29" i="2"/>
  <c r="BI144" i="2"/>
  <c r="BI182" i="2"/>
  <c r="BI158" i="2"/>
  <c r="BI54" i="2"/>
  <c r="BI120" i="2"/>
  <c r="BI113" i="2"/>
  <c r="BI145" i="2"/>
  <c r="BI66" i="2"/>
  <c r="BI55" i="2"/>
  <c r="BI161" i="2"/>
  <c r="BI20" i="2"/>
  <c r="BI78" i="2"/>
  <c r="BI91" i="2"/>
  <c r="BI93" i="2"/>
  <c r="BI3" i="2"/>
  <c r="C8" i="4" s="1"/>
  <c r="E8" i="4" s="1"/>
  <c r="F8" i="4" s="1"/>
  <c r="G8" i="4" s="1"/>
  <c r="L8" i="4" s="1"/>
  <c r="BI36" i="2"/>
  <c r="BI95" i="2"/>
  <c r="BI140" i="2"/>
  <c r="BI127" i="2"/>
  <c r="BI85" i="2"/>
  <c r="BI45" i="2"/>
  <c r="BI160" i="2"/>
  <c r="BI88" i="2"/>
  <c r="BI196" i="2"/>
  <c r="BI115" i="2"/>
  <c r="BI90" i="2"/>
  <c r="BI79" i="2"/>
  <c r="BI98" i="2"/>
  <c r="BI139" i="2"/>
  <c r="BI148" i="2"/>
  <c r="BI50" i="2"/>
  <c r="BI87" i="2"/>
  <c r="BI40" i="2"/>
  <c r="BI104" i="2"/>
  <c r="BI138" i="2"/>
  <c r="BI39" i="2"/>
  <c r="BI121" i="2"/>
  <c r="BI149" i="2"/>
  <c r="BI151" i="2"/>
  <c r="BI96" i="2"/>
  <c r="BI159" i="2"/>
  <c r="BI21" i="2"/>
  <c r="BI178" i="2"/>
  <c r="BI59" i="2"/>
  <c r="BI61" i="2"/>
  <c r="BI105" i="2"/>
  <c r="BI188" i="2"/>
  <c r="BI199" i="2"/>
  <c r="BI48" i="2"/>
  <c r="BI34" i="2"/>
  <c r="BI5" i="2"/>
  <c r="BI153" i="2"/>
  <c r="BI119" i="2"/>
  <c r="BI131" i="2"/>
  <c r="BI74" i="2"/>
  <c r="BI32" i="2"/>
  <c r="BI143" i="2"/>
  <c r="BI49" i="2"/>
  <c r="BI170" i="2"/>
  <c r="BI35" i="2"/>
  <c r="BI156" i="2"/>
  <c r="BI162" i="2"/>
  <c r="BI166" i="2"/>
  <c r="BI89" i="2"/>
  <c r="BI30" i="2"/>
  <c r="BI173" i="2"/>
  <c r="BI26" i="2"/>
  <c r="BI69" i="2"/>
  <c r="BI16" i="2"/>
  <c r="BI47" i="2"/>
  <c r="BI75" i="2"/>
  <c r="BI57" i="2"/>
  <c r="BI136" i="2"/>
  <c r="BI177" i="2"/>
  <c r="BI176" i="2"/>
  <c r="BI201" i="2"/>
  <c r="BI9" i="2"/>
  <c r="BI203" i="2"/>
  <c r="BI11" i="2"/>
  <c r="BI107" i="2"/>
  <c r="BI123" i="2"/>
  <c r="BI180" i="2"/>
  <c r="BI67" i="2"/>
  <c r="BI194" i="2"/>
  <c r="BI135" i="2"/>
  <c r="BI128" i="2"/>
  <c r="BI137" i="2"/>
  <c r="BI184" i="2"/>
  <c r="BI195" i="2"/>
  <c r="BI134" i="2"/>
  <c r="BI19" i="2"/>
  <c r="BI189" i="2"/>
  <c r="BI62" i="2"/>
  <c r="BI37" i="2"/>
  <c r="BI68" i="2"/>
  <c r="BI192" i="2"/>
  <c r="BI146" i="2"/>
  <c r="BI108" i="2"/>
  <c r="BI63" i="2"/>
  <c r="BI100" i="2"/>
  <c r="BI142" i="2"/>
  <c r="BI202" i="2"/>
  <c r="BI31" i="2"/>
  <c r="BI103" i="2"/>
  <c r="BI43" i="2"/>
  <c r="BI193" i="2"/>
  <c r="BI73" i="2"/>
  <c r="BI198" i="2"/>
  <c r="BI150" i="2"/>
  <c r="BI24" i="2"/>
  <c r="BI117" i="2"/>
  <c r="BI175" i="2"/>
  <c r="BI106" i="2"/>
  <c r="BI99" i="2"/>
  <c r="BI84" i="2"/>
  <c r="BI8" i="2"/>
  <c r="BI17" i="2"/>
  <c r="BI147" i="2"/>
  <c r="BI133" i="2"/>
  <c r="BI187" i="2"/>
  <c r="BI60" i="2"/>
  <c r="BI165" i="2"/>
  <c r="BI14" i="2"/>
  <c r="BI64" i="2"/>
  <c r="BI83" i="2"/>
  <c r="BI92" i="2"/>
  <c r="BI171" i="2"/>
  <c r="BI130" i="2"/>
  <c r="BI4" i="2"/>
  <c r="BI109" i="2"/>
  <c r="BI94" i="2"/>
  <c r="BI157" i="2"/>
  <c r="BI132" i="2"/>
  <c r="BI183" i="2"/>
  <c r="BI44" i="2"/>
  <c r="BI72" i="2"/>
  <c r="BI174" i="2"/>
  <c r="BI190" i="2"/>
  <c r="BI15" i="2"/>
  <c r="BI111" i="2"/>
  <c r="BI126" i="2"/>
  <c r="BI58" i="2"/>
  <c r="BI116" i="2"/>
  <c r="BI163" i="2"/>
  <c r="BI28" i="2"/>
  <c r="BI185" i="2"/>
  <c r="BI80" i="2"/>
  <c r="BI186" i="2"/>
  <c r="BI102" i="2"/>
  <c r="BI155" i="2"/>
  <c r="BI141" i="2"/>
  <c r="BI7" i="2"/>
  <c r="BI76" i="2"/>
  <c r="BI13" i="2"/>
  <c r="BI110" i="2"/>
  <c r="BI152" i="2"/>
  <c r="BI168" i="2"/>
  <c r="BI125" i="2"/>
  <c r="BI22" i="2"/>
  <c r="BI33" i="2"/>
  <c r="BI167" i="2"/>
  <c r="BI112" i="2"/>
  <c r="BI42" i="2"/>
  <c r="BI200" i="2"/>
  <c r="BI77" i="2"/>
  <c r="BI164" i="2"/>
  <c r="BI82" i="2"/>
  <c r="BI114" i="2"/>
  <c r="BI169" i="2"/>
  <c r="BI70" i="2"/>
  <c r="BI86" i="2"/>
  <c r="BI71" i="2"/>
  <c r="BI6" i="2"/>
  <c r="BI56" i="2"/>
  <c r="BI53" i="2"/>
  <c r="BI191" i="2"/>
  <c r="BI181" i="2"/>
  <c r="BI12" i="2"/>
  <c r="BI52" i="2"/>
  <c r="BI129" i="2"/>
  <c r="BI8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<sst xmlns="http://schemas.openxmlformats.org/spreadsheetml/2006/main" count="1174" uniqueCount="324">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</sst>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2.8437102362060824</c:v>
                </c:pt>
                <c:pt idx="2">
                  <c:v>3.334185045959853</c:v>
                </c:pt>
                <c:pt idx="3">
                  <c:v>3.9095634367808625</c:v>
                </c:pt>
                <c:pt idx="4">
                  <c:v>4.5845929576223758</c:v>
                </c:pt>
                <c:pt idx="5">
                  <c:v>5.3765909664207072</c:v>
                </c:pt>
                <c:pt idx="6">
                  <c:v>6.3058937577067757</c:v>
                </c:pt>
                <c:pt idx="7">
                  <c:v>7.3963843997570935</c:v>
                </c:pt>
                <c:pt idx="8">
                  <c:v>8.6761131098177131</c:v>
                </c:pt>
                <c:pt idx="9">
                  <c:v>10.178026431060688</c:v>
                </c:pt>
                <c:pt idx="10">
                  <c:v>11.940824339766083</c:v>
                </c:pt>
                <c:pt idx="11">
                  <c:v>14.009967781733563</c:v>
                </c:pt>
                <c:pt idx="12">
                  <c:v>16.438863102541085</c:v>
                </c:pt>
                <c:pt idx="13">
                  <c:v>19.290254502248803</c:v>
                </c:pt>
                <c:pt idx="14">
                  <c:v>22.637861135409764</c:v>
                </c:pt>
                <c:pt idx="15">
                  <c:v>26.568301937671219</c:v>
                </c:pt>
                <c:pt idx="16">
                  <c:v>31.183358862564273</c:v>
                </c:pt>
                <c:pt idx="17">
                  <c:v>36.602638158465716</c:v>
                </c:pt>
                <c:pt idx="18">
                  <c:v>42.966699844208229</c:v>
                </c:pt>
                <c:pt idx="19">
                  <c:v>50.440737932668497</c:v>
                </c:pt>
                <c:pt idx="20">
                  <c:v>59.218908534847664</c:v>
                </c:pt>
                <c:pt idx="21">
                  <c:v>69.529420141002802</c:v>
                </c:pt>
                <c:pt idx="22">
                  <c:v>81.640520577767887</c:v>
                </c:pt>
                <c:pt idx="23">
                  <c:v>95.867538919606773</c:v>
                </c:pt>
                <c:pt idx="24">
                  <c:v>112.58116862370046</c:v>
                </c:pt>
                <c:pt idx="25">
                  <c:v>132.21721110646135</c:v>
                </c:pt>
                <c:pt idx="26">
                  <c:v>146.73924981884886</c:v>
                </c:pt>
                <c:pt idx="27">
                  <c:v>177.74673882318049</c:v>
                </c:pt>
                <c:pt idx="28">
                  <c:v>208.62706473142649</c:v>
                </c:pt>
                <c:pt idx="29">
                  <c:v>239.40172796913217</c:v>
                </c:pt>
                <c:pt idx="30">
                  <c:v>270.08622765058908</c:v>
                </c:pt>
                <c:pt idx="31">
                  <c:v>259.86729593392812</c:v>
                </c:pt>
                <c:pt idx="32">
                  <c:v>284.37819888953499</c:v>
                </c:pt>
                <c:pt idx="33">
                  <c:v>308.84180466613213</c:v>
                </c:pt>
                <c:pt idx="34">
                  <c:v>333.26238416035659</c:v>
                </c:pt>
                <c:pt idx="35">
                  <c:v>357.64353127694955</c:v>
                </c:pt>
                <c:pt idx="36">
                  <c:v>334.07570605191592</c:v>
                </c:pt>
                <c:pt idx="37">
                  <c:v>355.20710008373004</c:v>
                </c:pt>
                <c:pt idx="38">
                  <c:v>376.31096940375278</c:v>
                </c:pt>
                <c:pt idx="39">
                  <c:v>397.38907379199071</c:v>
                </c:pt>
                <c:pt idx="40">
                  <c:v>418.44297119801405</c:v>
                </c:pt>
                <c:pt idx="41">
                  <c:v>385.63705821229979</c:v>
                </c:pt>
                <c:pt idx="42">
                  <c:v>405.48951209335428</c:v>
                </c:pt>
                <c:pt idx="43">
                  <c:v>425.32096347765884</c:v>
                </c:pt>
                <c:pt idx="44">
                  <c:v>445.13252883817319</c:v>
                </c:pt>
                <c:pt idx="45">
                  <c:v>464.92521721380899</c:v>
                </c:pt>
                <c:pt idx="46">
                  <c:v>426.53447718930846</c:v>
                </c:pt>
                <c:pt idx="47">
                  <c:v>444.72840313442015</c:v>
                </c:pt>
                <c:pt idx="48">
                  <c:v>462.9063927324849</c:v>
                </c:pt>
                <c:pt idx="49">
                  <c:v>481.06915953635774</c:v>
                </c:pt>
                <c:pt idx="50">
                  <c:v>499.21735885305549</c:v>
                </c:pt>
                <c:pt idx="51">
                  <c:v>456.04097852954527</c:v>
                </c:pt>
                <c:pt idx="52">
                  <c:v>473.40224929775815</c:v>
                </c:pt>
                <c:pt idx="53">
                  <c:v>490.74997248101175</c:v>
                </c:pt>
                <c:pt idx="54">
                  <c:v>508.08469414781183</c:v>
                </c:pt>
                <c:pt idx="55">
                  <c:v>525.40692008667077</c:v>
                </c:pt>
                <c:pt idx="56">
                  <c:v>481.47260879367838</c:v>
                </c:pt>
                <c:pt idx="57">
                  <c:v>498.00791974705584</c:v>
                </c:pt>
                <c:pt idx="58">
                  <c:v>514.53160747513641</c:v>
                </c:pt>
                <c:pt idx="59">
                  <c:v>531.04409761975774</c:v>
                </c:pt>
                <c:pt idx="60">
                  <c:v>547.54578720789482</c:v>
                </c:pt>
                <c:pt idx="61">
                  <c:v>501.23295290548816</c:v>
                </c:pt>
                <c:pt idx="62">
                  <c:v>517.3515944862055</c:v>
                </c:pt>
                <c:pt idx="63">
                  <c:v>533.45964452335932</c:v>
                </c:pt>
                <c:pt idx="64">
                  <c:v>549.55746771122097</c:v>
                </c:pt>
                <c:pt idx="65">
                  <c:v>565.64540564760989</c:v>
                </c:pt>
                <c:pt idx="66">
                  <c:v>518.56006095402699</c:v>
                </c:pt>
                <c:pt idx="67">
                  <c:v>533.86221327471173</c:v>
                </c:pt>
                <c:pt idx="68">
                  <c:v>549.15514398564085</c:v>
                </c:pt>
                <c:pt idx="69">
                  <c:v>564.43914594243518</c:v>
                </c:pt>
                <c:pt idx="70">
                  <c:v>579.71449485526762</c:v>
                </c:pt>
                <c:pt idx="71">
                  <c:v>531.84930555696292</c:v>
                </c:pt>
                <c:pt idx="72">
                  <c:v>546.33870450994402</c:v>
                </c:pt>
                <c:pt idx="73">
                  <c:v>560.82004275683403</c:v>
                </c:pt>
                <c:pt idx="74">
                  <c:v>575.29355767229902</c:v>
                </c:pt>
                <c:pt idx="75">
                  <c:v>589.75947371847678</c:v>
                </c:pt>
                <c:pt idx="76">
                  <c:v>542.31469049904456</c:v>
                </c:pt>
                <c:pt idx="77">
                  <c:v>557.20045067599415</c:v>
                </c:pt>
                <c:pt idx="78">
                  <c:v>572.07788542675723</c:v>
                </c:pt>
                <c:pt idx="79">
                  <c:v>586.94724165778496</c:v>
                </c:pt>
                <c:pt idx="80">
                  <c:v>601.80875275182643</c:v>
                </c:pt>
                <c:pt idx="81">
                  <c:v>553.58036607052361</c:v>
                </c:pt>
                <c:pt idx="82">
                  <c:v>567.65571901573014</c:v>
                </c:pt>
                <c:pt idx="83">
                  <c:v>581.72377892545001</c:v>
                </c:pt>
                <c:pt idx="84">
                  <c:v>595.7847469423931</c:v>
                </c:pt>
                <c:pt idx="85">
                  <c:v>609.83881394520893</c:v>
                </c:pt>
                <c:pt idx="86">
                  <c:v>562.83071576489817</c:v>
                </c:pt>
                <c:pt idx="87">
                  <c:v>576.09741701420523</c:v>
                </c:pt>
                <c:pt idx="88">
                  <c:v>589.35774341261913</c:v>
                </c:pt>
                <c:pt idx="89">
                  <c:v>602.61185854782025</c:v>
                </c:pt>
                <c:pt idx="90">
                  <c:v>615.85991822759115</c:v>
                </c:pt>
                <c:pt idx="91">
                  <c:v>568.86183556500612</c:v>
                </c:pt>
                <c:pt idx="92">
                  <c:v>582.12561835537451</c:v>
                </c:pt>
                <c:pt idx="93">
                  <c:v>595.38310165344728</c:v>
                </c:pt>
                <c:pt idx="94">
                  <c:v>608.63444544128674</c:v>
                </c:pt>
                <c:pt idx="95">
                  <c:v>621.87980216948142</c:v>
                </c:pt>
                <c:pt idx="96">
                  <c:v>576.09741701420546</c:v>
                </c:pt>
                <c:pt idx="97">
                  <c:v>588.55426568732616</c:v>
                </c:pt>
                <c:pt idx="98">
                  <c:v>601.00562468188207</c:v>
                </c:pt>
                <c:pt idx="99">
                  <c:v>613.45162372006382</c:v>
                </c:pt>
                <c:pt idx="100">
                  <c:v>625.89238683301301</c:v>
                </c:pt>
                <c:pt idx="101">
                  <c:v>580.11636327398162</c:v>
                </c:pt>
                <c:pt idx="102">
                  <c:v>592.57142654607583</c:v>
                </c:pt>
                <c:pt idx="103">
                  <c:v>605.02104263059414</c:v>
                </c:pt>
                <c:pt idx="104">
                  <c:v>617.4653393726137</c:v>
                </c:pt>
                <c:pt idx="105">
                  <c:v>629.90443904577694</c:v>
                </c:pt>
                <c:pt idx="106">
                  <c:v>585.7419134883047</c:v>
                </c:pt>
                <c:pt idx="107">
                  <c:v>597.79288898117727</c:v>
                </c:pt>
                <c:pt idx="108">
                  <c:v>609.83881394520915</c:v>
                </c:pt>
                <c:pt idx="109">
                  <c:v>621.8798021694812</c:v>
                </c:pt>
                <c:pt idx="110">
                  <c:v>633.91596267885609</c:v>
                </c:pt>
                <c:pt idx="111">
                  <c:v>590.96463046211295</c:v>
                </c:pt>
                <c:pt idx="112">
                  <c:v>602.21030843194649</c:v>
                </c:pt>
                <c:pt idx="113">
                  <c:v>613.45162372006382</c:v>
                </c:pt>
                <c:pt idx="114">
                  <c:v>624.68866751882388</c:v>
                </c:pt>
                <c:pt idx="115">
                  <c:v>635.92152747320313</c:v>
                </c:pt>
                <c:pt idx="116">
                  <c:v>594.98145072732621</c:v>
                </c:pt>
                <c:pt idx="117">
                  <c:v>606.22555989627028</c:v>
                </c:pt>
                <c:pt idx="118">
                  <c:v>617.46533937261427</c:v>
                </c:pt>
                <c:pt idx="119">
                  <c:v>628.70087905791468</c:v>
                </c:pt>
                <c:pt idx="120">
                  <c:v>639.93226537936891</c:v>
                </c:pt>
                <c:pt idx="121">
                  <c:v>6.7737255858274096E-12</c:v>
                </c:pt>
                <c:pt idx="122">
                  <c:v>6.7737255858274096E-12</c:v>
                </c:pt>
                <c:pt idx="123">
                  <c:v>6.7737255858274096E-12</c:v>
                </c:pt>
                <c:pt idx="124">
                  <c:v>6.7737255858274096E-12</c:v>
                </c:pt>
                <c:pt idx="125">
                  <c:v>6.7737255858274096E-12</c:v>
                </c:pt>
                <c:pt idx="126">
                  <c:v>6.7737255858274096E-12</c:v>
                </c:pt>
                <c:pt idx="127">
                  <c:v>6.7737255858274096E-12</c:v>
                </c:pt>
                <c:pt idx="128">
                  <c:v>6.7737255858274096E-12</c:v>
                </c:pt>
                <c:pt idx="129">
                  <c:v>6.7737255858274096E-12</c:v>
                </c:pt>
                <c:pt idx="130">
                  <c:v>6.7737255858274096E-12</c:v>
                </c:pt>
                <c:pt idx="131">
                  <c:v>6.7737255858274096E-12</c:v>
                </c:pt>
                <c:pt idx="132">
                  <c:v>6.7737255858274096E-12</c:v>
                </c:pt>
                <c:pt idx="133">
                  <c:v>6.7737255858274096E-12</c:v>
                </c:pt>
                <c:pt idx="134">
                  <c:v>6.7737255858274096E-12</c:v>
                </c:pt>
                <c:pt idx="135">
                  <c:v>6.7737255858274096E-12</c:v>
                </c:pt>
                <c:pt idx="136">
                  <c:v>6.7737255858274096E-12</c:v>
                </c:pt>
                <c:pt idx="137">
                  <c:v>6.7737255858274096E-12</c:v>
                </c:pt>
                <c:pt idx="138">
                  <c:v>6.7737255858274096E-12</c:v>
                </c:pt>
                <c:pt idx="139">
                  <c:v>6.7737255858274096E-12</c:v>
                </c:pt>
                <c:pt idx="140">
                  <c:v>6.7737255858274096E-12</c:v>
                </c:pt>
                <c:pt idx="141">
                  <c:v>6.7737255858274096E-12</c:v>
                </c:pt>
                <c:pt idx="142">
                  <c:v>6.7737255858274096E-12</c:v>
                </c:pt>
                <c:pt idx="143">
                  <c:v>6.7737255858274096E-12</c:v>
                </c:pt>
                <c:pt idx="144">
                  <c:v>6.7737255858274096E-12</c:v>
                </c:pt>
                <c:pt idx="145">
                  <c:v>6.7737255858274096E-12</c:v>
                </c:pt>
                <c:pt idx="146">
                  <c:v>6.7737255858274096E-12</c:v>
                </c:pt>
                <c:pt idx="147">
                  <c:v>6.7737255858274096E-12</c:v>
                </c:pt>
                <c:pt idx="148">
                  <c:v>6.7737255858274096E-12</c:v>
                </c:pt>
                <c:pt idx="149">
                  <c:v>6.7737255858274096E-12</c:v>
                </c:pt>
                <c:pt idx="150">
                  <c:v>6.7737255858274096E-12</c:v>
                </c:pt>
                <c:pt idx="151">
                  <c:v>6.7737255858274096E-12</c:v>
                </c:pt>
                <c:pt idx="152">
                  <c:v>6.7737255858274096E-12</c:v>
                </c:pt>
                <c:pt idx="153">
                  <c:v>6.7737255858274096E-12</c:v>
                </c:pt>
                <c:pt idx="154">
                  <c:v>6.7737255858274096E-12</c:v>
                </c:pt>
                <c:pt idx="155">
                  <c:v>6.7737255858274096E-12</c:v>
                </c:pt>
                <c:pt idx="156">
                  <c:v>6.7737255858274096E-12</c:v>
                </c:pt>
                <c:pt idx="157">
                  <c:v>6.7737255858274096E-12</c:v>
                </c:pt>
                <c:pt idx="158">
                  <c:v>6.7737255858274096E-12</c:v>
                </c:pt>
                <c:pt idx="159">
                  <c:v>6.7737255858274096E-12</c:v>
                </c:pt>
                <c:pt idx="160">
                  <c:v>6.7737255858274096E-12</c:v>
                </c:pt>
                <c:pt idx="161">
                  <c:v>6.7737255858274096E-12</c:v>
                </c:pt>
                <c:pt idx="162">
                  <c:v>6.7737255858274096E-12</c:v>
                </c:pt>
                <c:pt idx="163">
                  <c:v>6.7737255858274096E-12</c:v>
                </c:pt>
                <c:pt idx="164">
                  <c:v>6.7737255858274096E-12</c:v>
                </c:pt>
                <c:pt idx="165">
                  <c:v>6.7737255858274096E-12</c:v>
                </c:pt>
                <c:pt idx="166">
                  <c:v>6.7737255858274096E-12</c:v>
                </c:pt>
                <c:pt idx="167">
                  <c:v>6.7737255858274096E-12</c:v>
                </c:pt>
                <c:pt idx="168">
                  <c:v>6.7737255858274096E-12</c:v>
                </c:pt>
                <c:pt idx="169">
                  <c:v>6.7737255858274096E-12</c:v>
                </c:pt>
                <c:pt idx="170">
                  <c:v>6.7737255858274096E-12</c:v>
                </c:pt>
                <c:pt idx="171">
                  <c:v>6.7737255858274096E-12</c:v>
                </c:pt>
                <c:pt idx="172">
                  <c:v>6.7737255858274096E-12</c:v>
                </c:pt>
                <c:pt idx="173">
                  <c:v>6.7737255858274096E-12</c:v>
                </c:pt>
                <c:pt idx="174">
                  <c:v>6.7737255858274096E-12</c:v>
                </c:pt>
                <c:pt idx="175">
                  <c:v>6.7737255858274096E-12</c:v>
                </c:pt>
                <c:pt idx="176">
                  <c:v>6.7737255858274096E-12</c:v>
                </c:pt>
                <c:pt idx="177">
                  <c:v>6.7737255858274096E-12</c:v>
                </c:pt>
                <c:pt idx="178">
                  <c:v>6.7737255858274096E-12</c:v>
                </c:pt>
                <c:pt idx="179">
                  <c:v>6.7737255858274096E-12</c:v>
                </c:pt>
                <c:pt idx="180">
                  <c:v>6.7737255858274096E-12</c:v>
                </c:pt>
                <c:pt idx="181">
                  <c:v>6.7737255858274096E-12</c:v>
                </c:pt>
                <c:pt idx="182">
                  <c:v>6.7737255858274096E-12</c:v>
                </c:pt>
                <c:pt idx="183">
                  <c:v>6.7737255858274096E-12</c:v>
                </c:pt>
                <c:pt idx="184">
                  <c:v>6.7737255858274096E-12</c:v>
                </c:pt>
                <c:pt idx="185">
                  <c:v>6.7737255858274096E-12</c:v>
                </c:pt>
                <c:pt idx="186">
                  <c:v>6.7737255858274096E-12</c:v>
                </c:pt>
                <c:pt idx="187">
                  <c:v>6.7737255858274096E-12</c:v>
                </c:pt>
                <c:pt idx="188">
                  <c:v>6.7737255858274096E-12</c:v>
                </c:pt>
                <c:pt idx="189">
                  <c:v>6.7737255858274096E-12</c:v>
                </c:pt>
                <c:pt idx="190">
                  <c:v>6.7737255858274096E-12</c:v>
                </c:pt>
                <c:pt idx="191">
                  <c:v>6.7737255858274096E-12</c:v>
                </c:pt>
                <c:pt idx="192">
                  <c:v>6.7737255858274096E-12</c:v>
                </c:pt>
                <c:pt idx="193">
                  <c:v>6.7737255858274096E-12</c:v>
                </c:pt>
                <c:pt idx="194">
                  <c:v>6.7737255858274096E-12</c:v>
                </c:pt>
                <c:pt idx="195">
                  <c:v>6.7737255858274096E-12</c:v>
                </c:pt>
                <c:pt idx="196">
                  <c:v>6.7737255858274096E-12</c:v>
                </c:pt>
                <c:pt idx="197">
                  <c:v>6.7737255858274096E-12</c:v>
                </c:pt>
                <c:pt idx="198">
                  <c:v>6.7737255858274096E-12</c:v>
                </c:pt>
                <c:pt idx="199">
                  <c:v>6.7737255858274096E-12</c:v>
                </c:pt>
                <c:pt idx="200">
                  <c:v>6.7737255858274096E-12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839.26037775889756</c:v>
                </c:pt>
                <c:pt idx="126">
                  <c:v>857.46013500919116</c:v>
                </c:pt>
                <c:pt idx="127">
                  <c:v>875.65214814404089</c:v>
                </c:pt>
                <c:pt idx="128">
                  <c:v>893.83660052010089</c:v>
                </c:pt>
                <c:pt idx="129">
                  <c:v>912.01366743440576</c:v>
                </c:pt>
                <c:pt idx="130">
                  <c:v>930.18351663545093</c:v>
                </c:pt>
                <c:pt idx="131">
                  <c:v>948.34630879231224</c:v>
                </c:pt>
                <c:pt idx="132">
                  <c:v>966.50219792601331</c:v>
                </c:pt>
                <c:pt idx="133">
                  <c:v>984.65133180683051</c:v>
                </c:pt>
                <c:pt idx="134">
                  <c:v>1002.7938523208308</c:v>
                </c:pt>
                <c:pt idx="135">
                  <c:v>897.50638969514159</c:v>
                </c:pt>
                <c:pt idx="136">
                  <c:v>915.88239559779674</c:v>
                </c:pt>
                <c:pt idx="137">
                  <c:v>934.25105924881802</c:v>
                </c:pt>
                <c:pt idx="138">
                  <c:v>952.61254515586586</c:v>
                </c:pt>
                <c:pt idx="139">
                  <c:v>970.96701097617427</c:v>
                </c:pt>
                <c:pt idx="140">
                  <c:v>989.31460792852465</c:v>
                </c:pt>
                <c:pt idx="141">
                  <c:v>1007.655481173109</c:v>
                </c:pt>
                <c:pt idx="142">
                  <c:v>1025.989770162342</c:v>
                </c:pt>
                <c:pt idx="143">
                  <c:v>1044.3176089653236</c:v>
                </c:pt>
                <c:pt idx="144">
                  <c:v>1062.6391265683815</c:v>
                </c:pt>
                <c:pt idx="145">
                  <c:v>955.46774147647739</c:v>
                </c:pt>
                <c:pt idx="146">
                  <c:v>974.19446887125389</c:v>
                </c:pt>
                <c:pt idx="147">
                  <c:v>992.9140720569859</c:v>
                </c:pt>
                <c:pt idx="148">
                  <c:v>1011.626704081932</c:v>
                </c:pt>
                <c:pt idx="149">
                  <c:v>1030.3325118786743</c:v>
                </c:pt>
                <c:pt idx="150">
                  <c:v>1049.0316366173113</c:v>
                </c:pt>
                <c:pt idx="151">
                  <c:v>1067.7242140322026</c:v>
                </c:pt>
                <c:pt idx="152">
                  <c:v>1086.4103747246743</c:v>
                </c:pt>
                <c:pt idx="153">
                  <c:v>1105.0902444438475</c:v>
                </c:pt>
                <c:pt idx="154">
                  <c:v>1123.7639443475252</c:v>
                </c:pt>
                <c:pt idx="155">
                  <c:v>1018.9592872251741</c:v>
                </c:pt>
                <c:pt idx="156">
                  <c:v>1037.9275131152133</c:v>
                </c:pt>
                <c:pt idx="157">
                  <c:v>1056.8889224929817</c:v>
                </c:pt>
                <c:pt idx="158">
                  <c:v>1075.8436546984512</c:v>
                </c:pt>
                <c:pt idx="159">
                  <c:v>1094.7918437687465</c:v>
                </c:pt>
                <c:pt idx="160">
                  <c:v>1113.7336187300759</c:v>
                </c:pt>
                <c:pt idx="161">
                  <c:v>1132.6691038688009</c:v>
                </c:pt>
                <c:pt idx="162">
                  <c:v>1151.598418983466</c:v>
                </c:pt>
                <c:pt idx="163">
                  <c:v>1170.5216796194243</c:v>
                </c:pt>
                <c:pt idx="164">
                  <c:v>1189.4389972875249</c:v>
                </c:pt>
                <c:pt idx="165">
                  <c:v>1074.999666097814</c:v>
                </c:pt>
                <c:pt idx="166">
                  <c:v>1094.1792649882436</c:v>
                </c:pt>
                <c:pt idx="167">
                  <c:v>1113.3522881109047</c:v>
                </c:pt>
                <c:pt idx="168">
                  <c:v>1132.518864482892</c:v>
                </c:pt>
                <c:pt idx="169">
                  <c:v>1151.6791184052299</c:v>
                </c:pt>
                <c:pt idx="170">
                  <c:v>1170.8331697124213</c:v>
                </c:pt>
                <c:pt idx="171">
                  <c:v>1189.9811340048411</c:v>
                </c:pt>
                <c:pt idx="172">
                  <c:v>1209.1231228654231</c:v>
                </c:pt>
                <c:pt idx="173">
                  <c:v>1228.2592440619312</c:v>
                </c:pt>
                <c:pt idx="174">
                  <c:v>1247.3896017359975</c:v>
                </c:pt>
                <c:pt idx="175">
                  <c:v>776.74375886328278</c:v>
                </c:pt>
                <c:pt idx="176">
                  <c:v>788.91166508101742</c:v>
                </c:pt>
                <c:pt idx="177">
                  <c:v>801.07577688948459</c:v>
                </c:pt>
                <c:pt idx="178">
                  <c:v>547.42574104849564</c:v>
                </c:pt>
                <c:pt idx="179">
                  <c:v>554.83558256102708</c:v>
                </c:pt>
                <c:pt idx="180">
                  <c:v>562.24335111699042</c:v>
                </c:pt>
                <c:pt idx="181">
                  <c:v>389.29435812328035</c:v>
                </c:pt>
                <c:pt idx="182">
                  <c:v>393.77127654313722</c:v>
                </c:pt>
                <c:pt idx="183">
                  <c:v>398.24709148150777</c:v>
                </c:pt>
                <c:pt idx="184">
                  <c:v>1.213734449314598E-11</c:v>
                </c:pt>
                <c:pt idx="185">
                  <c:v>1.213734449314598E-11</c:v>
                </c:pt>
                <c:pt idx="186">
                  <c:v>1.213734449314598E-11</c:v>
                </c:pt>
                <c:pt idx="187">
                  <c:v>1.213734449314598E-11</c:v>
                </c:pt>
                <c:pt idx="188">
                  <c:v>1.213734449314598E-11</c:v>
                </c:pt>
                <c:pt idx="189">
                  <c:v>1.213734449314598E-11</c:v>
                </c:pt>
                <c:pt idx="190">
                  <c:v>1.213734449314598E-11</c:v>
                </c:pt>
                <c:pt idx="191">
                  <c:v>1.213734449314598E-11</c:v>
                </c:pt>
                <c:pt idx="192">
                  <c:v>1.213734449314598E-11</c:v>
                </c:pt>
                <c:pt idx="193">
                  <c:v>1.213734449314598E-11</c:v>
                </c:pt>
                <c:pt idx="194">
                  <c:v>1.213734449314598E-11</c:v>
                </c:pt>
                <c:pt idx="195">
                  <c:v>1.213734449314598E-11</c:v>
                </c:pt>
                <c:pt idx="196">
                  <c:v>1.213734449314598E-11</c:v>
                </c:pt>
                <c:pt idx="197">
                  <c:v>1.213734449314598E-11</c:v>
                </c:pt>
                <c:pt idx="198">
                  <c:v>1.213734449314598E-11</c:v>
                </c:pt>
                <c:pt idx="199">
                  <c:v>1.213734449314598E-11</c:v>
                </c:pt>
                <c:pt idx="200">
                  <c:v>1.213734449314598E-11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7" zoomScale="80" zoomScaleNormal="80" workbookViewId="0">
      <selection activeCell="D142" sqref="D142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3.19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0.44632500000000003</v>
      </c>
      <c r="D9" s="36">
        <f t="shared" ref="D9:D18" si="0">C9*$C$5</f>
        <v>1.42377675</v>
      </c>
      <c r="E9" s="37">
        <v>183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6</v>
      </c>
      <c r="C10" s="35">
        <v>5.5899999999999998E-2</v>
      </c>
      <c r="D10" s="36">
        <f t="shared" si="0"/>
        <v>0.17832099999999998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52</v>
      </c>
      <c r="C11" s="35">
        <v>2.784E-2</v>
      </c>
      <c r="D11" s="36">
        <f t="shared" si="0"/>
        <v>8.8809600000000002E-2</v>
      </c>
      <c r="E11" s="37">
        <v>183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</v>
      </c>
      <c r="C12" s="35">
        <v>2.784E-2</v>
      </c>
      <c r="D12" s="36">
        <f t="shared" si="0"/>
        <v>8.8809600000000002E-2</v>
      </c>
      <c r="E12" s="37">
        <v>183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13</v>
      </c>
      <c r="C13" s="35">
        <v>0.44194099999999997</v>
      </c>
      <c r="D13" s="36">
        <f t="shared" si="0"/>
        <v>1.4097917899999999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0.99984600000000001</v>
      </c>
      <c r="D19" s="41">
        <f>SUM(D9:D18)</f>
        <v>3.18950874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50</v>
      </c>
      <c r="B37" s="63">
        <v>195.02</v>
      </c>
      <c r="C37" s="63">
        <v>2</v>
      </c>
      <c r="D37" s="63">
        <v>35.58</v>
      </c>
      <c r="E37" s="54">
        <v>0.2</v>
      </c>
      <c r="F37" s="54"/>
      <c r="G37" s="54"/>
      <c r="H37" s="54">
        <v>0.8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58</v>
      </c>
      <c r="B38" s="63">
        <v>235.87</v>
      </c>
      <c r="C38" s="63">
        <v>3</v>
      </c>
      <c r="D38" s="63">
        <v>44.93</v>
      </c>
      <c r="E38" s="54">
        <v>0.2</v>
      </c>
      <c r="F38" s="54"/>
      <c r="G38" s="54"/>
      <c r="H38" s="54">
        <v>0.8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66</v>
      </c>
      <c r="B39" s="63">
        <v>264.95999999999998</v>
      </c>
      <c r="C39" s="63">
        <v>4</v>
      </c>
      <c r="D39" s="63">
        <v>49.91</v>
      </c>
      <c r="E39" s="54">
        <v>0.3</v>
      </c>
      <c r="F39" s="54"/>
      <c r="G39" s="54"/>
      <c r="H39" s="54">
        <v>0.7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74</v>
      </c>
      <c r="B40" s="63">
        <v>285.98</v>
      </c>
      <c r="C40" s="63">
        <v>5</v>
      </c>
      <c r="D40" s="63">
        <v>47.4</v>
      </c>
      <c r="E40" s="54">
        <v>0.4</v>
      </c>
      <c r="F40" s="54"/>
      <c r="G40" s="54"/>
      <c r="H40" s="54">
        <v>0.6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84</v>
      </c>
      <c r="B41" s="63">
        <v>325.35000000000002</v>
      </c>
      <c r="C41" s="63">
        <v>6</v>
      </c>
      <c r="D41" s="63">
        <v>61.47</v>
      </c>
      <c r="E41" s="54">
        <v>0.4</v>
      </c>
      <c r="F41" s="54"/>
      <c r="G41" s="54"/>
      <c r="H41" s="54">
        <v>0.6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94</v>
      </c>
      <c r="B42" s="63">
        <v>346.79</v>
      </c>
      <c r="C42" s="63">
        <v>7</v>
      </c>
      <c r="D42" s="63">
        <v>61.85</v>
      </c>
      <c r="E42" s="54">
        <v>0.5</v>
      </c>
      <c r="F42" s="54"/>
      <c r="G42" s="54"/>
      <c r="H42" s="54">
        <v>0.5</v>
      </c>
      <c r="I42" s="56">
        <f t="shared" si="1"/>
        <v>8.2910000000000021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104</v>
      </c>
      <c r="B43" s="63">
        <v>365.41</v>
      </c>
      <c r="C43" s="63">
        <v>8</v>
      </c>
      <c r="D43" s="63">
        <v>60.19</v>
      </c>
      <c r="E43" s="54">
        <v>0.5</v>
      </c>
      <c r="F43" s="54"/>
      <c r="G43" s="54"/>
      <c r="H43" s="54">
        <v>0.5</v>
      </c>
      <c r="I43" s="52">
        <f t="shared" si="1"/>
        <v>8.0470000000000024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114</v>
      </c>
      <c r="B44" s="63">
        <v>384.57</v>
      </c>
      <c r="C44" s="63">
        <v>9</v>
      </c>
      <c r="D44" s="63">
        <v>56.07</v>
      </c>
      <c r="E44" s="54">
        <v>0.6</v>
      </c>
      <c r="F44" s="54"/>
      <c r="G44" s="54"/>
      <c r="H44" s="54">
        <v>0.4</v>
      </c>
      <c r="I44" s="52">
        <f t="shared" si="1"/>
        <v>7.9349999999999969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124</v>
      </c>
      <c r="B45" s="63">
        <v>408.42</v>
      </c>
      <c r="C45" s="63">
        <v>10</v>
      </c>
      <c r="D45" s="63">
        <v>52.53</v>
      </c>
      <c r="E45" s="54">
        <v>0.7</v>
      </c>
      <c r="F45" s="54"/>
      <c r="G45" s="54"/>
      <c r="H45" s="54">
        <v>0.3</v>
      </c>
      <c r="I45" s="52">
        <f t="shared" si="1"/>
        <v>7.9920000000000018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134</v>
      </c>
      <c r="B46" s="63">
        <v>436.59</v>
      </c>
      <c r="C46" s="63">
        <v>11</v>
      </c>
      <c r="D46" s="63">
        <v>54.95</v>
      </c>
      <c r="E46" s="54">
        <v>0.7</v>
      </c>
      <c r="F46" s="54"/>
      <c r="G46" s="54"/>
      <c r="H46" s="54">
        <v>0.3</v>
      </c>
      <c r="I46" s="52">
        <f t="shared" si="1"/>
        <v>8.0699999999999985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144</v>
      </c>
      <c r="B47" s="63">
        <v>463.23</v>
      </c>
      <c r="C47" s="63">
        <v>12</v>
      </c>
      <c r="D47" s="63">
        <v>56.01</v>
      </c>
      <c r="E47" s="54">
        <v>0.7</v>
      </c>
      <c r="F47" s="54"/>
      <c r="G47" s="54"/>
      <c r="H47" s="54">
        <v>0.3</v>
      </c>
      <c r="I47" s="52">
        <f t="shared" si="1"/>
        <v>8.1590000000000025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154</v>
      </c>
      <c r="B48" s="63">
        <v>490.47</v>
      </c>
      <c r="C48" s="63">
        <v>13</v>
      </c>
      <c r="D48" s="63">
        <v>55.13</v>
      </c>
      <c r="E48" s="54">
        <v>0.7</v>
      </c>
      <c r="F48" s="54"/>
      <c r="G48" s="54"/>
      <c r="H48" s="54">
        <v>0.3</v>
      </c>
      <c r="I48" s="52">
        <f t="shared" si="1"/>
        <v>8.3249999999999993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164</v>
      </c>
      <c r="B49" s="63">
        <v>519.77</v>
      </c>
      <c r="C49" s="63">
        <v>14</v>
      </c>
      <c r="D49" s="63">
        <v>59.58</v>
      </c>
      <c r="E49" s="54">
        <v>0.8</v>
      </c>
      <c r="F49" s="54"/>
      <c r="G49" s="54"/>
      <c r="H49" s="54">
        <v>0.2</v>
      </c>
      <c r="I49" s="52">
        <f t="shared" si="1"/>
        <v>8.4429999999999943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174</v>
      </c>
      <c r="B50" s="53">
        <v>545.65</v>
      </c>
      <c r="C50" s="53">
        <v>15</v>
      </c>
      <c r="D50" s="53">
        <v>214.77</v>
      </c>
      <c r="E50" s="54">
        <v>0.8</v>
      </c>
      <c r="F50" s="54"/>
      <c r="G50" s="54"/>
      <c r="H50" s="54">
        <v>0.2</v>
      </c>
      <c r="I50" s="52">
        <f t="shared" si="1"/>
        <v>8.5459999999999976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>
        <v>177</v>
      </c>
      <c r="B51" s="53">
        <v>347.04</v>
      </c>
      <c r="C51" s="53">
        <v>16</v>
      </c>
      <c r="D51" s="53">
        <v>115.19</v>
      </c>
      <c r="E51" s="54">
        <v>0.8</v>
      </c>
      <c r="F51" s="54"/>
      <c r="G51" s="54"/>
      <c r="H51" s="54">
        <v>0.2</v>
      </c>
      <c r="I51" s="52">
        <f t="shared" si="1"/>
        <v>5.3866666666666747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>
        <v>180</v>
      </c>
      <c r="B52" s="53">
        <v>241.62</v>
      </c>
      <c r="C52" s="53">
        <v>17</v>
      </c>
      <c r="D52" s="53">
        <v>77.72</v>
      </c>
      <c r="E52" s="54">
        <v>0.8</v>
      </c>
      <c r="F52" s="54"/>
      <c r="G52" s="54"/>
      <c r="H52" s="54">
        <v>0.2</v>
      </c>
      <c r="I52" s="52">
        <f t="shared" si="1"/>
        <v>3.2566666666666606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>
        <v>183</v>
      </c>
      <c r="B53" s="53">
        <v>169.76</v>
      </c>
      <c r="C53" s="53">
        <v>18</v>
      </c>
      <c r="D53" s="53">
        <v>169.76</v>
      </c>
      <c r="E53" s="54">
        <v>0.8</v>
      </c>
      <c r="F53" s="54"/>
      <c r="G53" s="54"/>
      <c r="H53" s="54">
        <v>0.2</v>
      </c>
      <c r="I53" s="52">
        <f t="shared" si="1"/>
        <v>1.9533333333333285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Charme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25</v>
      </c>
      <c r="B62" s="63">
        <v>62</v>
      </c>
      <c r="C62" s="63">
        <v>1</v>
      </c>
      <c r="D62" s="63">
        <v>8</v>
      </c>
      <c r="E62" s="54">
        <v>0</v>
      </c>
      <c r="F62" s="54"/>
      <c r="G62" s="54"/>
      <c r="H62" s="54">
        <v>1</v>
      </c>
      <c r="I62" s="56">
        <f>IFERROR(B62/A62,"")</f>
        <v>2.48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30</v>
      </c>
      <c r="B63" s="63">
        <v>129</v>
      </c>
      <c r="C63" s="63">
        <v>2</v>
      </c>
      <c r="D63" s="63">
        <v>17</v>
      </c>
      <c r="E63" s="54">
        <v>0</v>
      </c>
      <c r="F63" s="54"/>
      <c r="G63" s="54"/>
      <c r="H63" s="54">
        <v>1</v>
      </c>
      <c r="I63" s="52">
        <f>IF(A63&lt;&gt;0,(B63-(B62-D62))/(A63-A62),"")</f>
        <v>15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35</v>
      </c>
      <c r="B64" s="63">
        <v>172</v>
      </c>
      <c r="C64" s="63">
        <v>3</v>
      </c>
      <c r="D64" s="63">
        <v>22</v>
      </c>
      <c r="E64" s="54">
        <v>0.2</v>
      </c>
      <c r="F64" s="54"/>
      <c r="G64" s="54"/>
      <c r="H64" s="54">
        <v>0.8</v>
      </c>
      <c r="I64" s="52">
        <f>IF(A64&lt;&gt;0,(B64-(B63-D63))/(A64-A63),"")</f>
        <v>12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40</v>
      </c>
      <c r="B65" s="63">
        <v>202</v>
      </c>
      <c r="C65" s="63">
        <v>4</v>
      </c>
      <c r="D65" s="63">
        <v>26</v>
      </c>
      <c r="E65" s="54">
        <v>0.2</v>
      </c>
      <c r="F65" s="54"/>
      <c r="G65" s="54"/>
      <c r="H65" s="54">
        <v>0.8</v>
      </c>
      <c r="I65" s="52">
        <f>IF(A65&lt;&gt;0,(B65-(B64-D64))/(A65-A64),"")</f>
        <v>10.4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45</v>
      </c>
      <c r="B66" s="63">
        <v>225</v>
      </c>
      <c r="C66" s="63">
        <v>5</v>
      </c>
      <c r="D66" s="63">
        <v>28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9.8000000000000007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50</v>
      </c>
      <c r="B67" s="63">
        <v>242</v>
      </c>
      <c r="C67" s="63">
        <v>6</v>
      </c>
      <c r="D67" s="63">
        <v>30</v>
      </c>
      <c r="E67" s="54">
        <v>0.3</v>
      </c>
      <c r="F67" s="54"/>
      <c r="G67" s="54"/>
      <c r="H67" s="54">
        <v>0.7</v>
      </c>
      <c r="I67" s="52">
        <f t="shared" si="2"/>
        <v>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55</v>
      </c>
      <c r="B68" s="63">
        <v>255</v>
      </c>
      <c r="C68" s="63">
        <v>7</v>
      </c>
      <c r="D68" s="63">
        <v>30</v>
      </c>
      <c r="E68" s="54">
        <v>0.4</v>
      </c>
      <c r="F68" s="54"/>
      <c r="G68" s="54"/>
      <c r="H68" s="54">
        <v>0.6</v>
      </c>
      <c r="I68" s="52">
        <f t="shared" si="2"/>
        <v>8.6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60</v>
      </c>
      <c r="B69" s="53">
        <v>266</v>
      </c>
      <c r="C69" s="53">
        <v>8</v>
      </c>
      <c r="D69" s="53">
        <v>31</v>
      </c>
      <c r="E69" s="54">
        <v>0.4</v>
      </c>
      <c r="F69" s="54"/>
      <c r="G69" s="54"/>
      <c r="H69" s="54">
        <v>0.6</v>
      </c>
      <c r="I69" s="52">
        <f t="shared" si="2"/>
        <v>8.1999999999999993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65</v>
      </c>
      <c r="B70" s="53">
        <v>275</v>
      </c>
      <c r="C70" s="53">
        <v>9</v>
      </c>
      <c r="D70" s="53">
        <v>31</v>
      </c>
      <c r="E70" s="54">
        <v>0.5</v>
      </c>
      <c r="F70" s="54"/>
      <c r="G70" s="54"/>
      <c r="H70" s="54">
        <v>0.5</v>
      </c>
      <c r="I70" s="52">
        <f t="shared" si="2"/>
        <v>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70</v>
      </c>
      <c r="B71" s="53">
        <v>282</v>
      </c>
      <c r="C71" s="53">
        <v>10</v>
      </c>
      <c r="D71" s="53">
        <v>31</v>
      </c>
      <c r="E71" s="54">
        <v>0.5</v>
      </c>
      <c r="F71" s="54"/>
      <c r="G71" s="54"/>
      <c r="H71" s="54">
        <v>0.5</v>
      </c>
      <c r="I71" s="52">
        <f t="shared" si="2"/>
        <v>7.6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75</v>
      </c>
      <c r="B72" s="53">
        <v>287</v>
      </c>
      <c r="C72" s="53">
        <v>11</v>
      </c>
      <c r="D72" s="53">
        <v>31</v>
      </c>
      <c r="E72" s="54">
        <v>0.6</v>
      </c>
      <c r="F72" s="54"/>
      <c r="G72" s="54"/>
      <c r="H72" s="54">
        <v>0.4</v>
      </c>
      <c r="I72" s="52">
        <f t="shared" si="2"/>
        <v>7.2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80</v>
      </c>
      <c r="B73" s="53">
        <v>293</v>
      </c>
      <c r="C73" s="53">
        <v>12</v>
      </c>
      <c r="D73" s="53">
        <v>31</v>
      </c>
      <c r="E73" s="54">
        <v>0.7</v>
      </c>
      <c r="F73" s="54"/>
      <c r="G73" s="54"/>
      <c r="H73" s="54">
        <v>0.3</v>
      </c>
      <c r="I73" s="52">
        <f t="shared" si="2"/>
        <v>7.4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85</v>
      </c>
      <c r="B74" s="53">
        <v>297</v>
      </c>
      <c r="C74" s="53">
        <v>13</v>
      </c>
      <c r="D74" s="53">
        <v>30</v>
      </c>
      <c r="E74" s="54">
        <v>0.7</v>
      </c>
      <c r="F74" s="54"/>
      <c r="G74" s="54"/>
      <c r="H74" s="54">
        <v>0.3</v>
      </c>
      <c r="I74" s="52">
        <f t="shared" si="2"/>
        <v>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90</v>
      </c>
      <c r="B75" s="53">
        <v>300</v>
      </c>
      <c r="C75" s="53">
        <v>14</v>
      </c>
      <c r="D75" s="53">
        <v>30</v>
      </c>
      <c r="E75" s="54">
        <v>0.7</v>
      </c>
      <c r="F75" s="54"/>
      <c r="G75" s="54"/>
      <c r="H75" s="54">
        <v>0.3</v>
      </c>
      <c r="I75" s="52">
        <f t="shared" si="2"/>
        <v>6.6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95</v>
      </c>
      <c r="B76" s="53">
        <v>303</v>
      </c>
      <c r="C76" s="53">
        <v>15</v>
      </c>
      <c r="D76" s="53">
        <v>29</v>
      </c>
      <c r="E76" s="54">
        <v>0.7</v>
      </c>
      <c r="F76" s="54"/>
      <c r="G76" s="54"/>
      <c r="H76" s="54">
        <v>0.3</v>
      </c>
      <c r="I76" s="52">
        <f t="shared" si="2"/>
        <v>6.6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100</v>
      </c>
      <c r="B77" s="53">
        <v>305</v>
      </c>
      <c r="C77" s="53">
        <v>16</v>
      </c>
      <c r="D77" s="53">
        <v>29</v>
      </c>
      <c r="E77" s="54">
        <v>0.8</v>
      </c>
      <c r="F77" s="54"/>
      <c r="G77" s="54"/>
      <c r="H77" s="54">
        <v>0.2</v>
      </c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105</v>
      </c>
      <c r="B78" s="53">
        <v>307</v>
      </c>
      <c r="C78" s="53">
        <v>17</v>
      </c>
      <c r="D78" s="53">
        <v>28</v>
      </c>
      <c r="E78" s="54">
        <v>0.8</v>
      </c>
      <c r="F78" s="54"/>
      <c r="G78" s="54"/>
      <c r="H78" s="54">
        <v>0.2</v>
      </c>
      <c r="I78" s="52">
        <f t="shared" si="2"/>
        <v>6.2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>
        <v>110</v>
      </c>
      <c r="B79" s="53">
        <v>309</v>
      </c>
      <c r="C79" s="53">
        <v>18</v>
      </c>
      <c r="D79" s="53">
        <v>27</v>
      </c>
      <c r="E79" s="54">
        <v>0.8</v>
      </c>
      <c r="F79" s="54"/>
      <c r="G79" s="54"/>
      <c r="H79" s="54">
        <v>0.2</v>
      </c>
      <c r="I79" s="52">
        <f t="shared" si="2"/>
        <v>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>
        <v>115</v>
      </c>
      <c r="B80" s="53">
        <v>310</v>
      </c>
      <c r="C80" s="53">
        <v>19</v>
      </c>
      <c r="D80" s="53">
        <v>26</v>
      </c>
      <c r="E80" s="54">
        <v>0.8</v>
      </c>
      <c r="F80" s="54"/>
      <c r="G80" s="54"/>
      <c r="H80" s="54">
        <v>0.2</v>
      </c>
      <c r="I80" s="52">
        <f t="shared" si="2"/>
        <v>5.6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>
        <v>120</v>
      </c>
      <c r="B81" s="53">
        <v>312</v>
      </c>
      <c r="C81" s="53">
        <v>20</v>
      </c>
      <c r="D81" s="53">
        <v>312</v>
      </c>
      <c r="E81" s="54">
        <v>0.8</v>
      </c>
      <c r="F81" s="54"/>
      <c r="G81" s="54"/>
      <c r="H81" s="54">
        <v>0.2</v>
      </c>
      <c r="I81" s="52">
        <f t="shared" si="2"/>
        <v>5.6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Cormier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42</v>
      </c>
      <c r="B88" s="63">
        <v>163.26</v>
      </c>
      <c r="C88" s="63">
        <v>1</v>
      </c>
      <c r="D88" s="63">
        <v>43.21</v>
      </c>
      <c r="E88" s="54">
        <v>0.2</v>
      </c>
      <c r="F88" s="54"/>
      <c r="G88" s="54"/>
      <c r="H88" s="93">
        <v>0.8</v>
      </c>
      <c r="I88" s="56">
        <f>IFERROR(B88/A88,"")</f>
        <v>3.887142857142857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50</v>
      </c>
      <c r="B89" s="63">
        <v>195.02</v>
      </c>
      <c r="C89" s="63">
        <v>2</v>
      </c>
      <c r="D89" s="63">
        <v>35.58</v>
      </c>
      <c r="E89" s="54">
        <v>0.2</v>
      </c>
      <c r="F89" s="54"/>
      <c r="G89" s="54"/>
      <c r="H89" s="93">
        <v>0.8</v>
      </c>
      <c r="I89" s="56">
        <f t="shared" ref="I89:I107" si="3">IF(A89&lt;&gt;0,(B89-(B88-D88))/(A89-A88),"")</f>
        <v>9.3712500000000034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58</v>
      </c>
      <c r="B90" s="63">
        <v>235.87</v>
      </c>
      <c r="C90" s="63">
        <v>3</v>
      </c>
      <c r="D90" s="63">
        <v>44.93</v>
      </c>
      <c r="E90" s="93">
        <v>0.2</v>
      </c>
      <c r="F90" s="93"/>
      <c r="G90" s="93"/>
      <c r="H90" s="93">
        <v>0.8</v>
      </c>
      <c r="I90" s="56">
        <f t="shared" si="3"/>
        <v>9.5537500000000009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66</v>
      </c>
      <c r="B91" s="63">
        <v>264.95999999999998</v>
      </c>
      <c r="C91" s="63">
        <v>4</v>
      </c>
      <c r="D91" s="63">
        <v>49.91</v>
      </c>
      <c r="E91" s="93">
        <v>0.3</v>
      </c>
      <c r="F91" s="93"/>
      <c r="G91" s="93"/>
      <c r="H91" s="93">
        <v>0.7</v>
      </c>
      <c r="I91" s="56">
        <f t="shared" si="3"/>
        <v>9.2524999999999977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74</v>
      </c>
      <c r="B92" s="63">
        <v>285.98</v>
      </c>
      <c r="C92" s="63">
        <v>5</v>
      </c>
      <c r="D92" s="63">
        <v>47.4</v>
      </c>
      <c r="E92" s="93">
        <v>0.4</v>
      </c>
      <c r="F92" s="93"/>
      <c r="G92" s="93"/>
      <c r="H92" s="93">
        <v>0.6</v>
      </c>
      <c r="I92" s="56">
        <f t="shared" si="3"/>
        <v>8.8662500000000044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84</v>
      </c>
      <c r="B93" s="63">
        <v>325.35000000000002</v>
      </c>
      <c r="C93" s="63">
        <v>6</v>
      </c>
      <c r="D93" s="63">
        <v>61.47</v>
      </c>
      <c r="E93" s="93">
        <v>0.4</v>
      </c>
      <c r="F93" s="93"/>
      <c r="G93" s="93"/>
      <c r="H93" s="93">
        <v>0.6</v>
      </c>
      <c r="I93" s="56">
        <f t="shared" si="3"/>
        <v>8.6770000000000014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94</v>
      </c>
      <c r="B94" s="63">
        <v>346.79</v>
      </c>
      <c r="C94" s="63">
        <v>7</v>
      </c>
      <c r="D94" s="63">
        <v>61.85</v>
      </c>
      <c r="E94" s="93">
        <v>0.5</v>
      </c>
      <c r="F94" s="93"/>
      <c r="G94" s="93"/>
      <c r="H94" s="93">
        <v>0.5</v>
      </c>
      <c r="I94" s="56">
        <f t="shared" si="3"/>
        <v>8.2910000000000021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104</v>
      </c>
      <c r="B95" s="63">
        <v>365.41</v>
      </c>
      <c r="C95" s="63">
        <v>8</v>
      </c>
      <c r="D95" s="63">
        <v>60.19</v>
      </c>
      <c r="E95" s="93">
        <v>0.5</v>
      </c>
      <c r="F95" s="93"/>
      <c r="G95" s="93"/>
      <c r="H95" s="93">
        <v>0.5</v>
      </c>
      <c r="I95" s="56">
        <f t="shared" si="3"/>
        <v>8.0470000000000024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114</v>
      </c>
      <c r="B96" s="63">
        <v>384.57</v>
      </c>
      <c r="C96" s="63">
        <v>9</v>
      </c>
      <c r="D96" s="63">
        <v>56.07</v>
      </c>
      <c r="E96" s="93">
        <v>0.6</v>
      </c>
      <c r="F96" s="93"/>
      <c r="G96" s="93"/>
      <c r="H96" s="93">
        <v>0.4</v>
      </c>
      <c r="I96" s="56">
        <f t="shared" si="3"/>
        <v>7.9349999999999969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124</v>
      </c>
      <c r="B97" s="63">
        <v>408.42</v>
      </c>
      <c r="C97" s="63">
        <v>10</v>
      </c>
      <c r="D97" s="63">
        <v>52.53</v>
      </c>
      <c r="E97" s="93">
        <v>0.7</v>
      </c>
      <c r="F97" s="93"/>
      <c r="G97" s="93"/>
      <c r="H97" s="93">
        <v>0.3</v>
      </c>
      <c r="I97" s="56">
        <f t="shared" si="3"/>
        <v>7.9920000000000018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134</v>
      </c>
      <c r="B98" s="63">
        <v>436.59</v>
      </c>
      <c r="C98" s="63">
        <v>11</v>
      </c>
      <c r="D98" s="63">
        <v>54.95</v>
      </c>
      <c r="E98" s="93">
        <v>0.7</v>
      </c>
      <c r="F98" s="93"/>
      <c r="G98" s="93"/>
      <c r="H98" s="93">
        <v>0.3</v>
      </c>
      <c r="I98" s="56">
        <f t="shared" si="3"/>
        <v>8.0699999999999985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144</v>
      </c>
      <c r="B99" s="63">
        <v>463.23</v>
      </c>
      <c r="C99" s="63">
        <v>12</v>
      </c>
      <c r="D99" s="63">
        <v>56.01</v>
      </c>
      <c r="E99" s="93">
        <v>0.7</v>
      </c>
      <c r="F99" s="93"/>
      <c r="G99" s="93"/>
      <c r="H99" s="93">
        <v>0.3</v>
      </c>
      <c r="I99" s="56">
        <f t="shared" si="3"/>
        <v>8.1590000000000025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154</v>
      </c>
      <c r="B100" s="63">
        <v>490.47</v>
      </c>
      <c r="C100" s="63">
        <v>13</v>
      </c>
      <c r="D100" s="63">
        <v>55.13</v>
      </c>
      <c r="E100" s="68">
        <v>0.7</v>
      </c>
      <c r="F100" s="68"/>
      <c r="G100" s="68"/>
      <c r="H100" s="68">
        <v>0.3</v>
      </c>
      <c r="I100" s="56">
        <f t="shared" si="3"/>
        <v>8.3249999999999993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164</v>
      </c>
      <c r="B101" s="63">
        <v>519.77</v>
      </c>
      <c r="C101" s="63">
        <v>14</v>
      </c>
      <c r="D101" s="63">
        <v>59.58</v>
      </c>
      <c r="E101" s="68">
        <v>0.8</v>
      </c>
      <c r="F101" s="68"/>
      <c r="G101" s="68"/>
      <c r="H101" s="68">
        <v>0.2</v>
      </c>
      <c r="I101" s="56">
        <f t="shared" si="3"/>
        <v>8.4429999999999943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174</v>
      </c>
      <c r="B102" s="53">
        <v>545.65</v>
      </c>
      <c r="C102" s="63">
        <v>15</v>
      </c>
      <c r="D102" s="53">
        <v>214.77</v>
      </c>
      <c r="E102" s="57">
        <v>0.8</v>
      </c>
      <c r="F102" s="57"/>
      <c r="G102" s="57"/>
      <c r="H102" s="57">
        <v>0.2</v>
      </c>
      <c r="I102" s="56">
        <f t="shared" si="3"/>
        <v>8.5459999999999976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177</v>
      </c>
      <c r="B103" s="53">
        <v>347.04</v>
      </c>
      <c r="C103" s="63">
        <v>16</v>
      </c>
      <c r="D103" s="53">
        <v>115.19</v>
      </c>
      <c r="E103" s="57">
        <v>0.8</v>
      </c>
      <c r="F103" s="57"/>
      <c r="G103" s="57"/>
      <c r="H103" s="57">
        <v>0.2</v>
      </c>
      <c r="I103" s="56">
        <f t="shared" si="3"/>
        <v>5.3866666666666747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180</v>
      </c>
      <c r="B104" s="53">
        <v>241.62</v>
      </c>
      <c r="C104" s="63">
        <v>17</v>
      </c>
      <c r="D104" s="53">
        <v>77.72</v>
      </c>
      <c r="E104" s="57">
        <v>0.8</v>
      </c>
      <c r="F104" s="57"/>
      <c r="G104" s="57"/>
      <c r="H104" s="57">
        <v>0.2</v>
      </c>
      <c r="I104" s="56">
        <f t="shared" si="3"/>
        <v>3.2566666666666606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183</v>
      </c>
      <c r="B105" s="53">
        <v>169.76</v>
      </c>
      <c r="C105" s="53">
        <v>18</v>
      </c>
      <c r="D105" s="53">
        <v>169.76</v>
      </c>
      <c r="E105" s="57">
        <v>0.8</v>
      </c>
      <c r="F105" s="57"/>
      <c r="G105" s="57"/>
      <c r="H105" s="57">
        <v>0.2</v>
      </c>
      <c r="I105" s="56">
        <f t="shared" si="3"/>
        <v>1.9533333333333285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Alisier torminal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42</v>
      </c>
      <c r="B114" s="63">
        <v>163.26</v>
      </c>
      <c r="C114" s="53">
        <v>1</v>
      </c>
      <c r="D114" s="63">
        <v>43.21</v>
      </c>
      <c r="E114" s="54">
        <v>0.2</v>
      </c>
      <c r="F114" s="54"/>
      <c r="G114" s="54"/>
      <c r="H114" s="54">
        <v>0.8</v>
      </c>
      <c r="I114" s="56">
        <f>IFERROR(B114/A114,"")</f>
        <v>3.887142857142857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50</v>
      </c>
      <c r="B115" s="63">
        <v>195.02</v>
      </c>
      <c r="C115" s="53">
        <v>2</v>
      </c>
      <c r="D115" s="63">
        <v>35.58</v>
      </c>
      <c r="E115" s="54">
        <v>0.2</v>
      </c>
      <c r="F115" s="54"/>
      <c r="G115" s="54"/>
      <c r="H115" s="54">
        <v>0.8</v>
      </c>
      <c r="I115" s="56">
        <f t="shared" ref="I115:I133" si="4">IF(A115&lt;&gt;0,(B115-(B114-D114))/(A115-A114),"")</f>
        <v>9.3712500000000034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58</v>
      </c>
      <c r="B116" s="63">
        <v>235.87</v>
      </c>
      <c r="C116" s="53">
        <v>3</v>
      </c>
      <c r="D116" s="63">
        <v>44.93</v>
      </c>
      <c r="E116" s="54">
        <v>0.2</v>
      </c>
      <c r="F116" s="54"/>
      <c r="G116" s="54"/>
      <c r="H116" s="54">
        <v>0.8</v>
      </c>
      <c r="I116" s="56">
        <f t="shared" si="4"/>
        <v>9.5537500000000009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66</v>
      </c>
      <c r="B117" s="63">
        <v>264.95999999999998</v>
      </c>
      <c r="C117" s="53">
        <v>4</v>
      </c>
      <c r="D117" s="63">
        <v>49.91</v>
      </c>
      <c r="E117" s="54">
        <v>0.3</v>
      </c>
      <c r="F117" s="54"/>
      <c r="G117" s="54"/>
      <c r="H117" s="54">
        <v>0.7</v>
      </c>
      <c r="I117" s="56">
        <f t="shared" si="4"/>
        <v>9.2524999999999977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74</v>
      </c>
      <c r="B118" s="63">
        <v>285.98</v>
      </c>
      <c r="C118" s="53">
        <v>5</v>
      </c>
      <c r="D118" s="63">
        <v>47.4</v>
      </c>
      <c r="E118" s="54">
        <v>0.4</v>
      </c>
      <c r="F118" s="54"/>
      <c r="G118" s="54"/>
      <c r="H118" s="54">
        <v>0.6</v>
      </c>
      <c r="I118" s="56">
        <f t="shared" si="4"/>
        <v>8.8662500000000044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84</v>
      </c>
      <c r="B119" s="63">
        <v>325.35000000000002</v>
      </c>
      <c r="C119" s="53">
        <v>6</v>
      </c>
      <c r="D119" s="63">
        <v>61.47</v>
      </c>
      <c r="E119" s="54">
        <v>0.4</v>
      </c>
      <c r="F119" s="54"/>
      <c r="G119" s="54"/>
      <c r="H119" s="54">
        <v>0.6</v>
      </c>
      <c r="I119" s="56">
        <f t="shared" si="4"/>
        <v>8.6770000000000014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94</v>
      </c>
      <c r="B120" s="63">
        <v>346.79</v>
      </c>
      <c r="C120" s="63">
        <v>7</v>
      </c>
      <c r="D120" s="63">
        <v>61.85</v>
      </c>
      <c r="E120" s="93">
        <v>0.5</v>
      </c>
      <c r="F120" s="93"/>
      <c r="G120" s="93"/>
      <c r="H120" s="93">
        <v>0.5</v>
      </c>
      <c r="I120" s="56">
        <f t="shared" si="4"/>
        <v>8.2910000000000021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104</v>
      </c>
      <c r="B121" s="63">
        <v>365.41</v>
      </c>
      <c r="C121" s="63">
        <v>8</v>
      </c>
      <c r="D121" s="63">
        <v>60.19</v>
      </c>
      <c r="E121" s="93">
        <v>0.5</v>
      </c>
      <c r="F121" s="93"/>
      <c r="G121" s="93"/>
      <c r="H121" s="93">
        <v>0.5</v>
      </c>
      <c r="I121" s="56">
        <f t="shared" si="4"/>
        <v>8.0470000000000024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114</v>
      </c>
      <c r="B122" s="63">
        <v>384.57</v>
      </c>
      <c r="C122" s="63">
        <v>9</v>
      </c>
      <c r="D122" s="63">
        <v>56.07</v>
      </c>
      <c r="E122" s="93">
        <v>0.6</v>
      </c>
      <c r="F122" s="93"/>
      <c r="G122" s="93"/>
      <c r="H122" s="93">
        <v>0.4</v>
      </c>
      <c r="I122" s="56">
        <f t="shared" si="4"/>
        <v>7.9349999999999969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124</v>
      </c>
      <c r="B123" s="63">
        <v>408.42</v>
      </c>
      <c r="C123" s="63">
        <v>10</v>
      </c>
      <c r="D123" s="63">
        <v>52.53</v>
      </c>
      <c r="E123" s="93">
        <v>0.7</v>
      </c>
      <c r="F123" s="93"/>
      <c r="G123" s="93"/>
      <c r="H123" s="93">
        <v>0.3</v>
      </c>
      <c r="I123" s="56">
        <f t="shared" si="4"/>
        <v>7.9920000000000018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134</v>
      </c>
      <c r="B124" s="63">
        <v>436.59</v>
      </c>
      <c r="C124" s="63">
        <v>11</v>
      </c>
      <c r="D124" s="63">
        <v>54.95</v>
      </c>
      <c r="E124" s="93">
        <v>0.7</v>
      </c>
      <c r="F124" s="93"/>
      <c r="G124" s="93"/>
      <c r="H124" s="93">
        <v>0.3</v>
      </c>
      <c r="I124" s="56">
        <f t="shared" si="4"/>
        <v>8.0699999999999985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144</v>
      </c>
      <c r="B125" s="63">
        <v>463.23</v>
      </c>
      <c r="C125" s="63">
        <v>12</v>
      </c>
      <c r="D125" s="63">
        <v>56.01</v>
      </c>
      <c r="E125" s="93">
        <v>0.7</v>
      </c>
      <c r="F125" s="93"/>
      <c r="G125" s="93"/>
      <c r="H125" s="93">
        <v>0.3</v>
      </c>
      <c r="I125" s="56">
        <f t="shared" si="4"/>
        <v>8.1590000000000025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154</v>
      </c>
      <c r="B126" s="63">
        <v>490.47</v>
      </c>
      <c r="C126" s="63">
        <v>13</v>
      </c>
      <c r="D126" s="63">
        <v>55.13</v>
      </c>
      <c r="E126" s="68">
        <v>0.7</v>
      </c>
      <c r="F126" s="68"/>
      <c r="G126" s="68"/>
      <c r="H126" s="68">
        <v>0.3</v>
      </c>
      <c r="I126" s="56">
        <f t="shared" si="4"/>
        <v>8.3249999999999993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164</v>
      </c>
      <c r="B127" s="63">
        <v>519.77</v>
      </c>
      <c r="C127" s="63">
        <v>14</v>
      </c>
      <c r="D127" s="63">
        <v>59.58</v>
      </c>
      <c r="E127" s="68">
        <v>0.8</v>
      </c>
      <c r="F127" s="68"/>
      <c r="G127" s="68"/>
      <c r="H127" s="68">
        <v>0.2</v>
      </c>
      <c r="I127" s="56">
        <f t="shared" si="4"/>
        <v>8.4429999999999943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>
        <v>174</v>
      </c>
      <c r="B128" s="53">
        <v>545.65</v>
      </c>
      <c r="C128" s="53">
        <v>15</v>
      </c>
      <c r="D128" s="53">
        <v>214.77</v>
      </c>
      <c r="E128" s="57">
        <v>0.8</v>
      </c>
      <c r="F128" s="57"/>
      <c r="G128" s="57"/>
      <c r="H128" s="57">
        <v>0.2</v>
      </c>
      <c r="I128" s="56">
        <f t="shared" si="4"/>
        <v>8.5459999999999976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>
        <v>177</v>
      </c>
      <c r="B129" s="53">
        <v>347.04</v>
      </c>
      <c r="C129" s="53">
        <v>16</v>
      </c>
      <c r="D129" s="53">
        <v>115.19</v>
      </c>
      <c r="E129" s="57">
        <v>0.8</v>
      </c>
      <c r="F129" s="57"/>
      <c r="G129" s="57"/>
      <c r="H129" s="57">
        <v>0.2</v>
      </c>
      <c r="I129" s="56">
        <f t="shared" si="4"/>
        <v>5.3866666666666747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>
        <v>180</v>
      </c>
      <c r="B130" s="53">
        <v>241.62</v>
      </c>
      <c r="C130" s="53">
        <v>17</v>
      </c>
      <c r="D130" s="53">
        <v>77.72</v>
      </c>
      <c r="E130" s="57">
        <v>0.8</v>
      </c>
      <c r="F130" s="57"/>
      <c r="G130" s="57"/>
      <c r="H130" s="57">
        <v>0.2</v>
      </c>
      <c r="I130" s="56">
        <f t="shared" si="4"/>
        <v>3.2566666666666606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>
        <v>183</v>
      </c>
      <c r="B131" s="53">
        <v>169.76</v>
      </c>
      <c r="C131" s="53">
        <v>18</v>
      </c>
      <c r="D131" s="53">
        <v>169.76</v>
      </c>
      <c r="E131" s="57">
        <v>0.8</v>
      </c>
      <c r="F131" s="57"/>
      <c r="G131" s="57"/>
      <c r="H131" s="57">
        <v>0.2</v>
      </c>
      <c r="I131" s="56">
        <f t="shared" si="4"/>
        <v>1.9533333333333285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Chêne rouge d'Amérique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10</v>
      </c>
      <c r="B140" s="63">
        <v>29</v>
      </c>
      <c r="C140" s="53">
        <v>1</v>
      </c>
      <c r="D140" s="63">
        <v>0</v>
      </c>
      <c r="E140" s="54">
        <v>0</v>
      </c>
      <c r="F140" s="54"/>
      <c r="G140" s="54"/>
      <c r="H140" s="54">
        <v>1</v>
      </c>
      <c r="I140" s="60">
        <f>IFERROR(B140/A140,"")</f>
        <v>2.9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15</v>
      </c>
      <c r="B141" s="63">
        <v>73</v>
      </c>
      <c r="C141" s="53">
        <v>2</v>
      </c>
      <c r="D141" s="63">
        <v>0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8.8000000000000007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20</v>
      </c>
      <c r="B142" s="63">
        <v>129</v>
      </c>
      <c r="C142" s="53">
        <v>3</v>
      </c>
      <c r="D142" s="63">
        <v>54</v>
      </c>
      <c r="E142" s="54">
        <v>0</v>
      </c>
      <c r="F142" s="54"/>
      <c r="G142" s="54"/>
      <c r="H142" s="54">
        <v>1</v>
      </c>
      <c r="I142" s="60">
        <f t="shared" si="5"/>
        <v>11.2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25</v>
      </c>
      <c r="B143" s="63">
        <v>126</v>
      </c>
      <c r="C143" s="53">
        <v>4</v>
      </c>
      <c r="D143" s="63">
        <v>26</v>
      </c>
      <c r="E143" s="54">
        <v>0</v>
      </c>
      <c r="F143" s="54"/>
      <c r="G143" s="54"/>
      <c r="H143" s="54">
        <v>1</v>
      </c>
      <c r="I143" s="60">
        <f t="shared" si="5"/>
        <v>10.199999999999999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30</v>
      </c>
      <c r="B144" s="63">
        <v>149</v>
      </c>
      <c r="C144" s="53">
        <v>5</v>
      </c>
      <c r="D144" s="63">
        <v>27</v>
      </c>
      <c r="E144" s="54">
        <v>0</v>
      </c>
      <c r="F144" s="54"/>
      <c r="G144" s="54"/>
      <c r="H144" s="54">
        <v>1</v>
      </c>
      <c r="I144" s="60">
        <f t="shared" si="5"/>
        <v>9.8000000000000007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35</v>
      </c>
      <c r="B145" s="63">
        <v>168</v>
      </c>
      <c r="C145" s="53">
        <v>6</v>
      </c>
      <c r="D145" s="63">
        <v>27</v>
      </c>
      <c r="E145" s="54">
        <v>0.2</v>
      </c>
      <c r="F145" s="54"/>
      <c r="G145" s="54"/>
      <c r="H145" s="54">
        <v>0.8</v>
      </c>
      <c r="I145" s="60">
        <f t="shared" si="5"/>
        <v>9.1999999999999993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40</v>
      </c>
      <c r="B146" s="63">
        <v>185</v>
      </c>
      <c r="C146" s="53">
        <v>7</v>
      </c>
      <c r="D146" s="63">
        <v>27</v>
      </c>
      <c r="E146" s="54">
        <v>0.3</v>
      </c>
      <c r="F146" s="54"/>
      <c r="G146" s="54"/>
      <c r="H146" s="54">
        <v>0.7</v>
      </c>
      <c r="I146" s="60">
        <f t="shared" si="5"/>
        <v>8.8000000000000007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45</v>
      </c>
      <c r="B147" s="63">
        <v>198</v>
      </c>
      <c r="C147" s="53">
        <v>8</v>
      </c>
      <c r="D147" s="63">
        <v>26</v>
      </c>
      <c r="E147" s="54">
        <v>0.3</v>
      </c>
      <c r="F147" s="54"/>
      <c r="G147" s="54"/>
      <c r="H147" s="54">
        <v>0.7</v>
      </c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50</v>
      </c>
      <c r="B148" s="63">
        <v>209</v>
      </c>
      <c r="C148" s="53">
        <v>9</v>
      </c>
      <c r="D148" s="63">
        <v>24</v>
      </c>
      <c r="E148" s="54">
        <v>0.4</v>
      </c>
      <c r="F148" s="54"/>
      <c r="G148" s="54"/>
      <c r="H148" s="54">
        <v>0.6</v>
      </c>
      <c r="I148" s="60">
        <f t="shared" si="5"/>
        <v>7.4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55</v>
      </c>
      <c r="B149" s="63">
        <v>218</v>
      </c>
      <c r="C149" s="53">
        <v>10</v>
      </c>
      <c r="D149" s="63">
        <v>23</v>
      </c>
      <c r="E149" s="54">
        <v>0.4</v>
      </c>
      <c r="F149" s="54"/>
      <c r="G149" s="54"/>
      <c r="H149" s="54">
        <v>0.6</v>
      </c>
      <c r="I149" s="60">
        <f t="shared" si="5"/>
        <v>6.6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60</v>
      </c>
      <c r="B150" s="63">
        <v>225</v>
      </c>
      <c r="C150" s="53">
        <v>11</v>
      </c>
      <c r="D150" s="63">
        <v>21</v>
      </c>
      <c r="E150" s="54">
        <v>0.5</v>
      </c>
      <c r="F150" s="54"/>
      <c r="G150" s="54"/>
      <c r="H150" s="54">
        <v>0.5</v>
      </c>
      <c r="I150" s="60">
        <f t="shared" si="5"/>
        <v>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65</v>
      </c>
      <c r="B151" s="63">
        <v>232</v>
      </c>
      <c r="C151" s="53">
        <v>12</v>
      </c>
      <c r="D151" s="63">
        <v>20</v>
      </c>
      <c r="E151" s="54">
        <v>0.5</v>
      </c>
      <c r="F151" s="54"/>
      <c r="G151" s="54"/>
      <c r="H151" s="54">
        <v>0.5</v>
      </c>
      <c r="I151" s="60">
        <f t="shared" si="5"/>
        <v>5.6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70</v>
      </c>
      <c r="B152" s="63">
        <v>237</v>
      </c>
      <c r="C152" s="53">
        <v>13</v>
      </c>
      <c r="D152" s="63">
        <v>18</v>
      </c>
      <c r="E152" s="57">
        <v>0.6</v>
      </c>
      <c r="F152" s="57"/>
      <c r="G152" s="57"/>
      <c r="H152" s="57">
        <v>0.4</v>
      </c>
      <c r="I152" s="60">
        <f t="shared" si="5"/>
        <v>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75</v>
      </c>
      <c r="B153" s="63">
        <v>241</v>
      </c>
      <c r="C153" s="53">
        <v>14</v>
      </c>
      <c r="D153" s="63">
        <v>16</v>
      </c>
      <c r="E153" s="57">
        <v>0.6</v>
      </c>
      <c r="F153" s="57"/>
      <c r="G153" s="57"/>
      <c r="H153" s="57">
        <v>0.4</v>
      </c>
      <c r="I153" s="60">
        <f t="shared" si="5"/>
        <v>4.4000000000000004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>
        <v>80</v>
      </c>
      <c r="B154" s="59">
        <v>245</v>
      </c>
      <c r="C154" s="53">
        <v>15</v>
      </c>
      <c r="D154" s="53">
        <v>15</v>
      </c>
      <c r="E154" s="57">
        <v>0.7</v>
      </c>
      <c r="F154" s="57"/>
      <c r="G154" s="57"/>
      <c r="H154" s="57">
        <v>0.3</v>
      </c>
      <c r="I154" s="60">
        <f t="shared" si="5"/>
        <v>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>
        <v>85</v>
      </c>
      <c r="B155" s="59">
        <v>248</v>
      </c>
      <c r="C155" s="53">
        <v>16</v>
      </c>
      <c r="D155" s="53">
        <v>14</v>
      </c>
      <c r="E155" s="57">
        <v>0.7</v>
      </c>
      <c r="F155" s="57"/>
      <c r="G155" s="57"/>
      <c r="H155" s="57">
        <v>0.3</v>
      </c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>
        <v>90</v>
      </c>
      <c r="B156" s="59">
        <v>249</v>
      </c>
      <c r="C156" s="53">
        <v>17</v>
      </c>
      <c r="D156" s="53">
        <v>12</v>
      </c>
      <c r="E156" s="57">
        <v>0.8</v>
      </c>
      <c r="F156" s="57"/>
      <c r="G156" s="57"/>
      <c r="H156" s="57">
        <v>0.2</v>
      </c>
      <c r="I156" s="60">
        <f t="shared" si="5"/>
        <v>3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>
        <v>95</v>
      </c>
      <c r="B157" s="59">
        <v>252</v>
      </c>
      <c r="C157" s="53">
        <v>18</v>
      </c>
      <c r="D157" s="53">
        <v>12</v>
      </c>
      <c r="E157" s="57">
        <v>0.8</v>
      </c>
      <c r="F157" s="57"/>
      <c r="G157" s="57"/>
      <c r="H157" s="57">
        <v>0.2</v>
      </c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>
        <v>100</v>
      </c>
      <c r="B158" s="59">
        <v>255</v>
      </c>
      <c r="C158" s="53">
        <v>19</v>
      </c>
      <c r="D158" s="53">
        <v>255</v>
      </c>
      <c r="E158" s="57">
        <v>0.8</v>
      </c>
      <c r="F158" s="57"/>
      <c r="G158" s="57"/>
      <c r="H158" s="57">
        <v>0.2</v>
      </c>
      <c r="I158" s="60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Normal="100" workbookViewId="0">
      <selection activeCell="C27" sqref="C2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Charme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Cormier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Alisier torminal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Chêne rouge d'Amérique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581.88778927327667</v>
      </c>
      <c r="T3" s="62">
        <f>IF('Données projet'!E9&gt;30,$R$33-$H$33,LOOKUP('Données projet'!$E$9,$A$3:$A$203,R3:R203)-LOOKUP('Données projet'!$E$9,$A$3:$A$203,$H$3:$H$203))</f>
        <v>269.67340993773422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444.81608506581125</v>
      </c>
      <c r="AO3" s="62">
        <f>IF('Données projet'!E10&gt;30,$AM$33-$H$33,LOOKUP('Données projet'!$E$10,$A$3:$A$203,AM3:AM203)-LOOKUP('Données projet'!$E$10,$A$3:$A$203,$H$3:$H$203))</f>
        <v>306.75289431725565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683.36974161977764</v>
      </c>
      <c r="BJ3" s="62">
        <f>IF('Données projet'!E11&gt;30,$BH$33-$H$33,LOOKUP('Données projet'!$E$11,$A$3:$A$203,BH3:BH203)-LOOKUP('Données projet'!$E$11,$A$3:$A$203,$H$3:$H$203))</f>
        <v>312.6921234697457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618.83149423524605</v>
      </c>
      <c r="CE3" s="62">
        <f>IF('Données projet'!E12&gt;30,$CC$33-$H$33,LOOKUP('Données projet'!$E$12,$A$3:$A$203,CC3:CC203)-LOOKUP('Données projet'!$E$12,$A$3:$A$203,$H$3:$H$203))</f>
        <v>285.33582535802435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354.24684313982857</v>
      </c>
      <c r="CZ3" s="62">
        <f>IF('Données projet'!E13&gt;30,$CX$33-$H$33,LOOKUP('Données projet'!$E$13,$A$3:$A$203,CX3:CX203)-LOOKUP('Données projet'!$E$13,$A$3:$A$203,$H$3:$H$203))</f>
        <v>322.65043486962185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3.5170868571428571</v>
      </c>
      <c r="P4" s="14">
        <f>EXP(-1.0587+0.8836*LN(O4)+0.284)</f>
        <v>1.400101260019349</v>
      </c>
      <c r="Q4" s="22">
        <f t="shared" ref="Q4:Q34" si="2">(O4+P4)*0.475*44/12</f>
        <v>8.5641026373908407</v>
      </c>
      <c r="R4" s="62">
        <f t="shared" si="0"/>
        <v>266.45299152627967</v>
      </c>
      <c r="S4" s="62">
        <f ca="1">AVERAGE(OFFSET($R$3,0,0,'Données projet'!$E$9+1,1))-AVERAGE(OFFSET($H$3,0,0,'Données projet'!$E$9+1,1))</f>
        <v>581.88778927327667</v>
      </c>
      <c r="T4" s="62">
        <f>$T$3</f>
        <v>269.67340993773422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2.48</v>
      </c>
      <c r="AI4" s="14">
        <f>IF('Données projet'!$A$62&gt;35,AI3+AH4-AQ3,IF(A4&lt;'Données projet'!$A$62,$AF$205^A4,IF(A4='Données projet'!$A$62,'Données projet'!$B$62,AI3+AH4-AQ3)))</f>
        <v>1.1794938141711815</v>
      </c>
      <c r="AJ4" s="14">
        <f>AI4*VLOOKUP('Données projet'!$B$10,Paramètres!$A$1:$I$89,3,0)*VLOOKUP('Données projet'!$B$10,Paramètres!$A$1:$I$89,5,0)</f>
        <v>1.1224063135652962</v>
      </c>
      <c r="AK4" s="14">
        <f>EXP(-1.0587+0.8836*LN(AJ4)+0.284)</f>
        <v>0.51034597516546876</v>
      </c>
      <c r="AL4" s="22">
        <f t="shared" ref="AL4:AL67" si="4">(AJ4+AK4)*0.475*44/12</f>
        <v>2.8437102362060824</v>
      </c>
      <c r="AM4" s="62">
        <f t="shared" ref="AM4:AM67" si="5">AL4+(AD4+AE4)*44/12</f>
        <v>260.73259912509496</v>
      </c>
      <c r="AN4" s="62">
        <f ca="1">AVERAGE(OFFSET($AM$3,0,0,'Données projet'!$E$10+1,1))-AVERAGE(OFFSET($H$3,0,0,'Données projet'!$E$10+1,1))</f>
        <v>444.81608506581125</v>
      </c>
      <c r="AO4" s="62">
        <f>$AO$3</f>
        <v>306.75289431725565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3.887142857142857</v>
      </c>
      <c r="BD4" s="13">
        <f>IF('Données projet'!$A$88&gt;35,BD3+BC4-BL3,IF(A4&lt;'Données projet'!$A$88,$BA$205^A4,IF(A4='Données projet'!$A$88,'Données projet'!$B$88,BD3+BC4-BL3)))</f>
        <v>3.887142857142857</v>
      </c>
      <c r="BE4" s="14">
        <f>BD4*VLOOKUP('Données projet'!$B$11,Paramètres!$A$1:$I$89,3,0)*VLOOKUP('Données projet'!$B$11,Paramètres!$A$1:$I$89,5,0)</f>
        <v>4.1841205714285712</v>
      </c>
      <c r="BF4" s="14">
        <f>EXP(-1.0587+0.8836*LN(BE4)+0.284)</f>
        <v>1.6323058154975432</v>
      </c>
      <c r="BG4" s="22">
        <f t="shared" ref="BG4:BG67" si="7">(BE4+BF4)*0.475*44/12</f>
        <v>10.130275957229648</v>
      </c>
      <c r="BH4" s="62">
        <f t="shared" ref="BH4:BH67" si="8">BG4+(AY4+AZ4)*44/12</f>
        <v>268.01916484611849</v>
      </c>
      <c r="BI4" s="62">
        <f ca="1">AVERAGE(OFFSET($BH$3,0,0,'Données projet'!$E$11+1,1))-AVERAGE(OFFSET($H$3,0,0,'Données projet'!$E$11+1,1))</f>
        <v>683.36974161977764</v>
      </c>
      <c r="BJ4" s="62">
        <f>$BJ$3</f>
        <v>312.6921234697457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3.887142857142857</v>
      </c>
      <c r="BY4" s="13">
        <f>IF('Données projet'!$A$114&gt;35,BY3+BX4-CG3,IF(A4&lt;'Données projet'!$A$114,$BV$205^A4,IF(A4='Données projet'!$A$114,'Données projet'!$B$114,BY3+BX4-CG3)))</f>
        <v>3.887142857142857</v>
      </c>
      <c r="BZ4" s="14">
        <f>BY4*VLOOKUP('Données projet'!$B$12,Paramètres!$A$1:$I$89,3,0)*VLOOKUP('Données projet'!$B$12,Paramètres!$A$1:$I$89,5,0)</f>
        <v>3.7596445714285713</v>
      </c>
      <c r="CA4" s="14">
        <f>EXP(-1.0587+0.8836*LN(BZ4)+0.284)</f>
        <v>1.4850865614549704</v>
      </c>
      <c r="CB4" s="22">
        <f t="shared" ref="CB4:CB67" si="10">(BZ4+CA4)*0.475*44/12</f>
        <v>9.1345733897721697</v>
      </c>
      <c r="CC4" s="62">
        <f t="shared" ref="CC4:CC67" si="11">CB4+(BT4+BU4)*44/12</f>
        <v>267.02346227866104</v>
      </c>
      <c r="CD4" s="62">
        <f ca="1">AVERAGE(OFFSET($CC$3,0,0,'Données projet'!$E$12+1,1))-AVERAGE(OFFSET($H$3,0,0,'Données projet'!$E$12+1,1))</f>
        <v>618.83149423524605</v>
      </c>
      <c r="CE4" s="62">
        <f>$CE$3</f>
        <v>285.33582535802435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</v>
      </c>
      <c r="CT4" s="13">
        <f>IF('Données projet'!$A$140&gt;35,CT3+CS4-DB3,IF(A4&lt;'Données projet'!$A$140,$CQ$205^A4,IF(A4='Données projet'!$A$140,'Données projet'!$B$140,CT3+CS4-DB3)))</f>
        <v>1.4003603312913959</v>
      </c>
      <c r="CU4" s="18">
        <f>CT4*VLOOKUP('Données projet'!$B$13,Paramètres!$A$1:$I$89,3,0)*VLOOKUP('Données projet'!$B$13,Paramètres!$A$1:$I$89,5,0)</f>
        <v>1.2233547854161635</v>
      </c>
      <c r="CV4" s="14">
        <f>EXP(-1.0587+0.8836*LN(CU4)+0.284)</f>
        <v>0.55069785861405296</v>
      </c>
      <c r="CW4" s="22">
        <f t="shared" ref="CW4:CW67" si="13">(CU4+CV4)*0.475*44/12</f>
        <v>3.0898083550192936</v>
      </c>
      <c r="CX4" s="62">
        <f t="shared" ref="CX4:CX67" si="14">CW4+(CO4+CP4)*44/12</f>
        <v>260.97869724390813</v>
      </c>
      <c r="CY4" s="62">
        <f ca="1">AVERAGE(OFFSET($CX$3,0,0,'Données projet'!$E$13+1,1))-AVERAGE(OFFSET($H$3,0,0,'Données projet'!$E$13+1,1))</f>
        <v>354.24684313982857</v>
      </c>
      <c r="CZ4" s="62">
        <f>$CZ$3</f>
        <v>322.65043486962185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7.0341737142857141</v>
      </c>
      <c r="P5" s="14">
        <f t="shared" ref="P5:P68" si="33">EXP(-1.0587+0.8836*LN(O5)+0.284)</f>
        <v>2.5831495528484112</v>
      </c>
      <c r="Q5" s="22">
        <f t="shared" si="2"/>
        <v>16.750171356925268</v>
      </c>
      <c r="R5" s="62">
        <f t="shared" si="0"/>
        <v>275.86128246803639</v>
      </c>
      <c r="S5" s="62">
        <f ca="1">AVERAGE(OFFSET($R$3,0,0,'Données projet'!$E$9+1,1))-AVERAGE(OFFSET($H$3,0,0,'Données projet'!$E$9+1,1))</f>
        <v>581.88778927327667</v>
      </c>
      <c r="T5" s="62">
        <f t="shared" ref="T5:T68" si="34">$T$3</f>
        <v>269.67340993773422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2.48</v>
      </c>
      <c r="AI5" s="14">
        <f>IF('Données projet'!$A$62&gt;35,AI4+AH5-AQ4,IF(A5&lt;'Données projet'!$A$62,$AF$205^A5,IF(A5='Données projet'!$A$62,'Données projet'!$B$62,AI4+AH5-AQ4)))</f>
        <v>1.3912056576680816</v>
      </c>
      <c r="AJ5" s="14">
        <f>AI5*VLOOKUP('Données projet'!$B$10,Paramètres!$A$1:$I$89,3,0)*VLOOKUP('Données projet'!$B$10,Paramètres!$A$1:$I$89,5,0)</f>
        <v>1.3238713038369463</v>
      </c>
      <c r="AK5" s="14">
        <f t="shared" ref="AK5:AK68" si="35">EXP(-1.0587+0.8836*LN(AJ5)+0.284)</f>
        <v>0.59049331585292164</v>
      </c>
      <c r="AL5" s="22">
        <f t="shared" si="4"/>
        <v>3.334185045959853</v>
      </c>
      <c r="AM5" s="62">
        <f t="shared" si="5"/>
        <v>262.44529615707097</v>
      </c>
      <c r="AN5" s="62">
        <f ca="1">AVERAGE(OFFSET($AM$3,0,0,'Données projet'!$E$10+1,1))-AVERAGE(OFFSET($H$3,0,0,'Données projet'!$E$10+1,1))</f>
        <v>444.81608506581125</v>
      </c>
      <c r="AO5" s="62">
        <f t="shared" ref="AO5:AO68" si="36">$AO$3</f>
        <v>306.75289431725565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3.887142857142857</v>
      </c>
      <c r="BD5" s="13">
        <f>IF('Données projet'!$A$88&gt;35,BD4+BC5-BL4,IF(A5&lt;'Données projet'!$A$88,$BA$205^A5,IF(A5='Données projet'!$A$88,'Données projet'!$B$88,BD4+BC5-BL4)))</f>
        <v>7.774285714285714</v>
      </c>
      <c r="BE5" s="14">
        <f>BD5*VLOOKUP('Données projet'!$B$11,Paramètres!$A$1:$I$89,3,0)*VLOOKUP('Données projet'!$B$11,Paramètres!$A$1:$I$89,5,0)</f>
        <v>8.3682411428571424</v>
      </c>
      <c r="BF5" s="14">
        <f t="shared" ref="BF5:BF68" si="37">EXP(-1.0587+0.8836*LN(BE5)+0.284)</f>
        <v>3.0115607762227636</v>
      </c>
      <c r="BG5" s="22">
        <f t="shared" si="7"/>
        <v>19.819821675730836</v>
      </c>
      <c r="BH5" s="62">
        <f t="shared" si="8"/>
        <v>278.93093278684199</v>
      </c>
      <c r="BI5" s="62">
        <f ca="1">AVERAGE(OFFSET($BH$3,0,0,'Données projet'!$E$11+1,1))-AVERAGE(OFFSET($H$3,0,0,'Données projet'!$E$11+1,1))</f>
        <v>683.36974161977764</v>
      </c>
      <c r="BJ5" s="62">
        <f t="shared" ref="BJ5:BJ68" si="38">$BJ$3</f>
        <v>312.6921234697457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3.887142857142857</v>
      </c>
      <c r="BY5" s="13">
        <f>IF('Données projet'!$A$114&gt;35,BY4+BX5-CG4,IF(A5&lt;'Données projet'!$A$114,$BV$205^A5,IF(A5='Données projet'!$A$114,'Données projet'!$B$114,BY4+BX5-CG4)))</f>
        <v>7.774285714285714</v>
      </c>
      <c r="BZ5" s="14">
        <f>BY5*VLOOKUP('Données projet'!$B$12,Paramètres!$A$1:$I$89,3,0)*VLOOKUP('Données projet'!$B$12,Paramètres!$A$1:$I$89,5,0)</f>
        <v>7.5192891428571427</v>
      </c>
      <c r="CA5" s="14">
        <f t="shared" ref="CA5:CA68" si="39">EXP(-1.0587+0.8836*LN(BZ5)+0.284)</f>
        <v>2.7399451716160708</v>
      </c>
      <c r="CB5" s="22">
        <f t="shared" si="10"/>
        <v>17.868166431040844</v>
      </c>
      <c r="CC5" s="62">
        <f t="shared" si="11"/>
        <v>276.97927754215198</v>
      </c>
      <c r="CD5" s="62">
        <f ca="1">AVERAGE(OFFSET($CC$3,0,0,'Données projet'!$E$12+1,1))-AVERAGE(OFFSET($H$3,0,0,'Données projet'!$E$12+1,1))</f>
        <v>618.83149423524605</v>
      </c>
      <c r="CE5" s="62">
        <f t="shared" ref="CE5:CE68" si="40">$CE$3</f>
        <v>285.33582535802435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</v>
      </c>
      <c r="CT5" s="13">
        <f>IF('Données projet'!$A$140&gt;35,CT4+CS5-DB4,IF(A5&lt;'Données projet'!$A$140,$CQ$205^A5,IF(A5='Données projet'!$A$140,'Données projet'!$B$140,CT4+CS5-DB4)))</f>
        <v>1.9610090574545482</v>
      </c>
      <c r="CU5" s="18">
        <f>CT5*VLOOKUP('Données projet'!$B$13,Paramètres!$A$1:$I$89,3,0)*VLOOKUP('Données projet'!$B$13,Paramètres!$A$1:$I$89,5,0)</f>
        <v>1.7131375125922934</v>
      </c>
      <c r="CV5" s="14">
        <f t="shared" ref="CV5:CV68" si="41">EXP(-1.0587+0.8836*LN(CU5)+0.284)</f>
        <v>0.74153366912094132</v>
      </c>
      <c r="CW5" s="22">
        <f t="shared" si="13"/>
        <v>4.2752189748172169</v>
      </c>
      <c r="CX5" s="62">
        <f t="shared" si="14"/>
        <v>263.38633008592836</v>
      </c>
      <c r="CY5" s="62">
        <f ca="1">AVERAGE(OFFSET($CX$3,0,0,'Données projet'!$E$13+1,1))-AVERAGE(OFFSET($H$3,0,0,'Données projet'!$E$13+1,1))</f>
        <v>354.24684313982857</v>
      </c>
      <c r="CZ5" s="62">
        <f t="shared" ref="CZ5:CZ68" si="42">$CZ$3</f>
        <v>322.65043486962185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10.551260571428571</v>
      </c>
      <c r="P6" s="14">
        <f t="shared" si="33"/>
        <v>3.6961006326523931</v>
      </c>
      <c r="Q6" s="22">
        <f t="shared" si="2"/>
        <v>24.814154097107675</v>
      </c>
      <c r="R6" s="62">
        <f t="shared" si="0"/>
        <v>285.147487430441</v>
      </c>
      <c r="S6" s="62">
        <f ca="1">AVERAGE(OFFSET($R$3,0,0,'Données projet'!$E$9+1,1))-AVERAGE(OFFSET($H$3,0,0,'Données projet'!$E$9+1,1))</f>
        <v>581.88778927327667</v>
      </c>
      <c r="T6" s="62">
        <f t="shared" si="34"/>
        <v>269.67340993773422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2.48</v>
      </c>
      <c r="AI6" s="14">
        <f>IF('Données projet'!$A$62&gt;35,AI5+AH6-AQ5,IF(A6&lt;'Données projet'!$A$62,$AF$205^A6,IF(A6='Données projet'!$A$62,'Données projet'!$B$62,AI5+AH6-AQ5)))</f>
        <v>1.6409184674594526</v>
      </c>
      <c r="AJ6" s="14">
        <f>AI6*VLOOKUP('Données projet'!$B$10,Paramètres!$A$1:$I$89,3,0)*VLOOKUP('Données projet'!$B$10,Paramètres!$A$1:$I$89,5,0)</f>
        <v>1.561498013634415</v>
      </c>
      <c r="AK6" s="14">
        <f t="shared" si="35"/>
        <v>0.68322740461296982</v>
      </c>
      <c r="AL6" s="22">
        <f t="shared" si="4"/>
        <v>3.9095634367808625</v>
      </c>
      <c r="AM6" s="62">
        <f t="shared" si="5"/>
        <v>264.24289677011416</v>
      </c>
      <c r="AN6" s="62">
        <f ca="1">AVERAGE(OFFSET($AM$3,0,0,'Données projet'!$E$10+1,1))-AVERAGE(OFFSET($H$3,0,0,'Données projet'!$E$10+1,1))</f>
        <v>444.81608506581125</v>
      </c>
      <c r="AO6" s="62">
        <f t="shared" si="36"/>
        <v>306.75289431725565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3.887142857142857</v>
      </c>
      <c r="BD6" s="13">
        <f>IF('Données projet'!$A$88&gt;35,BD5+BC6-BL5,IF(A6&lt;'Données projet'!$A$88,$BA$205^A6,IF(A6='Données projet'!$A$88,'Données projet'!$B$88,BD5+BC6-BL5)))</f>
        <v>11.661428571428571</v>
      </c>
      <c r="BE6" s="14">
        <f>BD6*VLOOKUP('Données projet'!$B$11,Paramètres!$A$1:$I$89,3,0)*VLOOKUP('Données projet'!$B$11,Paramètres!$A$1:$I$89,5,0)</f>
        <v>12.552361714285714</v>
      </c>
      <c r="BF6" s="14">
        <f t="shared" si="37"/>
        <v>4.3090930132148255</v>
      </c>
      <c r="BG6" s="22">
        <f t="shared" si="7"/>
        <v>29.367033650396774</v>
      </c>
      <c r="BH6" s="62">
        <f t="shared" si="8"/>
        <v>289.70036698373008</v>
      </c>
      <c r="BI6" s="62">
        <f ca="1">AVERAGE(OFFSET($BH$3,0,0,'Données projet'!$E$11+1,1))-AVERAGE(OFFSET($H$3,0,0,'Données projet'!$E$11+1,1))</f>
        <v>683.36974161977764</v>
      </c>
      <c r="BJ6" s="62">
        <f t="shared" si="38"/>
        <v>312.6921234697457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3.887142857142857</v>
      </c>
      <c r="BY6" s="13">
        <f>IF('Données projet'!$A$114&gt;35,BY5+BX6-CG5,IF(A6&lt;'Données projet'!$A$114,$BV$205^A6,IF(A6='Données projet'!$A$114,'Données projet'!$B$114,BY5+BX6-CG5)))</f>
        <v>11.661428571428571</v>
      </c>
      <c r="BZ6" s="14">
        <f>BY6*VLOOKUP('Données projet'!$B$12,Paramètres!$A$1:$I$89,3,0)*VLOOKUP('Données projet'!$B$12,Paramètres!$A$1:$I$89,5,0)</f>
        <v>11.278933714285714</v>
      </c>
      <c r="CA6" s="14">
        <f t="shared" si="39"/>
        <v>3.9204517102294627</v>
      </c>
      <c r="CB6" s="22">
        <f t="shared" si="10"/>
        <v>26.472262947697264</v>
      </c>
      <c r="CC6" s="62">
        <f t="shared" si="11"/>
        <v>286.8055962810306</v>
      </c>
      <c r="CD6" s="62">
        <f ca="1">AVERAGE(OFFSET($CC$3,0,0,'Données projet'!$E$12+1,1))-AVERAGE(OFFSET($H$3,0,0,'Données projet'!$E$12+1,1))</f>
        <v>618.83149423524605</v>
      </c>
      <c r="CE6" s="62">
        <f t="shared" si="40"/>
        <v>285.33582535802435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</v>
      </c>
      <c r="CT6" s="13">
        <f>IF('Données projet'!$A$140&gt;35,CT5+CS6-DB5,IF(A6&lt;'Données projet'!$A$140,$CQ$205^A6,IF(A6='Données projet'!$A$140,'Données projet'!$B$140,CT5+CS6-DB5)))</f>
        <v>2.7461192933624794</v>
      </c>
      <c r="CU6" s="18">
        <f>CT6*VLOOKUP('Données projet'!$B$13,Paramètres!$A$1:$I$89,3,0)*VLOOKUP('Données projet'!$B$13,Paramètres!$A$1:$I$89,5,0)</f>
        <v>2.3990098146814622</v>
      </c>
      <c r="CV6" s="14">
        <f t="shared" si="41"/>
        <v>0.99850067298942213</v>
      </c>
      <c r="CW6" s="22">
        <f t="shared" si="13"/>
        <v>5.9173307660267902</v>
      </c>
      <c r="CX6" s="62">
        <f t="shared" si="14"/>
        <v>266.25066409936011</v>
      </c>
      <c r="CY6" s="62">
        <f ca="1">AVERAGE(OFFSET($CX$3,0,0,'Données projet'!$E$13+1,1))-AVERAGE(OFFSET($H$3,0,0,'Données projet'!$E$13+1,1))</f>
        <v>354.24684313982857</v>
      </c>
      <c r="CZ6" s="62">
        <f t="shared" si="42"/>
        <v>322.65043486962185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14.068347428571428</v>
      </c>
      <c r="P7" s="14">
        <f t="shared" si="33"/>
        <v>4.7658421593654818</v>
      </c>
      <c r="Q7" s="22">
        <f t="shared" si="2"/>
        <v>32.802880198990124</v>
      </c>
      <c r="R7" s="62">
        <f t="shared" si="0"/>
        <v>294.35843575454567</v>
      </c>
      <c r="S7" s="62">
        <f ca="1">AVERAGE(OFFSET($R$3,0,0,'Données projet'!$E$9+1,1))-AVERAGE(OFFSET($H$3,0,0,'Données projet'!$E$9+1,1))</f>
        <v>581.88778927327667</v>
      </c>
      <c r="T7" s="62">
        <f t="shared" si="34"/>
        <v>269.67340993773422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2.48</v>
      </c>
      <c r="AI7" s="14">
        <f>IF('Données projet'!$A$62&gt;35,AI6+AH7-AQ6,IF(A7&lt;'Données projet'!$A$62,$AF$205^A7,IF(A7='Données projet'!$A$62,'Données projet'!$B$62,AI6+AH7-AQ6)))</f>
        <v>1.9354531819276795</v>
      </c>
      <c r="AJ7" s="14">
        <f>AI7*VLOOKUP('Données projet'!$B$10,Paramètres!$A$1:$I$89,3,0)*VLOOKUP('Données projet'!$B$10,Paramètres!$A$1:$I$89,5,0)</f>
        <v>1.8417772479223797</v>
      </c>
      <c r="AK7" s="14">
        <f t="shared" si="35"/>
        <v>0.79052492870290825</v>
      </c>
      <c r="AL7" s="22">
        <f t="shared" si="4"/>
        <v>4.5845929576223758</v>
      </c>
      <c r="AM7" s="62">
        <f t="shared" si="5"/>
        <v>266.14014851317791</v>
      </c>
      <c r="AN7" s="62">
        <f ca="1">AVERAGE(OFFSET($AM$3,0,0,'Données projet'!$E$10+1,1))-AVERAGE(OFFSET($H$3,0,0,'Données projet'!$E$10+1,1))</f>
        <v>444.81608506581125</v>
      </c>
      <c r="AO7" s="62">
        <f t="shared" si="36"/>
        <v>306.75289431725565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3.887142857142857</v>
      </c>
      <c r="BD7" s="13">
        <f>IF('Données projet'!$A$88&gt;35,BD6+BC7-BL6,IF(A7&lt;'Données projet'!$A$88,$BA$205^A7,IF(A7='Données projet'!$A$88,'Données projet'!$B$88,BD6+BC7-BL6)))</f>
        <v>15.548571428571428</v>
      </c>
      <c r="BE7" s="14">
        <f>BD7*VLOOKUP('Données projet'!$B$11,Paramètres!$A$1:$I$89,3,0)*VLOOKUP('Données projet'!$B$11,Paramètres!$A$1:$I$89,5,0)</f>
        <v>16.736482285714285</v>
      </c>
      <c r="BF7" s="14">
        <f t="shared" si="37"/>
        <v>5.55624946181974</v>
      </c>
      <c r="BG7" s="22">
        <f t="shared" si="7"/>
        <v>38.826507793621758</v>
      </c>
      <c r="BH7" s="62">
        <f t="shared" si="8"/>
        <v>300.38206334917732</v>
      </c>
      <c r="BI7" s="62">
        <f ca="1">AVERAGE(OFFSET($BH$3,0,0,'Données projet'!$E$11+1,1))-AVERAGE(OFFSET($H$3,0,0,'Données projet'!$E$11+1,1))</f>
        <v>683.36974161977764</v>
      </c>
      <c r="BJ7" s="62">
        <f t="shared" si="38"/>
        <v>312.6921234697457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3.887142857142857</v>
      </c>
      <c r="BY7" s="13">
        <f>IF('Données projet'!$A$114&gt;35,BY6+BX7-CG6,IF(A7&lt;'Données projet'!$A$114,$BV$205^A7,IF(A7='Données projet'!$A$114,'Données projet'!$B$114,BY6+BX7-CG6)))</f>
        <v>15.548571428571428</v>
      </c>
      <c r="BZ7" s="14">
        <f>BY7*VLOOKUP('Données projet'!$B$12,Paramètres!$A$1:$I$89,3,0)*VLOOKUP('Données projet'!$B$12,Paramètres!$A$1:$I$89,5,0)</f>
        <v>15.038578285714285</v>
      </c>
      <c r="CA7" s="14">
        <f t="shared" si="39"/>
        <v>5.0551259019589807</v>
      </c>
      <c r="CB7" s="22">
        <f t="shared" si="10"/>
        <v>34.996534793530941</v>
      </c>
      <c r="CC7" s="62">
        <f t="shared" si="11"/>
        <v>296.55209034908648</v>
      </c>
      <c r="CD7" s="62">
        <f ca="1">AVERAGE(OFFSET($CC$3,0,0,'Données projet'!$E$12+1,1))-AVERAGE(OFFSET($H$3,0,0,'Données projet'!$E$12+1,1))</f>
        <v>618.83149423524605</v>
      </c>
      <c r="CE7" s="62">
        <f t="shared" si="40"/>
        <v>285.33582535802435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</v>
      </c>
      <c r="CT7" s="13">
        <f>IF('Données projet'!$A$140&gt;35,CT6+CS7-DB6,IF(A7&lt;'Données projet'!$A$140,$CQ$205^A7,IF(A7='Données projet'!$A$140,'Données projet'!$B$140,CT6+CS7-DB6)))</f>
        <v>3.8455565234187756</v>
      </c>
      <c r="CU7" s="18">
        <f>CT7*VLOOKUP('Données projet'!$B$13,Paramètres!$A$1:$I$89,3,0)*VLOOKUP('Données projet'!$B$13,Paramètres!$A$1:$I$89,5,0)</f>
        <v>3.3594781788586427</v>
      </c>
      <c r="CV7" s="14">
        <f t="shared" si="41"/>
        <v>1.3445156106562728</v>
      </c>
      <c r="CW7" s="22">
        <f t="shared" si="13"/>
        <v>8.1927891834051447</v>
      </c>
      <c r="CX7" s="62">
        <f t="shared" si="14"/>
        <v>269.74834473896067</v>
      </c>
      <c r="CY7" s="62">
        <f ca="1">AVERAGE(OFFSET($CX$3,0,0,'Données projet'!$E$13+1,1))-AVERAGE(OFFSET($H$3,0,0,'Données projet'!$E$13+1,1))</f>
        <v>354.24684313982857</v>
      </c>
      <c r="CZ7" s="62">
        <f t="shared" si="42"/>
        <v>322.65043486962185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17.585434285714282</v>
      </c>
      <c r="P8" s="14">
        <f t="shared" si="33"/>
        <v>5.804560501905633</v>
      </c>
      <c r="Q8" s="22">
        <f t="shared" si="2"/>
        <v>40.737574255104683</v>
      </c>
      <c r="R8" s="62">
        <f t="shared" si="0"/>
        <v>303.51535203288245</v>
      </c>
      <c r="S8" s="62">
        <f ca="1">AVERAGE(OFFSET($R$3,0,0,'Données projet'!$E$9+1,1))-AVERAGE(OFFSET($H$3,0,0,'Données projet'!$E$9+1,1))</f>
        <v>581.88778927327667</v>
      </c>
      <c r="T8" s="62">
        <f t="shared" si="34"/>
        <v>269.67340993773422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2.48</v>
      </c>
      <c r="AI8" s="14">
        <f>IF('Données projet'!$A$62&gt;35,AI7+AH8-AQ7,IF(A8&lt;'Données projet'!$A$62,$AF$205^A8,IF(A8='Données projet'!$A$62,'Données projet'!$B$62,AI7+AH8-AQ7)))</f>
        <v>2.2828550557016283</v>
      </c>
      <c r="AJ8" s="14">
        <f>AI8*VLOOKUP('Données projet'!$B$10,Paramètres!$A$1:$I$89,3,0)*VLOOKUP('Données projet'!$B$10,Paramètres!$A$1:$I$89,5,0)</f>
        <v>2.1723648710056698</v>
      </c>
      <c r="AK8" s="14">
        <f t="shared" si="35"/>
        <v>0.91467300445119615</v>
      </c>
      <c r="AL8" s="22">
        <f t="shared" si="4"/>
        <v>5.3765909664207072</v>
      </c>
      <c r="AM8" s="62">
        <f t="shared" si="5"/>
        <v>268.15436874419845</v>
      </c>
      <c r="AN8" s="62">
        <f ca="1">AVERAGE(OFFSET($AM$3,0,0,'Données projet'!$E$10+1,1))-AVERAGE(OFFSET($H$3,0,0,'Données projet'!$E$10+1,1))</f>
        <v>444.81608506581125</v>
      </c>
      <c r="AO8" s="62">
        <f t="shared" si="36"/>
        <v>306.75289431725565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3.887142857142857</v>
      </c>
      <c r="BD8" s="13">
        <f>IF('Données projet'!$A$88&gt;35,BD7+BC8-BL7,IF(A8&lt;'Données projet'!$A$88,$BA$205^A8,IF(A8='Données projet'!$A$88,'Données projet'!$B$88,BD7+BC8-BL7)))</f>
        <v>19.435714285714283</v>
      </c>
      <c r="BE8" s="14">
        <f>BD8*VLOOKUP('Données projet'!$B$11,Paramètres!$A$1:$I$89,3,0)*VLOOKUP('Données projet'!$B$11,Paramètres!$A$1:$I$89,5,0)</f>
        <v>20.920602857142853</v>
      </c>
      <c r="BF8" s="14">
        <f t="shared" si="37"/>
        <v>6.767237580756813</v>
      </c>
      <c r="BG8" s="22">
        <f t="shared" si="7"/>
        <v>48.22298876267525</v>
      </c>
      <c r="BH8" s="62">
        <f t="shared" si="8"/>
        <v>311.00076654045301</v>
      </c>
      <c r="BI8" s="62">
        <f ca="1">AVERAGE(OFFSET($BH$3,0,0,'Données projet'!$E$11+1,1))-AVERAGE(OFFSET($H$3,0,0,'Données projet'!$E$11+1,1))</f>
        <v>683.36974161977764</v>
      </c>
      <c r="BJ8" s="62">
        <f t="shared" si="38"/>
        <v>312.6921234697457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3.887142857142857</v>
      </c>
      <c r="BY8" s="13">
        <f>IF('Données projet'!$A$114&gt;35,BY7+BX8-CG7,IF(A8&lt;'Données projet'!$A$114,$BV$205^A8,IF(A8='Données projet'!$A$114,'Données projet'!$B$114,BY7+BX8-CG7)))</f>
        <v>19.435714285714283</v>
      </c>
      <c r="BZ8" s="14">
        <f>BY8*VLOOKUP('Données projet'!$B$12,Paramètres!$A$1:$I$89,3,0)*VLOOKUP('Données projet'!$B$12,Paramètres!$A$1:$I$89,5,0)</f>
        <v>18.798222857142854</v>
      </c>
      <c r="CA8" s="14">
        <f t="shared" si="39"/>
        <v>6.1568938209606667</v>
      </c>
      <c r="CB8" s="22">
        <f t="shared" si="10"/>
        <v>43.4634948810303</v>
      </c>
      <c r="CC8" s="62">
        <f t="shared" si="11"/>
        <v>306.24127265880804</v>
      </c>
      <c r="CD8" s="62">
        <f ca="1">AVERAGE(OFFSET($CC$3,0,0,'Données projet'!$E$12+1,1))-AVERAGE(OFFSET($H$3,0,0,'Données projet'!$E$12+1,1))</f>
        <v>618.83149423524605</v>
      </c>
      <c r="CE8" s="62">
        <f t="shared" si="40"/>
        <v>285.33582535802435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</v>
      </c>
      <c r="CT8" s="13">
        <f>IF('Données projet'!$A$140&gt;35,CT7+CS8-DB7,IF(A8&lt;'Données projet'!$A$140,$CQ$205^A8,IF(A8='Données projet'!$A$140,'Données projet'!$B$140,CT7+CS8-DB7)))</f>
        <v>5.3851648071345055</v>
      </c>
      <c r="CU8" s="18">
        <f>CT8*VLOOKUP('Données projet'!$B$13,Paramètres!$A$1:$I$89,3,0)*VLOOKUP('Données projet'!$B$13,Paramètres!$A$1:$I$89,5,0)</f>
        <v>4.7044799755127045</v>
      </c>
      <c r="CV8" s="14">
        <f t="shared" si="41"/>
        <v>1.8104366638895204</v>
      </c>
      <c r="CW8" s="22">
        <f t="shared" si="13"/>
        <v>11.346813146958874</v>
      </c>
      <c r="CX8" s="62">
        <f t="shared" si="14"/>
        <v>274.12459092473665</v>
      </c>
      <c r="CY8" s="62">
        <f ca="1">AVERAGE(OFFSET($CX$3,0,0,'Données projet'!$E$13+1,1))-AVERAGE(OFFSET($H$3,0,0,'Données projet'!$E$13+1,1))</f>
        <v>354.24684313982857</v>
      </c>
      <c r="CZ8" s="62">
        <f t="shared" si="42"/>
        <v>322.65043486962185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21.102521142857139</v>
      </c>
      <c r="P9" s="14">
        <f t="shared" si="33"/>
        <v>6.8192072738987575</v>
      </c>
      <c r="Q9" s="22">
        <f t="shared" si="2"/>
        <v>48.630343659183183</v>
      </c>
      <c r="R9" s="62">
        <f t="shared" si="0"/>
        <v>312.63034365918315</v>
      </c>
      <c r="S9" s="62">
        <f ca="1">AVERAGE(OFFSET($R$3,0,0,'Données projet'!$E$9+1,1))-AVERAGE(OFFSET($H$3,0,0,'Données projet'!$E$9+1,1))</f>
        <v>581.88778927327667</v>
      </c>
      <c r="T9" s="62">
        <f t="shared" si="34"/>
        <v>269.67340993773422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2.48</v>
      </c>
      <c r="AI9" s="14">
        <f>IF('Données projet'!$A$62&gt;35,AI8+AH9-AQ8,IF(A9&lt;'Données projet'!$A$62,$AF$205^A9,IF(A9='Données projet'!$A$62,'Données projet'!$B$62,AI8+AH9-AQ8)))</f>
        <v>2.6926134168494786</v>
      </c>
      <c r="AJ9" s="14">
        <f>AI9*VLOOKUP('Données projet'!$B$10,Paramètres!$A$1:$I$89,3,0)*VLOOKUP('Données projet'!$B$10,Paramètres!$A$1:$I$89,5,0)</f>
        <v>2.5622909274739638</v>
      </c>
      <c r="AK9" s="14">
        <f t="shared" si="35"/>
        <v>1.0583179286256201</v>
      </c>
      <c r="AL9" s="22">
        <f t="shared" si="4"/>
        <v>6.3058937577067757</v>
      </c>
      <c r="AM9" s="62">
        <f t="shared" si="5"/>
        <v>270.30589375770677</v>
      </c>
      <c r="AN9" s="62">
        <f ca="1">AVERAGE(OFFSET($AM$3,0,0,'Données projet'!$E$10+1,1))-AVERAGE(OFFSET($H$3,0,0,'Données projet'!$E$10+1,1))</f>
        <v>444.81608506581125</v>
      </c>
      <c r="AO9" s="62">
        <f t="shared" si="36"/>
        <v>306.75289431725565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3.887142857142857</v>
      </c>
      <c r="BD9" s="13">
        <f>IF('Données projet'!$A$88&gt;35,BD8+BC9-BL8,IF(A9&lt;'Données projet'!$A$88,$BA$205^A9,IF(A9='Données projet'!$A$88,'Données projet'!$B$88,BD8+BC9-BL8)))</f>
        <v>23.322857142857139</v>
      </c>
      <c r="BE9" s="14">
        <f>BD9*VLOOKUP('Données projet'!$B$11,Paramètres!$A$1:$I$89,3,0)*VLOOKUP('Données projet'!$B$11,Paramètres!$A$1:$I$89,5,0)</f>
        <v>25.104723428571422</v>
      </c>
      <c r="BF9" s="14">
        <f t="shared" si="37"/>
        <v>7.9501618976574999</v>
      </c>
      <c r="BG9" s="22">
        <f t="shared" si="7"/>
        <v>57.570591943182031</v>
      </c>
      <c r="BH9" s="62">
        <f t="shared" si="8"/>
        <v>321.57059194318202</v>
      </c>
      <c r="BI9" s="62">
        <f ca="1">AVERAGE(OFFSET($BH$3,0,0,'Données projet'!$E$11+1,1))-AVERAGE(OFFSET($H$3,0,0,'Données projet'!$E$11+1,1))</f>
        <v>683.36974161977764</v>
      </c>
      <c r="BJ9" s="62">
        <f t="shared" si="38"/>
        <v>312.6921234697457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3.887142857142857</v>
      </c>
      <c r="BY9" s="13">
        <f>IF('Données projet'!$A$114&gt;35,BY8+BX9-CG8,IF(A9&lt;'Données projet'!$A$114,$BV$205^A9,IF(A9='Données projet'!$A$114,'Données projet'!$B$114,BY8+BX9-CG8)))</f>
        <v>23.322857142857139</v>
      </c>
      <c r="BZ9" s="14">
        <f>BY9*VLOOKUP('Données projet'!$B$12,Paramètres!$A$1:$I$89,3,0)*VLOOKUP('Données projet'!$B$12,Paramètres!$A$1:$I$89,5,0)</f>
        <v>22.557867428571427</v>
      </c>
      <c r="CA9" s="14">
        <f t="shared" si="39"/>
        <v>7.2331290396118018</v>
      </c>
      <c r="CB9" s="22">
        <f t="shared" si="10"/>
        <v>51.885985515419122</v>
      </c>
      <c r="CC9" s="62">
        <f t="shared" si="11"/>
        <v>315.88598551541912</v>
      </c>
      <c r="CD9" s="62">
        <f ca="1">AVERAGE(OFFSET($CC$3,0,0,'Données projet'!$E$12+1,1))-AVERAGE(OFFSET($H$3,0,0,'Données projet'!$E$12+1,1))</f>
        <v>618.83149423524605</v>
      </c>
      <c r="CE9" s="62">
        <f t="shared" si="40"/>
        <v>285.33582535802435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</v>
      </c>
      <c r="CT9" s="13">
        <f>IF('Données projet'!$A$140&gt;35,CT8+CS9-DB8,IF(A9&lt;'Données projet'!$A$140,$CQ$205^A9,IF(A9='Données projet'!$A$140,'Données projet'!$B$140,CT8+CS9-DB8)))</f>
        <v>7.5411711733776423</v>
      </c>
      <c r="CU9" s="18">
        <f>CT9*VLOOKUP('Données projet'!$B$13,Paramètres!$A$1:$I$89,3,0)*VLOOKUP('Données projet'!$B$13,Paramètres!$A$1:$I$89,5,0)</f>
        <v>6.5879671370627086</v>
      </c>
      <c r="CV9" s="14">
        <f t="shared" si="41"/>
        <v>2.4378154392387783</v>
      </c>
      <c r="CW9" s="22">
        <f t="shared" si="13"/>
        <v>15.71990465372509</v>
      </c>
      <c r="CX9" s="62">
        <f t="shared" si="14"/>
        <v>279.71990465372511</v>
      </c>
      <c r="CY9" s="62">
        <f ca="1">AVERAGE(OFFSET($CX$3,0,0,'Données projet'!$E$13+1,1))-AVERAGE(OFFSET($H$3,0,0,'Données projet'!$E$13+1,1))</f>
        <v>354.24684313982857</v>
      </c>
      <c r="CZ9" s="62">
        <f t="shared" si="42"/>
        <v>322.65043486962185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24.619607999999992</v>
      </c>
      <c r="P10" s="14">
        <f t="shared" si="33"/>
        <v>7.8142639118614152</v>
      </c>
      <c r="Q10" s="22">
        <f t="shared" si="2"/>
        <v>56.488993579825284</v>
      </c>
      <c r="R10" s="62">
        <f t="shared" si="0"/>
        <v>321.71121580204749</v>
      </c>
      <c r="S10" s="62">
        <f ca="1">AVERAGE(OFFSET($R$3,0,0,'Données projet'!$E$9+1,1))-AVERAGE(OFFSET($H$3,0,0,'Données projet'!$E$9+1,1))</f>
        <v>581.88778927327667</v>
      </c>
      <c r="T10" s="62">
        <f t="shared" si="34"/>
        <v>269.67340993773422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2.48</v>
      </c>
      <c r="AI10" s="14">
        <f>IF('Données projet'!$A$62&gt;35,AI9+AH10-AQ9,IF(A10&lt;'Données projet'!$A$62,$AF$205^A10,IF(A10='Données projet'!$A$62,'Données projet'!$B$62,AI9+AH10-AQ9)))</f>
        <v>3.175920869128289</v>
      </c>
      <c r="AJ10" s="14">
        <f>AI10*VLOOKUP('Données projet'!$B$10,Paramètres!$A$1:$I$89,3,0)*VLOOKUP('Données projet'!$B$10,Paramètres!$A$1:$I$89,5,0)</f>
        <v>3.0222062990624798</v>
      </c>
      <c r="AK10" s="14">
        <f t="shared" si="35"/>
        <v>1.224521585965517</v>
      </c>
      <c r="AL10" s="22">
        <f t="shared" si="4"/>
        <v>7.3963843997570935</v>
      </c>
      <c r="AM10" s="62">
        <f t="shared" si="5"/>
        <v>272.61860662197932</v>
      </c>
      <c r="AN10" s="62">
        <f ca="1">AVERAGE(OFFSET($AM$3,0,0,'Données projet'!$E$10+1,1))-AVERAGE(OFFSET($H$3,0,0,'Données projet'!$E$10+1,1))</f>
        <v>444.81608506581125</v>
      </c>
      <c r="AO10" s="62">
        <f t="shared" si="36"/>
        <v>306.75289431725565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3.887142857142857</v>
      </c>
      <c r="BD10" s="13">
        <f>IF('Données projet'!$A$88&gt;35,BD9+BC10-BL9,IF(A10&lt;'Données projet'!$A$88,$BA$205^A10,IF(A10='Données projet'!$A$88,'Données projet'!$B$88,BD9+BC10-BL9)))</f>
        <v>27.209999999999994</v>
      </c>
      <c r="BE10" s="14">
        <f>BD10*VLOOKUP('Données projet'!$B$11,Paramètres!$A$1:$I$89,3,0)*VLOOKUP('Données projet'!$B$11,Paramètres!$A$1:$I$89,5,0)</f>
        <v>29.288843999999994</v>
      </c>
      <c r="BF10" s="14">
        <f t="shared" si="37"/>
        <v>9.1102470881196833</v>
      </c>
      <c r="BG10" s="22">
        <f t="shared" si="7"/>
        <v>66.878416978475101</v>
      </c>
      <c r="BH10" s="62">
        <f t="shared" si="8"/>
        <v>332.10063920069734</v>
      </c>
      <c r="BI10" s="62">
        <f ca="1">AVERAGE(OFFSET($BH$3,0,0,'Données projet'!$E$11+1,1))-AVERAGE(OFFSET($H$3,0,0,'Données projet'!$E$11+1,1))</f>
        <v>683.36974161977764</v>
      </c>
      <c r="BJ10" s="62">
        <f t="shared" si="38"/>
        <v>312.6921234697457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3.887142857142857</v>
      </c>
      <c r="BY10" s="13">
        <f>IF('Données projet'!$A$114&gt;35,BY9+BX10-CG9,IF(A10&lt;'Données projet'!$A$114,$BV$205^A10,IF(A10='Données projet'!$A$114,'Données projet'!$B$114,BY9+BX10-CG9)))</f>
        <v>27.209999999999994</v>
      </c>
      <c r="BZ10" s="14">
        <f>BY10*VLOOKUP('Données projet'!$B$12,Paramètres!$A$1:$I$89,3,0)*VLOOKUP('Données projet'!$B$12,Paramètres!$A$1:$I$89,5,0)</f>
        <v>26.317511999999997</v>
      </c>
      <c r="CA10" s="14">
        <f t="shared" si="39"/>
        <v>8.288585014920681</v>
      </c>
      <c r="CB10" s="22">
        <f t="shared" si="10"/>
        <v>60.272285634320177</v>
      </c>
      <c r="CC10" s="62">
        <f t="shared" si="11"/>
        <v>325.49450785654238</v>
      </c>
      <c r="CD10" s="62">
        <f ca="1">AVERAGE(OFFSET($CC$3,0,0,'Données projet'!$E$12+1,1))-AVERAGE(OFFSET($H$3,0,0,'Données projet'!$E$12+1,1))</f>
        <v>618.83149423524605</v>
      </c>
      <c r="CE10" s="62">
        <f t="shared" si="40"/>
        <v>285.33582535802435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</v>
      </c>
      <c r="CT10" s="13">
        <f>IF('Données projet'!$A$140&gt;35,CT9+CS10-DB9,IF(A10&lt;'Données projet'!$A$140,$CQ$205^A10,IF(A10='Données projet'!$A$140,'Données projet'!$B$140,CT9+CS10-DB9)))</f>
        <v>10.560356962676241</v>
      </c>
      <c r="CU10" s="18">
        <f>CT10*VLOOKUP('Données projet'!$B$13,Paramètres!$A$1:$I$89,3,0)*VLOOKUP('Données projet'!$B$13,Paramètres!$A$1:$I$89,5,0)</f>
        <v>9.2255278425939657</v>
      </c>
      <c r="CV10" s="14">
        <f t="shared" si="41"/>
        <v>3.282602608711652</v>
      </c>
      <c r="CW10" s="22">
        <f t="shared" si="13"/>
        <v>21.784993869357283</v>
      </c>
      <c r="CX10" s="62">
        <f t="shared" si="14"/>
        <v>287.00721609157949</v>
      </c>
      <c r="CY10" s="62">
        <f ca="1">AVERAGE(OFFSET($CX$3,0,0,'Données projet'!$E$13+1,1))-AVERAGE(OFFSET($H$3,0,0,'Données projet'!$E$13+1,1))</f>
        <v>354.24684313982857</v>
      </c>
      <c r="CZ10" s="62">
        <f t="shared" si="42"/>
        <v>322.65043486962185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28.136694857142849</v>
      </c>
      <c r="P11" s="14">
        <f t="shared" si="33"/>
        <v>8.792851913254415</v>
      </c>
      <c r="Q11" s="22">
        <f t="shared" si="2"/>
        <v>64.318960625108559</v>
      </c>
      <c r="R11" s="62">
        <f t="shared" si="0"/>
        <v>330.76340506955302</v>
      </c>
      <c r="S11" s="62">
        <f ca="1">AVERAGE(OFFSET($R$3,0,0,'Données projet'!$E$9+1,1))-AVERAGE(OFFSET($H$3,0,0,'Données projet'!$E$9+1,1))</f>
        <v>581.88778927327667</v>
      </c>
      <c r="T11" s="62">
        <f t="shared" si="34"/>
        <v>269.67340993773422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2.48</v>
      </c>
      <c r="AI11" s="14">
        <f>IF('Données projet'!$A$62&gt;35,AI10+AH11-AQ10,IF(A11&lt;'Données projet'!$A$62,$AF$205^A11,IF(A11='Données projet'!$A$62,'Données projet'!$B$62,AI10+AH11-AQ10)))</f>
        <v>3.745979019433979</v>
      </c>
      <c r="AJ11" s="14">
        <f>AI11*VLOOKUP('Données projet'!$B$10,Paramètres!$A$1:$I$89,3,0)*VLOOKUP('Données projet'!$B$10,Paramètres!$A$1:$I$89,5,0)</f>
        <v>3.5646736348933747</v>
      </c>
      <c r="AK11" s="14">
        <f t="shared" si="35"/>
        <v>1.4168267152411973</v>
      </c>
      <c r="AL11" s="22">
        <f t="shared" si="4"/>
        <v>8.6761131098177131</v>
      </c>
      <c r="AM11" s="62">
        <f t="shared" si="5"/>
        <v>275.12055755426218</v>
      </c>
      <c r="AN11" s="62">
        <f ca="1">AVERAGE(OFFSET($AM$3,0,0,'Données projet'!$E$10+1,1))-AVERAGE(OFFSET($H$3,0,0,'Données projet'!$E$10+1,1))</f>
        <v>444.81608506581125</v>
      </c>
      <c r="AO11" s="62">
        <f t="shared" si="36"/>
        <v>306.75289431725565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3.887142857142857</v>
      </c>
      <c r="BD11" s="13">
        <f>IF('Données projet'!$A$88&gt;35,BD10+BC11-BL10,IF(A11&lt;'Données projet'!$A$88,$BA$205^A11,IF(A11='Données projet'!$A$88,'Données projet'!$B$88,BD10+BC11-BL10)))</f>
        <v>31.097142857142849</v>
      </c>
      <c r="BE11" s="14">
        <f>BD11*VLOOKUP('Données projet'!$B$11,Paramètres!$A$1:$I$89,3,0)*VLOOKUP('Données projet'!$B$11,Paramètres!$A$1:$I$89,5,0)</f>
        <v>33.472964571428555</v>
      </c>
      <c r="BF11" s="14">
        <f t="shared" si="37"/>
        <v>10.251132344967342</v>
      </c>
      <c r="BG11" s="22">
        <f t="shared" si="7"/>
        <v>76.152802129389514</v>
      </c>
      <c r="BH11" s="62">
        <f t="shared" si="8"/>
        <v>342.59724657383396</v>
      </c>
      <c r="BI11" s="62">
        <f ca="1">AVERAGE(OFFSET($BH$3,0,0,'Données projet'!$E$11+1,1))-AVERAGE(OFFSET($H$3,0,0,'Données projet'!$E$11+1,1))</f>
        <v>683.36974161977764</v>
      </c>
      <c r="BJ11" s="62">
        <f t="shared" si="38"/>
        <v>312.6921234697457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3.887142857142857</v>
      </c>
      <c r="BY11" s="13">
        <f>IF('Données projet'!$A$114&gt;35,BY10+BX11-CG10,IF(A11&lt;'Données projet'!$A$114,$BV$205^A11,IF(A11='Données projet'!$A$114,'Données projet'!$B$114,BY10+BX11-CG10)))</f>
        <v>31.097142857142849</v>
      </c>
      <c r="BZ11" s="14">
        <f>BY11*VLOOKUP('Données projet'!$B$12,Paramètres!$A$1:$I$89,3,0)*VLOOKUP('Données projet'!$B$12,Paramètres!$A$1:$I$89,5,0)</f>
        <v>30.077156571428564</v>
      </c>
      <c r="CA11" s="14">
        <f t="shared" si="39"/>
        <v>9.3265727173599551</v>
      </c>
      <c r="CB11" s="22">
        <f t="shared" si="10"/>
        <v>68.62816184463999</v>
      </c>
      <c r="CC11" s="62">
        <f t="shared" si="11"/>
        <v>335.07260628908443</v>
      </c>
      <c r="CD11" s="62">
        <f ca="1">AVERAGE(OFFSET($CC$3,0,0,'Données projet'!$E$12+1,1))-AVERAGE(OFFSET($H$3,0,0,'Données projet'!$E$12+1,1))</f>
        <v>618.83149423524605</v>
      </c>
      <c r="CE11" s="62">
        <f t="shared" si="40"/>
        <v>285.33582535802435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</v>
      </c>
      <c r="CT11" s="13">
        <f>IF('Données projet'!$A$140&gt;35,CT10+CS11-DB10,IF(A11&lt;'Données projet'!$A$140,$CQ$205^A11,IF(A11='Données projet'!$A$140,'Données projet'!$B$140,CT10+CS11-DB10)))</f>
        <v>14.7883049748087</v>
      </c>
      <c r="CU11" s="18">
        <f>CT11*VLOOKUP('Données projet'!$B$13,Paramètres!$A$1:$I$89,3,0)*VLOOKUP('Données projet'!$B$13,Paramètres!$A$1:$I$89,5,0)</f>
        <v>12.919063225992881</v>
      </c>
      <c r="CV11" s="14">
        <f t="shared" si="41"/>
        <v>4.4201376828121335</v>
      </c>
      <c r="CW11" s="22">
        <f t="shared" si="13"/>
        <v>30.199108249502064</v>
      </c>
      <c r="CX11" s="62">
        <f t="shared" si="14"/>
        <v>296.6435526939465</v>
      </c>
      <c r="CY11" s="62">
        <f ca="1">AVERAGE(OFFSET($CX$3,0,0,'Données projet'!$E$13+1,1))-AVERAGE(OFFSET($H$3,0,0,'Données projet'!$E$13+1,1))</f>
        <v>354.24684313982857</v>
      </c>
      <c r="CZ11" s="62">
        <f t="shared" si="42"/>
        <v>322.65043486962185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31.653781714285703</v>
      </c>
      <c r="P12" s="14">
        <f t="shared" si="33"/>
        <v>9.757265618420071</v>
      </c>
      <c r="Q12" s="22">
        <f t="shared" si="2"/>
        <v>72.124240771129223</v>
      </c>
      <c r="R12" s="62">
        <f t="shared" si="0"/>
        <v>339.79090743779591</v>
      </c>
      <c r="S12" s="62">
        <f ca="1">AVERAGE(OFFSET($R$3,0,0,'Données projet'!$E$9+1,1))-AVERAGE(OFFSET($H$3,0,0,'Données projet'!$E$9+1,1))</f>
        <v>581.88778927327667</v>
      </c>
      <c r="T12" s="62">
        <f t="shared" si="34"/>
        <v>269.67340993773422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2.48</v>
      </c>
      <c r="AI12" s="14">
        <f>IF('Données projet'!$A$62&gt;35,AI11+AH12-AQ11,IF(A12&lt;'Données projet'!$A$62,$AF$205^A12,IF(A12='Données projet'!$A$62,'Données projet'!$B$62,AI11+AH12-AQ11)))</f>
        <v>4.4183590814374067</v>
      </c>
      <c r="AJ12" s="14">
        <f>AI12*VLOOKUP('Données projet'!$B$10,Paramètres!$A$1:$I$89,3,0)*VLOOKUP('Données projet'!$B$10,Paramètres!$A$1:$I$89,5,0)</f>
        <v>4.204510501895836</v>
      </c>
      <c r="AK12" s="14">
        <f t="shared" si="35"/>
        <v>1.6393324250289611</v>
      </c>
      <c r="AL12" s="22">
        <f t="shared" si="4"/>
        <v>10.178026431060688</v>
      </c>
      <c r="AM12" s="62">
        <f t="shared" si="5"/>
        <v>277.84469309772737</v>
      </c>
      <c r="AN12" s="62">
        <f ca="1">AVERAGE(OFFSET($AM$3,0,0,'Données projet'!$E$10+1,1))-AVERAGE(OFFSET($H$3,0,0,'Données projet'!$E$10+1,1))</f>
        <v>444.81608506581125</v>
      </c>
      <c r="AO12" s="62">
        <f t="shared" si="36"/>
        <v>306.75289431725565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3.887142857142857</v>
      </c>
      <c r="BD12" s="13">
        <f>IF('Données projet'!$A$88&gt;35,BD11+BC12-BL11,IF(A12&lt;'Données projet'!$A$88,$BA$205^A12,IF(A12='Données projet'!$A$88,'Données projet'!$B$88,BD11+BC12-BL11)))</f>
        <v>34.984285714285704</v>
      </c>
      <c r="BE12" s="14">
        <f>BD12*VLOOKUP('Données projet'!$B$11,Paramètres!$A$1:$I$89,3,0)*VLOOKUP('Données projet'!$B$11,Paramètres!$A$1:$I$89,5,0)</f>
        <v>37.657085142857127</v>
      </c>
      <c r="BF12" s="14">
        <f t="shared" si="37"/>
        <v>11.375492521220362</v>
      </c>
      <c r="BG12" s="22">
        <f t="shared" si="7"/>
        <v>85.39840609826831</v>
      </c>
      <c r="BH12" s="62">
        <f t="shared" si="8"/>
        <v>353.065072764935</v>
      </c>
      <c r="BI12" s="62">
        <f ca="1">AVERAGE(OFFSET($BH$3,0,0,'Données projet'!$E$11+1,1))-AVERAGE(OFFSET($H$3,0,0,'Données projet'!$E$11+1,1))</f>
        <v>683.36974161977764</v>
      </c>
      <c r="BJ12" s="62">
        <f t="shared" si="38"/>
        <v>312.6921234697457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3.887142857142857</v>
      </c>
      <c r="BY12" s="13">
        <f>IF('Données projet'!$A$114&gt;35,BY11+BX12-CG11,IF(A12&lt;'Données projet'!$A$114,$BV$205^A12,IF(A12='Données projet'!$A$114,'Données projet'!$B$114,BY11+BX12-CG11)))</f>
        <v>34.984285714285704</v>
      </c>
      <c r="BZ12" s="14">
        <f>BY12*VLOOKUP('Données projet'!$B$12,Paramètres!$A$1:$I$89,3,0)*VLOOKUP('Données projet'!$B$12,Paramètres!$A$1:$I$89,5,0)</f>
        <v>33.836801142857134</v>
      </c>
      <c r="CA12" s="14">
        <f t="shared" si="39"/>
        <v>10.349525752345953</v>
      </c>
      <c r="CB12" s="22">
        <f t="shared" si="10"/>
        <v>76.957852675812049</v>
      </c>
      <c r="CC12" s="62">
        <f t="shared" si="11"/>
        <v>344.62451934247872</v>
      </c>
      <c r="CD12" s="62">
        <f ca="1">AVERAGE(OFFSET($CC$3,0,0,'Données projet'!$E$12+1,1))-AVERAGE(OFFSET($H$3,0,0,'Données projet'!$E$12+1,1))</f>
        <v>618.83149423524605</v>
      </c>
      <c r="CE12" s="62">
        <f t="shared" si="40"/>
        <v>285.33582535802435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</v>
      </c>
      <c r="CT12" s="13">
        <f>IF('Données projet'!$A$140&gt;35,CT11+CS12-DB11,IF(A12&lt;'Données projet'!$A$140,$CQ$205^A12,IF(A12='Données projet'!$A$140,'Données projet'!$B$140,CT11+CS12-DB11)))</f>
        <v>20.708955653761308</v>
      </c>
      <c r="CU12" s="18">
        <f>CT12*VLOOKUP('Données projet'!$B$13,Paramètres!$A$1:$I$89,3,0)*VLOOKUP('Données projet'!$B$13,Paramètres!$A$1:$I$89,5,0)</f>
        <v>18.091343659125879</v>
      </c>
      <c r="CV12" s="14">
        <f t="shared" si="41"/>
        <v>5.9518679121149844</v>
      </c>
      <c r="CW12" s="22">
        <f t="shared" si="13"/>
        <v>41.875260153244504</v>
      </c>
      <c r="CX12" s="62">
        <f t="shared" si="14"/>
        <v>309.54192681991117</v>
      </c>
      <c r="CY12" s="62">
        <f ca="1">AVERAGE(OFFSET($CX$3,0,0,'Données projet'!$E$13+1,1))-AVERAGE(OFFSET($H$3,0,0,'Données projet'!$E$13+1,1))</f>
        <v>354.24684313982857</v>
      </c>
      <c r="CZ12" s="62">
        <f t="shared" si="42"/>
        <v>322.65043486962185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35.170868571428556</v>
      </c>
      <c r="P13" s="14">
        <f t="shared" si="33"/>
        <v>10.709259603674569</v>
      </c>
      <c r="Q13" s="22">
        <f t="shared" si="2"/>
        <v>79.90788990497127</v>
      </c>
      <c r="R13" s="62">
        <f t="shared" si="0"/>
        <v>348.79677879386014</v>
      </c>
      <c r="S13" s="62">
        <f ca="1">AVERAGE(OFFSET($R$3,0,0,'Données projet'!$E$9+1,1))-AVERAGE(OFFSET($H$3,0,0,'Données projet'!$E$9+1,1))</f>
        <v>581.88778927327667</v>
      </c>
      <c r="T13" s="62">
        <f t="shared" si="34"/>
        <v>269.67340993773422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2.48</v>
      </c>
      <c r="AI13" s="14">
        <f>IF('Données projet'!$A$62&gt;35,AI12+AH13-AQ12,IF(A13&lt;'Données projet'!$A$62,$AF$205^A13,IF(A13='Données projet'!$A$62,'Données projet'!$B$62,AI12+AH13-AQ12)))</f>
        <v>5.2114272053424839</v>
      </c>
      <c r="AJ13" s="14">
        <f>AI13*VLOOKUP('Données projet'!$B$10,Paramètres!$A$1:$I$89,3,0)*VLOOKUP('Données projet'!$B$10,Paramètres!$A$1:$I$89,5,0)</f>
        <v>4.9591941286039081</v>
      </c>
      <c r="AK13" s="14">
        <f t="shared" si="35"/>
        <v>1.8967815688694409</v>
      </c>
      <c r="AL13" s="22">
        <f t="shared" si="4"/>
        <v>11.940824339766083</v>
      </c>
      <c r="AM13" s="62">
        <f t="shared" si="5"/>
        <v>280.82971322865495</v>
      </c>
      <c r="AN13" s="62">
        <f ca="1">AVERAGE(OFFSET($AM$3,0,0,'Données projet'!$E$10+1,1))-AVERAGE(OFFSET($H$3,0,0,'Données projet'!$E$10+1,1))</f>
        <v>444.81608506581125</v>
      </c>
      <c r="AO13" s="62">
        <f t="shared" si="36"/>
        <v>306.75289431725565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3.887142857142857</v>
      </c>
      <c r="BD13" s="13">
        <f>IF('Données projet'!$A$88&gt;35,BD12+BC13-BL12,IF(A13&lt;'Données projet'!$A$88,$BA$205^A13,IF(A13='Données projet'!$A$88,'Données projet'!$B$88,BD12+BC13-BL12)))</f>
        <v>38.871428571428559</v>
      </c>
      <c r="BE13" s="14">
        <f>BD13*VLOOKUP('Données projet'!$B$11,Paramètres!$A$1:$I$89,3,0)*VLOOKUP('Données projet'!$B$11,Paramètres!$A$1:$I$89,5,0)</f>
        <v>41.841205714285699</v>
      </c>
      <c r="BF13" s="14">
        <f t="shared" si="37"/>
        <v>12.48537318687174</v>
      </c>
      <c r="BG13" s="22">
        <f t="shared" si="7"/>
        <v>94.618791586182525</v>
      </c>
      <c r="BH13" s="62">
        <f t="shared" si="8"/>
        <v>363.50768047507137</v>
      </c>
      <c r="BI13" s="62">
        <f ca="1">AVERAGE(OFFSET($BH$3,0,0,'Données projet'!$E$11+1,1))-AVERAGE(OFFSET($H$3,0,0,'Données projet'!$E$11+1,1))</f>
        <v>683.36974161977764</v>
      </c>
      <c r="BJ13" s="62">
        <f t="shared" si="38"/>
        <v>312.6921234697457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3.887142857142857</v>
      </c>
      <c r="BY13" s="13">
        <f>IF('Données projet'!$A$114&gt;35,BY12+BX13-CG12,IF(A13&lt;'Données projet'!$A$114,$BV$205^A13,IF(A13='Données projet'!$A$114,'Données projet'!$B$114,BY12+BX13-CG12)))</f>
        <v>38.871428571428559</v>
      </c>
      <c r="BZ13" s="14">
        <f>BY13*VLOOKUP('Données projet'!$B$12,Paramètres!$A$1:$I$89,3,0)*VLOOKUP('Données projet'!$B$12,Paramètres!$A$1:$I$89,5,0)</f>
        <v>37.596445714285707</v>
      </c>
      <c r="CA13" s="14">
        <f t="shared" si="39"/>
        <v>11.359305197918257</v>
      </c>
      <c r="CB13" s="22">
        <f t="shared" si="10"/>
        <v>85.264599505421899</v>
      </c>
      <c r="CC13" s="62">
        <f t="shared" si="11"/>
        <v>354.15348839431078</v>
      </c>
      <c r="CD13" s="62">
        <f ca="1">AVERAGE(OFFSET($CC$3,0,0,'Données projet'!$E$12+1,1))-AVERAGE(OFFSET($H$3,0,0,'Données projet'!$E$12+1,1))</f>
        <v>618.83149423524605</v>
      </c>
      <c r="CE13" s="62">
        <f t="shared" si="40"/>
        <v>285.33582535802435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29</v>
      </c>
      <c r="CR13" s="13">
        <f>VLOOKUP(A13,'Données projet'!$A$139:$I$159,9,0)</f>
        <v>2.9</v>
      </c>
      <c r="CS13" s="13">
        <f t="array" ref="CS13">INDEX(CR:CR,MIN(IF(ISNUMBER(CR13:CR209),ROW(CR13:CR209),"")))</f>
        <v>2.9</v>
      </c>
      <c r="CT13" s="13">
        <f>IF('Données projet'!$A$140&gt;35,CT12+CS13-DB12,IF(A13&lt;'Données projet'!$A$140,$CQ$205^A13,IF(A13='Données projet'!$A$140,'Données projet'!$B$140,CT12+CS13-DB12)))</f>
        <v>29</v>
      </c>
      <c r="CU13" s="18">
        <f>CT13*VLOOKUP('Données projet'!$B$13,Paramètres!$A$1:$I$89,3,0)*VLOOKUP('Données projet'!$B$13,Paramètres!$A$1:$I$89,5,0)</f>
        <v>25.334400000000002</v>
      </c>
      <c r="CV13" s="14">
        <f t="shared" si="41"/>
        <v>8.0143955200794572</v>
      </c>
      <c r="CW13" s="22">
        <f t="shared" si="13"/>
        <v>58.082485530805059</v>
      </c>
      <c r="CX13" s="62">
        <f t="shared" si="14"/>
        <v>326.97137441969392</v>
      </c>
      <c r="CY13" s="62">
        <f ca="1">AVERAGE(OFFSET($CX$3,0,0,'Données projet'!$E$13+1,1))-AVERAGE(OFFSET($H$3,0,0,'Données projet'!$E$13+1,1))</f>
        <v>354.24684313982857</v>
      </c>
      <c r="CZ13" s="62">
        <f t="shared" si="42"/>
        <v>322.65043486962185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38.687955428571414</v>
      </c>
      <c r="P14" s="14">
        <f t="shared" si="33"/>
        <v>11.650217223542473</v>
      </c>
      <c r="Q14" s="22">
        <f t="shared" si="2"/>
        <v>87.672317369098337</v>
      </c>
      <c r="R14" s="62">
        <f t="shared" si="0"/>
        <v>357.78342848020947</v>
      </c>
      <c r="S14" s="62">
        <f ca="1">AVERAGE(OFFSET($R$3,0,0,'Données projet'!$E$9+1,1))-AVERAGE(OFFSET($H$3,0,0,'Données projet'!$E$9+1,1))</f>
        <v>581.88778927327667</v>
      </c>
      <c r="T14" s="62">
        <f t="shared" si="34"/>
        <v>269.67340993773422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2.48</v>
      </c>
      <c r="AI14" s="14">
        <f>IF('Données projet'!$A$62&gt;35,AI13+AH14-AQ13,IF(A14&lt;'Données projet'!$A$62,$AF$205^A14,IF(A14='Données projet'!$A$62,'Données projet'!$B$62,AI13+AH14-AQ13)))</f>
        <v>6.1468461517048683</v>
      </c>
      <c r="AJ14" s="14">
        <f>AI14*VLOOKUP('Données projet'!$B$10,Paramètres!$A$1:$I$89,3,0)*VLOOKUP('Données projet'!$B$10,Paramètres!$A$1:$I$89,5,0)</f>
        <v>5.8493387979623526</v>
      </c>
      <c r="AK14" s="14">
        <f t="shared" si="35"/>
        <v>2.1946618422674447</v>
      </c>
      <c r="AL14" s="22">
        <f t="shared" si="4"/>
        <v>14.009967781733563</v>
      </c>
      <c r="AM14" s="62">
        <f t="shared" si="5"/>
        <v>284.12107889284471</v>
      </c>
      <c r="AN14" s="62">
        <f ca="1">AVERAGE(OFFSET($AM$3,0,0,'Données projet'!$E$10+1,1))-AVERAGE(OFFSET($H$3,0,0,'Données projet'!$E$10+1,1))</f>
        <v>444.81608506581125</v>
      </c>
      <c r="AO14" s="62">
        <f t="shared" si="36"/>
        <v>306.75289431725565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3.887142857142857</v>
      </c>
      <c r="BD14" s="13">
        <f>IF('Données projet'!$A$88&gt;35,BD13+BC14-BL13,IF(A14&lt;'Données projet'!$A$88,$BA$205^A14,IF(A14='Données projet'!$A$88,'Données projet'!$B$88,BD13+BC14-BL13)))</f>
        <v>42.758571428571415</v>
      </c>
      <c r="BE14" s="14">
        <f>BD14*VLOOKUP('Données projet'!$B$11,Paramètres!$A$1:$I$89,3,0)*VLOOKUP('Données projet'!$B$11,Paramètres!$A$1:$I$89,5,0)</f>
        <v>46.025326285714272</v>
      </c>
      <c r="BF14" s="14">
        <f t="shared" si="37"/>
        <v>13.582387123582203</v>
      </c>
      <c r="BG14" s="22">
        <f t="shared" si="7"/>
        <v>103.81676752119135</v>
      </c>
      <c r="BH14" s="62">
        <f t="shared" si="8"/>
        <v>373.92787863230251</v>
      </c>
      <c r="BI14" s="62">
        <f ca="1">AVERAGE(OFFSET($BH$3,0,0,'Données projet'!$E$11+1,1))-AVERAGE(OFFSET($H$3,0,0,'Données projet'!$E$11+1,1))</f>
        <v>683.36974161977764</v>
      </c>
      <c r="BJ14" s="62">
        <f t="shared" si="38"/>
        <v>312.6921234697457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3.887142857142857</v>
      </c>
      <c r="BY14" s="13">
        <f>IF('Données projet'!$A$114&gt;35,BY13+BX14-CG13,IF(A14&lt;'Données projet'!$A$114,$BV$205^A14,IF(A14='Données projet'!$A$114,'Données projet'!$B$114,BY13+BX14-CG13)))</f>
        <v>42.758571428571415</v>
      </c>
      <c r="BZ14" s="14">
        <f>BY14*VLOOKUP('Données projet'!$B$12,Paramètres!$A$1:$I$89,3,0)*VLOOKUP('Données projet'!$B$12,Paramètres!$A$1:$I$89,5,0)</f>
        <v>41.356090285714274</v>
      </c>
      <c r="CA14" s="14">
        <f t="shared" si="39"/>
        <v>12.357378377386118</v>
      </c>
      <c r="CB14" s="22">
        <f t="shared" si="10"/>
        <v>93.550957921566507</v>
      </c>
      <c r="CC14" s="62">
        <f t="shared" si="11"/>
        <v>363.66206903267766</v>
      </c>
      <c r="CD14" s="62">
        <f ca="1">AVERAGE(OFFSET($CC$3,0,0,'Données projet'!$E$12+1,1))-AVERAGE(OFFSET($H$3,0,0,'Données projet'!$E$12+1,1))</f>
        <v>618.83149423524605</v>
      </c>
      <c r="CE14" s="62">
        <f t="shared" si="40"/>
        <v>285.33582535802435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8.8000000000000007</v>
      </c>
      <c r="CT14" s="13">
        <f>IF('Données projet'!$A$140&gt;35,CT13+CS14-DB13,IF(A14&lt;'Données projet'!$A$140,$CQ$205^A14,IF(A14='Données projet'!$A$140,'Données projet'!$B$140,CT13+CS14-DB13)))</f>
        <v>37.799999999999997</v>
      </c>
      <c r="CU14" s="18">
        <f>CT14*VLOOKUP('Données projet'!$B$13,Paramètres!$A$1:$I$89,3,0)*VLOOKUP('Données projet'!$B$13,Paramètres!$A$1:$I$89,5,0)</f>
        <v>33.022080000000003</v>
      </c>
      <c r="CV14" s="14">
        <f t="shared" si="41"/>
        <v>10.129025278332465</v>
      </c>
      <c r="CW14" s="22">
        <f t="shared" si="13"/>
        <v>75.154841693095705</v>
      </c>
      <c r="CX14" s="62">
        <f t="shared" si="14"/>
        <v>345.26595280420685</v>
      </c>
      <c r="CY14" s="62">
        <f ca="1">AVERAGE(OFFSET($CX$3,0,0,'Données projet'!$E$13+1,1))-AVERAGE(OFFSET($H$3,0,0,'Données projet'!$E$13+1,1))</f>
        <v>354.24684313982857</v>
      </c>
      <c r="CZ14" s="62">
        <f t="shared" si="42"/>
        <v>322.65043486962185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42.205042285714271</v>
      </c>
      <c r="P15" s="14">
        <f t="shared" si="33"/>
        <v>12.581255887241159</v>
      </c>
      <c r="Q15" s="22">
        <f t="shared" si="2"/>
        <v>95.419469317897367</v>
      </c>
      <c r="R15" s="62">
        <f t="shared" si="0"/>
        <v>366.7528026512307</v>
      </c>
      <c r="S15" s="62">
        <f ca="1">AVERAGE(OFFSET($R$3,0,0,'Données projet'!$E$9+1,1))-AVERAGE(OFFSET($H$3,0,0,'Données projet'!$E$9+1,1))</f>
        <v>581.88778927327667</v>
      </c>
      <c r="T15" s="62">
        <f t="shared" si="34"/>
        <v>269.67340993773422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2.48</v>
      </c>
      <c r="AI15" s="14">
        <f>IF('Données projet'!$A$62&gt;35,AI14+AH15-AQ14,IF(A15&lt;'Données projet'!$A$62,$AF$205^A15,IF(A15='Données projet'!$A$62,'Données projet'!$B$62,AI14+AH15-AQ14)))</f>
        <v>7.2501670125978235</v>
      </c>
      <c r="AJ15" s="14">
        <f>AI15*VLOOKUP('Données projet'!$B$10,Paramètres!$A$1:$I$89,3,0)*VLOOKUP('Données projet'!$B$10,Paramètres!$A$1:$I$89,5,0)</f>
        <v>6.8992589291880879</v>
      </c>
      <c r="AK15" s="14">
        <f t="shared" si="35"/>
        <v>2.5393227564814365</v>
      </c>
      <c r="AL15" s="22">
        <f t="shared" si="4"/>
        <v>16.438863102541085</v>
      </c>
      <c r="AM15" s="62">
        <f t="shared" si="5"/>
        <v>287.77219643587438</v>
      </c>
      <c r="AN15" s="62">
        <f ca="1">AVERAGE(OFFSET($AM$3,0,0,'Données projet'!$E$10+1,1))-AVERAGE(OFFSET($H$3,0,0,'Données projet'!$E$10+1,1))</f>
        <v>444.81608506581125</v>
      </c>
      <c r="AO15" s="62">
        <f t="shared" si="36"/>
        <v>306.75289431725565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3.887142857142857</v>
      </c>
      <c r="BD15" s="13">
        <f>IF('Données projet'!$A$88&gt;35,BD14+BC15-BL14,IF(A15&lt;'Données projet'!$A$88,$BA$205^A15,IF(A15='Données projet'!$A$88,'Données projet'!$B$88,BD14+BC15-BL14)))</f>
        <v>46.64571428571427</v>
      </c>
      <c r="BE15" s="14">
        <f>BD15*VLOOKUP('Données projet'!$B$11,Paramètres!$A$1:$I$89,3,0)*VLOOKUP('Données projet'!$B$11,Paramètres!$A$1:$I$89,5,0)</f>
        <v>50.209446857142837</v>
      </c>
      <c r="BF15" s="14">
        <f t="shared" si="37"/>
        <v>14.667837061101311</v>
      </c>
      <c r="BG15" s="22">
        <f t="shared" si="7"/>
        <v>112.99460282427522</v>
      </c>
      <c r="BH15" s="62">
        <f t="shared" si="8"/>
        <v>384.32793615760852</v>
      </c>
      <c r="BI15" s="62">
        <f ca="1">AVERAGE(OFFSET($BH$3,0,0,'Données projet'!$E$11+1,1))-AVERAGE(OFFSET($H$3,0,0,'Données projet'!$E$11+1,1))</f>
        <v>683.36974161977764</v>
      </c>
      <c r="BJ15" s="62">
        <f t="shared" si="38"/>
        <v>312.6921234697457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3.887142857142857</v>
      </c>
      <c r="BY15" s="13">
        <f>IF('Données projet'!$A$114&gt;35,BY14+BX15-CG14,IF(A15&lt;'Données projet'!$A$114,$BV$205^A15,IF(A15='Données projet'!$A$114,'Données projet'!$B$114,BY14+BX15-CG14)))</f>
        <v>46.64571428571427</v>
      </c>
      <c r="BZ15" s="14">
        <f>BY15*VLOOKUP('Données projet'!$B$12,Paramètres!$A$1:$I$89,3,0)*VLOOKUP('Données projet'!$B$12,Paramètres!$A$1:$I$89,5,0)</f>
        <v>45.115734857142847</v>
      </c>
      <c r="CA15" s="14">
        <f t="shared" si="39"/>
        <v>13.344930526032003</v>
      </c>
      <c r="CB15" s="22">
        <f t="shared" si="10"/>
        <v>101.81899220902953</v>
      </c>
      <c r="CC15" s="62">
        <f t="shared" si="11"/>
        <v>373.15232554236286</v>
      </c>
      <c r="CD15" s="62">
        <f ca="1">AVERAGE(OFFSET($CC$3,0,0,'Données projet'!$E$12+1,1))-AVERAGE(OFFSET($H$3,0,0,'Données projet'!$E$12+1,1))</f>
        <v>618.83149423524605</v>
      </c>
      <c r="CE15" s="62">
        <f t="shared" si="40"/>
        <v>285.33582535802435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8.8000000000000007</v>
      </c>
      <c r="CT15" s="13">
        <f>IF('Données projet'!$A$140&gt;35,CT14+CS15-DB14,IF(A15&lt;'Données projet'!$A$140,$CQ$205^A15,IF(A15='Données projet'!$A$140,'Données projet'!$B$140,CT14+CS15-DB14)))</f>
        <v>46.599999999999994</v>
      </c>
      <c r="CU15" s="18">
        <f>CT15*VLOOKUP('Données projet'!$B$13,Paramètres!$A$1:$I$89,3,0)*VLOOKUP('Données projet'!$B$13,Paramètres!$A$1:$I$89,5,0)</f>
        <v>40.709760000000003</v>
      </c>
      <c r="CV15" s="14">
        <f t="shared" si="41"/>
        <v>12.186575870088381</v>
      </c>
      <c r="CW15" s="22">
        <f t="shared" si="13"/>
        <v>92.127784973737278</v>
      </c>
      <c r="CX15" s="62">
        <f t="shared" si="14"/>
        <v>363.46111830707059</v>
      </c>
      <c r="CY15" s="62">
        <f ca="1">AVERAGE(OFFSET($CX$3,0,0,'Données projet'!$E$13+1,1))-AVERAGE(OFFSET($H$3,0,0,'Données projet'!$E$13+1,1))</f>
        <v>354.24684313982857</v>
      </c>
      <c r="CZ15" s="62">
        <f t="shared" si="42"/>
        <v>322.65043486962185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45.722129142857128</v>
      </c>
      <c r="P16" s="14">
        <f t="shared" si="33"/>
        <v>13.50329614922042</v>
      </c>
      <c r="Q16" s="22">
        <f t="shared" si="2"/>
        <v>103.1509490503684</v>
      </c>
      <c r="R16" s="62">
        <f t="shared" si="0"/>
        <v>375.70650460592395</v>
      </c>
      <c r="S16" s="62">
        <f ca="1">AVERAGE(OFFSET($R$3,0,0,'Données projet'!$E$9+1,1))-AVERAGE(OFFSET($H$3,0,0,'Données projet'!$E$9+1,1))</f>
        <v>581.88778927327667</v>
      </c>
      <c r="T16" s="62">
        <f t="shared" si="34"/>
        <v>269.67340993773422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2.48</v>
      </c>
      <c r="AI16" s="14">
        <f>IF('Données projet'!$A$62&gt;35,AI15+AH16-AQ15,IF(A16&lt;'Données projet'!$A$62,$AF$205^A16,IF(A16='Données projet'!$A$62,'Données projet'!$B$62,AI15+AH16-AQ15)))</f>
        <v>8.5515271430670872</v>
      </c>
      <c r="AJ16" s="14">
        <f>AI16*VLOOKUP('Données projet'!$B$10,Paramètres!$A$1:$I$89,3,0)*VLOOKUP('Données projet'!$B$10,Paramètres!$A$1:$I$89,5,0)</f>
        <v>8.1376332293426401</v>
      </c>
      <c r="AK16" s="14">
        <f t="shared" si="35"/>
        <v>2.9381109824748579</v>
      </c>
      <c r="AL16" s="22">
        <f t="shared" si="4"/>
        <v>19.290254502248803</v>
      </c>
      <c r="AM16" s="62">
        <f t="shared" si="5"/>
        <v>291.84581005780433</v>
      </c>
      <c r="AN16" s="62">
        <f ca="1">AVERAGE(OFFSET($AM$3,0,0,'Données projet'!$E$10+1,1))-AVERAGE(OFFSET($H$3,0,0,'Données projet'!$E$10+1,1))</f>
        <v>444.81608506581125</v>
      </c>
      <c r="AO16" s="62">
        <f t="shared" si="36"/>
        <v>306.75289431725565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3.887142857142857</v>
      </c>
      <c r="BD16" s="13">
        <f>IF('Données projet'!$A$88&gt;35,BD15+BC16-BL15,IF(A16&lt;'Données projet'!$A$88,$BA$205^A16,IF(A16='Données projet'!$A$88,'Données projet'!$B$88,BD15+BC16-BL15)))</f>
        <v>50.532857142857125</v>
      </c>
      <c r="BE16" s="14">
        <f>BD16*VLOOKUP('Données projet'!$B$11,Paramètres!$A$1:$I$89,3,0)*VLOOKUP('Données projet'!$B$11,Paramètres!$A$1:$I$89,5,0)</f>
        <v>54.393567428571409</v>
      </c>
      <c r="BF16" s="14">
        <f t="shared" si="37"/>
        <v>15.742796226362564</v>
      </c>
      <c r="BG16" s="22">
        <f t="shared" si="7"/>
        <v>122.15416669900999</v>
      </c>
      <c r="BH16" s="62">
        <f t="shared" si="8"/>
        <v>394.70972225456552</v>
      </c>
      <c r="BI16" s="62">
        <f ca="1">AVERAGE(OFFSET($BH$3,0,0,'Données projet'!$E$11+1,1))-AVERAGE(OFFSET($H$3,0,0,'Données projet'!$E$11+1,1))</f>
        <v>683.36974161977764</v>
      </c>
      <c r="BJ16" s="62">
        <f t="shared" si="38"/>
        <v>312.6921234697457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3.887142857142857</v>
      </c>
      <c r="BY16" s="13">
        <f>IF('Données projet'!$A$114&gt;35,BY15+BX16-CG15,IF(A16&lt;'Données projet'!$A$114,$BV$205^A16,IF(A16='Données projet'!$A$114,'Données projet'!$B$114,BY15+BX16-CG15)))</f>
        <v>50.532857142857125</v>
      </c>
      <c r="BZ16" s="14">
        <f>BY16*VLOOKUP('Données projet'!$B$12,Paramètres!$A$1:$I$89,3,0)*VLOOKUP('Données projet'!$B$12,Paramètres!$A$1:$I$89,5,0)</f>
        <v>48.875379428571414</v>
      </c>
      <c r="CA16" s="14">
        <f t="shared" si="39"/>
        <v>14.322938075405181</v>
      </c>
      <c r="CB16" s="22">
        <f t="shared" si="10"/>
        <v>110.07040298609256</v>
      </c>
      <c r="CC16" s="62">
        <f t="shared" si="11"/>
        <v>382.62595854164812</v>
      </c>
      <c r="CD16" s="62">
        <f ca="1">AVERAGE(OFFSET($CC$3,0,0,'Données projet'!$E$12+1,1))-AVERAGE(OFFSET($H$3,0,0,'Données projet'!$E$12+1,1))</f>
        <v>618.83149423524605</v>
      </c>
      <c r="CE16" s="62">
        <f t="shared" si="40"/>
        <v>285.33582535802435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8.8000000000000007</v>
      </c>
      <c r="CT16" s="13">
        <f>IF('Données projet'!$A$140&gt;35,CT15+CS16-DB15,IF(A16&lt;'Données projet'!$A$140,$CQ$205^A16,IF(A16='Données projet'!$A$140,'Données projet'!$B$140,CT15+CS16-DB15)))</f>
        <v>55.399999999999991</v>
      </c>
      <c r="CU16" s="18">
        <f>CT16*VLOOKUP('Données projet'!$B$13,Paramètres!$A$1:$I$89,3,0)*VLOOKUP('Données projet'!$B$13,Paramètres!$A$1:$I$89,5,0)</f>
        <v>48.397439999999996</v>
      </c>
      <c r="CV16" s="14">
        <f t="shared" si="41"/>
        <v>14.199110166340073</v>
      </c>
      <c r="CW16" s="22">
        <f t="shared" si="13"/>
        <v>109.02232487304228</v>
      </c>
      <c r="CX16" s="62">
        <f t="shared" si="14"/>
        <v>381.57788042859784</v>
      </c>
      <c r="CY16" s="62">
        <f ca="1">AVERAGE(OFFSET($CX$3,0,0,'Données projet'!$E$13+1,1))-AVERAGE(OFFSET($H$3,0,0,'Données projet'!$E$13+1,1))</f>
        <v>354.24684313982857</v>
      </c>
      <c r="CZ16" s="62">
        <f t="shared" si="42"/>
        <v>322.65043486962185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49.239215999999978</v>
      </c>
      <c r="P17" s="14">
        <f t="shared" si="33"/>
        <v>14.417108895027585</v>
      </c>
      <c r="Q17" s="22">
        <f t="shared" si="2"/>
        <v>110.86809919217301</v>
      </c>
      <c r="R17" s="62">
        <f t="shared" si="0"/>
        <v>384.64587696995079</v>
      </c>
      <c r="S17" s="62">
        <f ca="1">AVERAGE(OFFSET($R$3,0,0,'Données projet'!$E$9+1,1))-AVERAGE(OFFSET($H$3,0,0,'Données projet'!$E$9+1,1))</f>
        <v>581.88778927327667</v>
      </c>
      <c r="T17" s="62">
        <f t="shared" si="34"/>
        <v>269.67340993773422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2.48</v>
      </c>
      <c r="AI17" s="14">
        <f>IF('Données projet'!$A$62&gt;35,AI16+AH17-AQ16,IF(A17&lt;'Données projet'!$A$62,$AF$205^A17,IF(A17='Données projet'!$A$62,'Données projet'!$B$62,AI16+AH17-AQ16)))</f>
        <v>10.086473366964587</v>
      </c>
      <c r="AJ17" s="14">
        <f>AI17*VLOOKUP('Données projet'!$B$10,Paramètres!$A$1:$I$89,3,0)*VLOOKUP('Données projet'!$B$10,Paramètres!$A$1:$I$89,5,0)</f>
        <v>9.5982880560035007</v>
      </c>
      <c r="AK17" s="14">
        <f t="shared" si="35"/>
        <v>3.3995269499733971</v>
      </c>
      <c r="AL17" s="22">
        <f t="shared" si="4"/>
        <v>22.637861135409764</v>
      </c>
      <c r="AM17" s="62">
        <f t="shared" si="5"/>
        <v>296.41563891318754</v>
      </c>
      <c r="AN17" s="62">
        <f ca="1">AVERAGE(OFFSET($AM$3,0,0,'Données projet'!$E$10+1,1))-AVERAGE(OFFSET($H$3,0,0,'Données projet'!$E$10+1,1))</f>
        <v>444.81608506581125</v>
      </c>
      <c r="AO17" s="62">
        <f t="shared" si="36"/>
        <v>306.75289431725565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3.887142857142857</v>
      </c>
      <c r="BD17" s="13">
        <f>IF('Données projet'!$A$88&gt;35,BD16+BC17-BL16,IF(A17&lt;'Données projet'!$A$88,$BA$205^A17,IF(A17='Données projet'!$A$88,'Données projet'!$B$88,BD16+BC17-BL16)))</f>
        <v>54.41999999999998</v>
      </c>
      <c r="BE17" s="14">
        <f>BD17*VLOOKUP('Données projet'!$B$11,Paramètres!$A$1:$I$89,3,0)*VLOOKUP('Données projet'!$B$11,Paramètres!$A$1:$I$89,5,0)</f>
        <v>58.577687999999974</v>
      </c>
      <c r="BF17" s="14">
        <f t="shared" si="37"/>
        <v>16.808163355048819</v>
      </c>
      <c r="BG17" s="22">
        <f t="shared" si="7"/>
        <v>131.29702444337667</v>
      </c>
      <c r="BH17" s="62">
        <f t="shared" si="8"/>
        <v>405.07480222115441</v>
      </c>
      <c r="BI17" s="62">
        <f ca="1">AVERAGE(OFFSET($BH$3,0,0,'Données projet'!$E$11+1,1))-AVERAGE(OFFSET($H$3,0,0,'Données projet'!$E$11+1,1))</f>
        <v>683.36974161977764</v>
      </c>
      <c r="BJ17" s="62">
        <f t="shared" si="38"/>
        <v>312.6921234697457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3.887142857142857</v>
      </c>
      <c r="BY17" s="13">
        <f>IF('Données projet'!$A$114&gt;35,BY16+BX17-CG16,IF(A17&lt;'Données projet'!$A$114,$BV$205^A17,IF(A17='Données projet'!$A$114,'Données projet'!$B$114,BY16+BX17-CG16)))</f>
        <v>54.41999999999998</v>
      </c>
      <c r="BZ17" s="14">
        <f>BY17*VLOOKUP('Données projet'!$B$12,Paramètres!$A$1:$I$89,3,0)*VLOOKUP('Données projet'!$B$12,Paramètres!$A$1:$I$89,5,0)</f>
        <v>52.63502399999998</v>
      </c>
      <c r="CA17" s="14">
        <f t="shared" si="39"/>
        <v>15.292218703340431</v>
      </c>
      <c r="CB17" s="22">
        <f t="shared" si="10"/>
        <v>118.30661437498453</v>
      </c>
      <c r="CC17" s="62">
        <f t="shared" si="11"/>
        <v>392.08439215276229</v>
      </c>
      <c r="CD17" s="62">
        <f ca="1">AVERAGE(OFFSET($CC$3,0,0,'Données projet'!$E$12+1,1))-AVERAGE(OFFSET($H$3,0,0,'Données projet'!$E$12+1,1))</f>
        <v>618.83149423524605</v>
      </c>
      <c r="CE17" s="62">
        <f t="shared" si="40"/>
        <v>285.33582535802435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8.8000000000000007</v>
      </c>
      <c r="CT17" s="13">
        <f>IF('Données projet'!$A$140&gt;35,CT16+CS17-DB16,IF(A17&lt;'Données projet'!$A$140,$CQ$205^A17,IF(A17='Données projet'!$A$140,'Données projet'!$B$140,CT16+CS17-DB16)))</f>
        <v>64.199999999999989</v>
      </c>
      <c r="CU17" s="18">
        <f>CT17*VLOOKUP('Données projet'!$B$13,Paramètres!$A$1:$I$89,3,0)*VLOOKUP('Données projet'!$B$13,Paramètres!$A$1:$I$89,5,0)</f>
        <v>56.085119999999996</v>
      </c>
      <c r="CV17" s="14">
        <f t="shared" si="41"/>
        <v>16.174611252215492</v>
      </c>
      <c r="CW17" s="22">
        <f t="shared" si="13"/>
        <v>125.85236526427531</v>
      </c>
      <c r="CX17" s="62">
        <f t="shared" si="14"/>
        <v>399.63014304205308</v>
      </c>
      <c r="CY17" s="62">
        <f ca="1">AVERAGE(OFFSET($CX$3,0,0,'Données projet'!$E$13+1,1))-AVERAGE(OFFSET($H$3,0,0,'Données projet'!$E$13+1,1))</f>
        <v>354.24684313982857</v>
      </c>
      <c r="CZ17" s="62">
        <f t="shared" si="42"/>
        <v>322.65043486962185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52.756302857142842</v>
      </c>
      <c r="P18" s="14">
        <f t="shared" si="33"/>
        <v>15.323348643415981</v>
      </c>
      <c r="Q18" s="22">
        <f t="shared" si="2"/>
        <v>118.57205969680662</v>
      </c>
      <c r="R18" s="62">
        <f t="shared" si="0"/>
        <v>393.5720596968066</v>
      </c>
      <c r="S18" s="62">
        <f ca="1">AVERAGE(OFFSET($R$3,0,0,'Données projet'!$E$9+1,1))-AVERAGE(OFFSET($H$3,0,0,'Données projet'!$E$9+1,1))</f>
        <v>581.88778927327667</v>
      </c>
      <c r="T18" s="62">
        <f t="shared" si="34"/>
        <v>269.67340993773422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2.48</v>
      </c>
      <c r="AI18" s="14">
        <f>IF('Données projet'!$A$62&gt;35,AI17+AH18-AQ17,IF(A18&lt;'Données projet'!$A$62,$AF$205^A18,IF(A18='Données projet'!$A$62,'Données projet'!$B$62,AI17+AH18-AQ17)))</f>
        <v>11.896932943137099</v>
      </c>
      <c r="AJ18" s="14">
        <f>AI18*VLOOKUP('Données projet'!$B$10,Paramètres!$A$1:$I$89,3,0)*VLOOKUP('Données projet'!$B$10,Paramètres!$A$1:$I$89,5,0)</f>
        <v>11.321121388689264</v>
      </c>
      <c r="AK18" s="14">
        <f t="shared" si="35"/>
        <v>3.9334060396387076</v>
      </c>
      <c r="AL18" s="22">
        <f t="shared" si="4"/>
        <v>26.568301937671219</v>
      </c>
      <c r="AM18" s="62">
        <f t="shared" si="5"/>
        <v>301.56830193767121</v>
      </c>
      <c r="AN18" s="62">
        <f ca="1">AVERAGE(OFFSET($AM$3,0,0,'Données projet'!$E$10+1,1))-AVERAGE(OFFSET($H$3,0,0,'Données projet'!$E$10+1,1))</f>
        <v>444.81608506581125</v>
      </c>
      <c r="AO18" s="62">
        <f t="shared" si="36"/>
        <v>306.75289431725565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3.887142857142857</v>
      </c>
      <c r="BD18" s="13">
        <f>IF('Données projet'!$A$88&gt;35,BD17+BC18-BL17,IF(A18&lt;'Données projet'!$A$88,$BA$205^A18,IF(A18='Données projet'!$A$88,'Données projet'!$B$88,BD17+BC18-BL17)))</f>
        <v>58.307142857142836</v>
      </c>
      <c r="BE18" s="14">
        <f>BD18*VLOOKUP('Données projet'!$B$11,Paramètres!$A$1:$I$89,3,0)*VLOOKUP('Données projet'!$B$11,Paramètres!$A$1:$I$89,5,0)</f>
        <v>62.761808571428546</v>
      </c>
      <c r="BF18" s="14">
        <f t="shared" si="37"/>
        <v>17.864701516802167</v>
      </c>
      <c r="BG18" s="22">
        <f t="shared" si="7"/>
        <v>140.42450507033516</v>
      </c>
      <c r="BH18" s="62">
        <f t="shared" si="8"/>
        <v>415.42450507033516</v>
      </c>
      <c r="BI18" s="62">
        <f ca="1">AVERAGE(OFFSET($BH$3,0,0,'Données projet'!$E$11+1,1))-AVERAGE(OFFSET($H$3,0,0,'Données projet'!$E$11+1,1))</f>
        <v>683.36974161977764</v>
      </c>
      <c r="BJ18" s="62">
        <f t="shared" si="38"/>
        <v>312.6921234697457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3.887142857142857</v>
      </c>
      <c r="BY18" s="13">
        <f>IF('Données projet'!$A$114&gt;35,BY17+BX18-CG17,IF(A18&lt;'Données projet'!$A$114,$BV$205^A18,IF(A18='Données projet'!$A$114,'Données projet'!$B$114,BY17+BX18-CG17)))</f>
        <v>58.307142857142836</v>
      </c>
      <c r="BZ18" s="14">
        <f>BY18*VLOOKUP('Données projet'!$B$12,Paramètres!$A$1:$I$89,3,0)*VLOOKUP('Données projet'!$B$12,Paramètres!$A$1:$I$89,5,0)</f>
        <v>56.394668571428546</v>
      </c>
      <c r="CA18" s="14">
        <f t="shared" si="39"/>
        <v>16.253466657484363</v>
      </c>
      <c r="CB18" s="22">
        <f t="shared" si="10"/>
        <v>126.52883552368996</v>
      </c>
      <c r="CC18" s="62">
        <f t="shared" si="11"/>
        <v>401.52883552368996</v>
      </c>
      <c r="CD18" s="62">
        <f ca="1">AVERAGE(OFFSET($CC$3,0,0,'Données projet'!$E$12+1,1))-AVERAGE(OFFSET($H$3,0,0,'Données projet'!$E$12+1,1))</f>
        <v>618.83149423524605</v>
      </c>
      <c r="CE18" s="62">
        <f t="shared" si="40"/>
        <v>285.33582535802435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73</v>
      </c>
      <c r="CR18" s="13">
        <f>VLOOKUP(A18,'Données projet'!$A$139:$I$159,9,0)</f>
        <v>8.8000000000000007</v>
      </c>
      <c r="CS18" s="13">
        <f t="array" ref="CS18">INDEX(CR:CR,MIN(IF(ISNUMBER(CR18:CR214),ROW(CR18:CR214),"")))</f>
        <v>8.8000000000000007</v>
      </c>
      <c r="CT18" s="13">
        <f>IF('Données projet'!$A$140&gt;35,CT17+CS18-DB17,IF(A18&lt;'Données projet'!$A$140,$CQ$205^A18,IF(A18='Données projet'!$A$140,'Données projet'!$B$140,CT17+CS18-DB17)))</f>
        <v>72.999999999999986</v>
      </c>
      <c r="CU18" s="18">
        <f>CT18*VLOOKUP('Données projet'!$B$13,Paramètres!$A$1:$I$89,3,0)*VLOOKUP('Données projet'!$B$13,Paramètres!$A$1:$I$89,5,0)</f>
        <v>63.772799999999997</v>
      </c>
      <c r="CV18" s="14">
        <f t="shared" si="41"/>
        <v>18.118739450759566</v>
      </c>
      <c r="CW18" s="22">
        <f t="shared" si="13"/>
        <v>142.62776454340624</v>
      </c>
      <c r="CX18" s="62">
        <f t="shared" si="14"/>
        <v>417.62776454340622</v>
      </c>
      <c r="CY18" s="62">
        <f ca="1">AVERAGE(OFFSET($CX$3,0,0,'Données projet'!$E$13+1,1))-AVERAGE(OFFSET($H$3,0,0,'Données projet'!$E$13+1,1))</f>
        <v>354.24684313982857</v>
      </c>
      <c r="CZ18" s="62">
        <f t="shared" si="42"/>
        <v>322.65043486962185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56.273389714285692</v>
      </c>
      <c r="P19" s="14">
        <f t="shared" si="33"/>
        <v>16.222577706752112</v>
      </c>
      <c r="Q19" s="22">
        <f t="shared" si="2"/>
        <v>126.26380992497417</v>
      </c>
      <c r="R19" s="62">
        <f t="shared" si="0"/>
        <v>402.4860321471964</v>
      </c>
      <c r="S19" s="62">
        <f ca="1">AVERAGE(OFFSET($R$3,0,0,'Données projet'!$E$9+1,1))-AVERAGE(OFFSET($H$3,0,0,'Données projet'!$E$9+1,1))</f>
        <v>581.88778927327667</v>
      </c>
      <c r="T19" s="62">
        <f t="shared" si="34"/>
        <v>269.67340993773422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2.48</v>
      </c>
      <c r="AI19" s="14">
        <f>IF('Données projet'!$A$62&gt;35,AI18+AH19-AQ18,IF(A19&lt;'Données projet'!$A$62,$AF$205^A19,IF(A19='Données projet'!$A$62,'Données projet'!$B$62,AI18+AH19-AQ18)))</f>
        <v>14.032358814039554</v>
      </c>
      <c r="AJ19" s="14">
        <f>AI19*VLOOKUP('Données projet'!$B$10,Paramètres!$A$1:$I$89,3,0)*VLOOKUP('Données projet'!$B$10,Paramètres!$A$1:$I$89,5,0)</f>
        <v>13.353192647440039</v>
      </c>
      <c r="AK19" s="14">
        <f t="shared" si="35"/>
        <v>4.5511282305872971</v>
      </c>
      <c r="AL19" s="22">
        <f t="shared" si="4"/>
        <v>31.183358862564273</v>
      </c>
      <c r="AM19" s="62">
        <f t="shared" si="5"/>
        <v>307.40558108478649</v>
      </c>
      <c r="AN19" s="62">
        <f ca="1">AVERAGE(OFFSET($AM$3,0,0,'Données projet'!$E$10+1,1))-AVERAGE(OFFSET($H$3,0,0,'Données projet'!$E$10+1,1))</f>
        <v>444.81608506581125</v>
      </c>
      <c r="AO19" s="62">
        <f t="shared" si="36"/>
        <v>306.75289431725565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3.887142857142857</v>
      </c>
      <c r="BD19" s="13">
        <f>IF('Données projet'!$A$88&gt;35,BD18+BC19-BL18,IF(A19&lt;'Données projet'!$A$88,$BA$205^A19,IF(A19='Données projet'!$A$88,'Données projet'!$B$88,BD18+BC19-BL18)))</f>
        <v>62.194285714285691</v>
      </c>
      <c r="BE19" s="14">
        <f>BD19*VLOOKUP('Données projet'!$B$11,Paramètres!$A$1:$I$89,3,0)*VLOOKUP('Données projet'!$B$11,Paramètres!$A$1:$I$89,5,0)</f>
        <v>66.945929142857111</v>
      </c>
      <c r="BF19" s="14">
        <f t="shared" si="37"/>
        <v>18.913066282596109</v>
      </c>
      <c r="BG19" s="22">
        <f t="shared" si="7"/>
        <v>149.53775036599768</v>
      </c>
      <c r="BH19" s="62">
        <f t="shared" si="8"/>
        <v>425.75997258821991</v>
      </c>
      <c r="BI19" s="62">
        <f ca="1">AVERAGE(OFFSET($BH$3,0,0,'Données projet'!$E$11+1,1))-AVERAGE(OFFSET($H$3,0,0,'Données projet'!$E$11+1,1))</f>
        <v>683.36974161977764</v>
      </c>
      <c r="BJ19" s="62">
        <f t="shared" si="38"/>
        <v>312.6921234697457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3.887142857142857</v>
      </c>
      <c r="BY19" s="13">
        <f>IF('Données projet'!$A$114&gt;35,BY18+BX19-CG18,IF(A19&lt;'Données projet'!$A$114,$BV$205^A19,IF(A19='Données projet'!$A$114,'Données projet'!$B$114,BY18+BX19-CG18)))</f>
        <v>62.194285714285691</v>
      </c>
      <c r="BZ19" s="14">
        <f>BY19*VLOOKUP('Données projet'!$B$12,Paramètres!$A$1:$I$89,3,0)*VLOOKUP('Données projet'!$B$12,Paramètres!$A$1:$I$89,5,0)</f>
        <v>60.15431314285712</v>
      </c>
      <c r="CA19" s="14">
        <f t="shared" si="39"/>
        <v>17.207278382224739</v>
      </c>
      <c r="CB19" s="22">
        <f t="shared" si="10"/>
        <v>134.73810523951758</v>
      </c>
      <c r="CC19" s="62">
        <f t="shared" si="11"/>
        <v>410.96032746173978</v>
      </c>
      <c r="CD19" s="62">
        <f ca="1">AVERAGE(OFFSET($CC$3,0,0,'Données projet'!$E$12+1,1))-AVERAGE(OFFSET($H$3,0,0,'Données projet'!$E$12+1,1))</f>
        <v>618.83149423524605</v>
      </c>
      <c r="CE19" s="62">
        <f t="shared" si="40"/>
        <v>285.33582535802435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11.2</v>
      </c>
      <c r="CT19" s="13">
        <f>IF('Données projet'!$A$140&gt;35,CT18+CS19-DB18,IF(A19&lt;'Données projet'!$A$140,$CQ$205^A19,IF(A19='Données projet'!$A$140,'Données projet'!$B$140,CT18+CS19-DB18)))</f>
        <v>84.199999999999989</v>
      </c>
      <c r="CU19" s="18">
        <f>CT19*VLOOKUP('Données projet'!$B$13,Paramètres!$A$1:$I$89,3,0)*VLOOKUP('Données projet'!$B$13,Paramètres!$A$1:$I$89,5,0)</f>
        <v>73.557119999999998</v>
      </c>
      <c r="CV19" s="14">
        <f t="shared" si="41"/>
        <v>20.554251427792224</v>
      </c>
      <c r="CW19" s="22">
        <f t="shared" si="13"/>
        <v>163.91063857007143</v>
      </c>
      <c r="CX19" s="62">
        <f t="shared" si="14"/>
        <v>440.13286079229363</v>
      </c>
      <c r="CY19" s="62">
        <f ca="1">AVERAGE(OFFSET($CX$3,0,0,'Données projet'!$E$13+1,1))-AVERAGE(OFFSET($H$3,0,0,'Données projet'!$E$13+1,1))</f>
        <v>354.24684313982857</v>
      </c>
      <c r="CZ19" s="62">
        <f t="shared" si="42"/>
        <v>322.65043486962185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59.790476571428549</v>
      </c>
      <c r="P20" s="14">
        <f t="shared" si="33"/>
        <v>17.115284135607041</v>
      </c>
      <c r="Q20" s="22">
        <f t="shared" si="2"/>
        <v>133.94419989808699</v>
      </c>
      <c r="R20" s="62">
        <f t="shared" si="0"/>
        <v>411.38864434253145</v>
      </c>
      <c r="S20" s="62">
        <f ca="1">AVERAGE(OFFSET($R$3,0,0,'Données projet'!$E$9+1,1))-AVERAGE(OFFSET($H$3,0,0,'Données projet'!$E$9+1,1))</f>
        <v>581.88778927327667</v>
      </c>
      <c r="T20" s="62">
        <f t="shared" si="34"/>
        <v>269.67340993773422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2.48</v>
      </c>
      <c r="AI20" s="14">
        <f>IF('Données projet'!$A$62&gt;35,AI19+AH20-AQ19,IF(A20&lt;'Données projet'!$A$62,$AF$205^A20,IF(A20='Données projet'!$A$62,'Données projet'!$B$62,AI19+AH20-AQ19)))</f>
        <v>16.551080419390111</v>
      </c>
      <c r="AJ20" s="14">
        <f>AI20*VLOOKUP('Données projet'!$B$10,Paramètres!$A$1:$I$89,3,0)*VLOOKUP('Données projet'!$B$10,Paramètres!$A$1:$I$89,5,0)</f>
        <v>15.750008127091631</v>
      </c>
      <c r="AK20" s="14">
        <f t="shared" si="35"/>
        <v>5.265860672027439</v>
      </c>
      <c r="AL20" s="22">
        <f t="shared" si="4"/>
        <v>36.602638158465716</v>
      </c>
      <c r="AM20" s="62">
        <f t="shared" si="5"/>
        <v>314.04708260291017</v>
      </c>
      <c r="AN20" s="62">
        <f ca="1">AVERAGE(OFFSET($AM$3,0,0,'Données projet'!$E$10+1,1))-AVERAGE(OFFSET($H$3,0,0,'Données projet'!$E$10+1,1))</f>
        <v>444.81608506581125</v>
      </c>
      <c r="AO20" s="62">
        <f t="shared" si="36"/>
        <v>306.75289431725565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3.887142857142857</v>
      </c>
      <c r="BD20" s="13">
        <f>IF('Données projet'!$A$88&gt;35,BD19+BC20-BL19,IF(A20&lt;'Données projet'!$A$88,$BA$205^A20,IF(A20='Données projet'!$A$88,'Données projet'!$B$88,BD19+BC20-BL19)))</f>
        <v>66.081428571428546</v>
      </c>
      <c r="BE20" s="14">
        <f>BD20*VLOOKUP('Données projet'!$B$11,Paramètres!$A$1:$I$89,3,0)*VLOOKUP('Données projet'!$B$11,Paramètres!$A$1:$I$89,5,0)</f>
        <v>71.13004971428569</v>
      </c>
      <c r="BF20" s="14">
        <f t="shared" si="37"/>
        <v>19.953826645408597</v>
      </c>
      <c r="BG20" s="22">
        <f t="shared" si="7"/>
        <v>158.63775132646754</v>
      </c>
      <c r="BH20" s="62">
        <f t="shared" si="8"/>
        <v>436.08219577091199</v>
      </c>
      <c r="BI20" s="62">
        <f ca="1">AVERAGE(OFFSET($BH$3,0,0,'Données projet'!$E$11+1,1))-AVERAGE(OFFSET($H$3,0,0,'Données projet'!$E$11+1,1))</f>
        <v>683.36974161977764</v>
      </c>
      <c r="BJ20" s="62">
        <f t="shared" si="38"/>
        <v>312.6921234697457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3.887142857142857</v>
      </c>
      <c r="BY20" s="13">
        <f>IF('Données projet'!$A$114&gt;35,BY19+BX20-CG19,IF(A20&lt;'Données projet'!$A$114,$BV$205^A20,IF(A20='Données projet'!$A$114,'Données projet'!$B$114,BY19+BX20-CG19)))</f>
        <v>66.081428571428546</v>
      </c>
      <c r="BZ20" s="14">
        <f>BY20*VLOOKUP('Données projet'!$B$12,Paramètres!$A$1:$I$89,3,0)*VLOOKUP('Données projet'!$B$12,Paramètres!$A$1:$I$89,5,0)</f>
        <v>63.913957714285694</v>
      </c>
      <c r="CA20" s="14">
        <f t="shared" si="39"/>
        <v>18.154171552507719</v>
      </c>
      <c r="CB20" s="22">
        <f t="shared" si="10"/>
        <v>142.9353251396652</v>
      </c>
      <c r="CC20" s="62">
        <f t="shared" si="11"/>
        <v>420.37976958410968</v>
      </c>
      <c r="CD20" s="62">
        <f ca="1">AVERAGE(OFFSET($CC$3,0,0,'Données projet'!$E$12+1,1))-AVERAGE(OFFSET($H$3,0,0,'Données projet'!$E$12+1,1))</f>
        <v>618.83149423524605</v>
      </c>
      <c r="CE20" s="62">
        <f t="shared" si="40"/>
        <v>285.33582535802435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11.2</v>
      </c>
      <c r="CT20" s="13">
        <f>IF('Données projet'!$A$140&gt;35,CT19+CS20-DB19,IF(A20&lt;'Données projet'!$A$140,$CQ$205^A20,IF(A20='Données projet'!$A$140,'Données projet'!$B$140,CT19+CS20-DB19)))</f>
        <v>95.399999999999991</v>
      </c>
      <c r="CU20" s="18">
        <f>CT20*VLOOKUP('Données projet'!$B$13,Paramètres!$A$1:$I$89,3,0)*VLOOKUP('Données projet'!$B$13,Paramètres!$A$1:$I$89,5,0)</f>
        <v>83.341440000000006</v>
      </c>
      <c r="CV20" s="14">
        <f t="shared" si="41"/>
        <v>22.952227742446681</v>
      </c>
      <c r="CW20" s="22">
        <f t="shared" si="13"/>
        <v>185.12813798476131</v>
      </c>
      <c r="CX20" s="62">
        <f t="shared" si="14"/>
        <v>462.5725824292058</v>
      </c>
      <c r="CY20" s="62">
        <f ca="1">AVERAGE(OFFSET($CX$3,0,0,'Données projet'!$E$13+1,1))-AVERAGE(OFFSET($H$3,0,0,'Données projet'!$E$13+1,1))</f>
        <v>354.24684313982857</v>
      </c>
      <c r="CZ20" s="62">
        <f t="shared" si="42"/>
        <v>322.65043486962185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63.307563428571406</v>
      </c>
      <c r="P21" s="14">
        <f t="shared" si="33"/>
        <v>18.001895319269028</v>
      </c>
      <c r="Q21" s="22">
        <f t="shared" si="2"/>
        <v>141.61397398582207</v>
      </c>
      <c r="R21" s="62">
        <f t="shared" si="0"/>
        <v>420.28064065248873</v>
      </c>
      <c r="S21" s="62">
        <f ca="1">AVERAGE(OFFSET($R$3,0,0,'Données projet'!$E$9+1,1))-AVERAGE(OFFSET($H$3,0,0,'Données projet'!$E$9+1,1))</f>
        <v>581.88778927327667</v>
      </c>
      <c r="T21" s="62">
        <f t="shared" si="34"/>
        <v>269.67340993773422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2.48</v>
      </c>
      <c r="AI21" s="14">
        <f>IF('Données projet'!$A$62&gt;35,AI20+AH21-AQ20,IF(A21&lt;'Données projet'!$A$62,$AF$205^A21,IF(A21='Données projet'!$A$62,'Données projet'!$B$62,AI20+AH21-AQ20)))</f>
        <v>19.521896972520398</v>
      </c>
      <c r="AJ21" s="14">
        <f>AI21*VLOOKUP('Données projet'!$B$10,Paramètres!$A$1:$I$89,3,0)*VLOOKUP('Données projet'!$B$10,Paramètres!$A$1:$I$89,5,0)</f>
        <v>18.577037159050413</v>
      </c>
      <c r="AK21" s="14">
        <f t="shared" si="35"/>
        <v>6.0928383495858922</v>
      </c>
      <c r="AL21" s="22">
        <f t="shared" si="4"/>
        <v>42.966699844208229</v>
      </c>
      <c r="AM21" s="62">
        <f t="shared" si="5"/>
        <v>321.63336651087491</v>
      </c>
      <c r="AN21" s="62">
        <f ca="1">AVERAGE(OFFSET($AM$3,0,0,'Données projet'!$E$10+1,1))-AVERAGE(OFFSET($H$3,0,0,'Données projet'!$E$10+1,1))</f>
        <v>444.81608506581125</v>
      </c>
      <c r="AO21" s="62">
        <f t="shared" si="36"/>
        <v>306.75289431725565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3.887142857142857</v>
      </c>
      <c r="BD21" s="13">
        <f>IF('Données projet'!$A$88&gt;35,BD20+BC21-BL20,IF(A21&lt;'Données projet'!$A$88,$BA$205^A21,IF(A21='Données projet'!$A$88,'Données projet'!$B$88,BD20+BC21-BL20)))</f>
        <v>69.968571428571408</v>
      </c>
      <c r="BE21" s="14">
        <f>BD21*VLOOKUP('Données projet'!$B$11,Paramètres!$A$1:$I$89,3,0)*VLOOKUP('Données projet'!$B$11,Paramètres!$A$1:$I$89,5,0)</f>
        <v>75.314170285714255</v>
      </c>
      <c r="BF21" s="14">
        <f t="shared" si="37"/>
        <v>20.987480876358003</v>
      </c>
      <c r="BG21" s="22">
        <f t="shared" si="7"/>
        <v>167.72537577394252</v>
      </c>
      <c r="BH21" s="62">
        <f t="shared" si="8"/>
        <v>446.3920424406092</v>
      </c>
      <c r="BI21" s="62">
        <f ca="1">AVERAGE(OFFSET($BH$3,0,0,'Données projet'!$E$11+1,1))-AVERAGE(OFFSET($H$3,0,0,'Données projet'!$E$11+1,1))</f>
        <v>683.36974161977764</v>
      </c>
      <c r="BJ21" s="62">
        <f t="shared" si="38"/>
        <v>312.6921234697457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3.887142857142857</v>
      </c>
      <c r="BY21" s="13">
        <f>IF('Données projet'!$A$114&gt;35,BY20+BX21-CG20,IF(A21&lt;'Données projet'!$A$114,$BV$205^A21,IF(A21='Données projet'!$A$114,'Données projet'!$B$114,BY20+BX21-CG20)))</f>
        <v>69.968571428571408</v>
      </c>
      <c r="BZ21" s="14">
        <f>BY21*VLOOKUP('Données projet'!$B$12,Paramètres!$A$1:$I$89,3,0)*VLOOKUP('Données projet'!$B$12,Paramètres!$A$1:$I$89,5,0)</f>
        <v>67.673602285714267</v>
      </c>
      <c r="CA21" s="14">
        <f t="shared" si="39"/>
        <v>19.094599499893381</v>
      </c>
      <c r="CB21" s="22">
        <f t="shared" si="10"/>
        <v>151.12128477659996</v>
      </c>
      <c r="CC21" s="62">
        <f t="shared" si="11"/>
        <v>429.78795144326665</v>
      </c>
      <c r="CD21" s="62">
        <f ca="1">AVERAGE(OFFSET($CC$3,0,0,'Données projet'!$E$12+1,1))-AVERAGE(OFFSET($H$3,0,0,'Données projet'!$E$12+1,1))</f>
        <v>618.83149423524605</v>
      </c>
      <c r="CE21" s="62">
        <f t="shared" si="40"/>
        <v>285.33582535802435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11.2</v>
      </c>
      <c r="CT21" s="13">
        <f>IF('Données projet'!$A$140&gt;35,CT20+CS21-DB20,IF(A21&lt;'Données projet'!$A$140,$CQ$205^A21,IF(A21='Données projet'!$A$140,'Données projet'!$B$140,CT20+CS21-DB20)))</f>
        <v>106.6</v>
      </c>
      <c r="CU21" s="18">
        <f>CT21*VLOOKUP('Données projet'!$B$13,Paramètres!$A$1:$I$89,3,0)*VLOOKUP('Données projet'!$B$13,Paramètres!$A$1:$I$89,5,0)</f>
        <v>93.125760000000014</v>
      </c>
      <c r="CV21" s="14">
        <f t="shared" si="41"/>
        <v>25.317578585717406</v>
      </c>
      <c r="CW21" s="22">
        <f t="shared" si="13"/>
        <v>206.2888147034578</v>
      </c>
      <c r="CX21" s="62">
        <f t="shared" si="14"/>
        <v>484.95548137012452</v>
      </c>
      <c r="CY21" s="62">
        <f ca="1">AVERAGE(OFFSET($CX$3,0,0,'Données projet'!$E$13+1,1))-AVERAGE(OFFSET($H$3,0,0,'Données projet'!$E$13+1,1))</f>
        <v>354.24684313982857</v>
      </c>
      <c r="CZ21" s="62">
        <f t="shared" si="42"/>
        <v>322.65043486962185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66.82465028571427</v>
      </c>
      <c r="P22" s="14">
        <f t="shared" si="33"/>
        <v>18.882788477272459</v>
      </c>
      <c r="Q22" s="22">
        <f t="shared" si="2"/>
        <v>149.27378917886855</v>
      </c>
      <c r="R22" s="62">
        <f t="shared" si="0"/>
        <v>429.16267806775738</v>
      </c>
      <c r="S22" s="62">
        <f ca="1">AVERAGE(OFFSET($R$3,0,0,'Données projet'!$E$9+1,1))-AVERAGE(OFFSET($H$3,0,0,'Données projet'!$E$9+1,1))</f>
        <v>581.88778927327667</v>
      </c>
      <c r="T22" s="62">
        <f t="shared" si="34"/>
        <v>269.67340993773422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2.48</v>
      </c>
      <c r="AI22" s="14">
        <f>IF('Données projet'!$A$62&gt;35,AI21+AH22-AQ21,IF(A22&lt;'Données projet'!$A$62,$AF$205^A22,IF(A22='Données projet'!$A$62,'Données projet'!$B$62,AI21+AH22-AQ21)))</f>
        <v>23.025956719974928</v>
      </c>
      <c r="AJ22" s="14">
        <f>AI22*VLOOKUP('Données projet'!$B$10,Paramètres!$A$1:$I$89,3,0)*VLOOKUP('Données projet'!$B$10,Paramètres!$A$1:$I$89,5,0)</f>
        <v>21.911500414728142</v>
      </c>
      <c r="AK22" s="14">
        <f t="shared" si="35"/>
        <v>7.0496888289092752</v>
      </c>
      <c r="AL22" s="22">
        <f t="shared" si="4"/>
        <v>50.440737932668497</v>
      </c>
      <c r="AM22" s="62">
        <f t="shared" si="5"/>
        <v>330.32962682155733</v>
      </c>
      <c r="AN22" s="62">
        <f ca="1">AVERAGE(OFFSET($AM$3,0,0,'Données projet'!$E$10+1,1))-AVERAGE(OFFSET($H$3,0,0,'Données projet'!$E$10+1,1))</f>
        <v>444.81608506581125</v>
      </c>
      <c r="AO22" s="62">
        <f t="shared" si="36"/>
        <v>306.75289431725565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3.887142857142857</v>
      </c>
      <c r="BD22" s="13">
        <f>IF('Données projet'!$A$88&gt;35,BD21+BC22-BL21,IF(A22&lt;'Données projet'!$A$88,$BA$205^A22,IF(A22='Données projet'!$A$88,'Données projet'!$B$88,BD21+BC22-BL21)))</f>
        <v>73.855714285714271</v>
      </c>
      <c r="BE22" s="14">
        <f>BD22*VLOOKUP('Données projet'!$B$11,Paramètres!$A$1:$I$89,3,0)*VLOOKUP('Données projet'!$B$11,Paramètres!$A$1:$I$89,5,0)</f>
        <v>79.498290857142834</v>
      </c>
      <c r="BF22" s="14">
        <f t="shared" si="37"/>
        <v>22.014468756235438</v>
      </c>
      <c r="BG22" s="22">
        <f t="shared" si="7"/>
        <v>176.80138965996716</v>
      </c>
      <c r="BH22" s="62">
        <f t="shared" si="8"/>
        <v>456.69027854885599</v>
      </c>
      <c r="BI22" s="62">
        <f ca="1">AVERAGE(OFFSET($BH$3,0,0,'Données projet'!$E$11+1,1))-AVERAGE(OFFSET($H$3,0,0,'Données projet'!$E$11+1,1))</f>
        <v>683.36974161977764</v>
      </c>
      <c r="BJ22" s="62">
        <f t="shared" si="38"/>
        <v>312.6921234697457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3.887142857142857</v>
      </c>
      <c r="BY22" s="13">
        <f>IF('Données projet'!$A$114&gt;35,BY21+BX22-CG21,IF(A22&lt;'Données projet'!$A$114,$BV$205^A22,IF(A22='Données projet'!$A$114,'Données projet'!$B$114,BY21+BX22-CG21)))</f>
        <v>73.855714285714271</v>
      </c>
      <c r="BZ22" s="14">
        <f>BY22*VLOOKUP('Données projet'!$B$12,Paramètres!$A$1:$I$89,3,0)*VLOOKUP('Données projet'!$B$12,Paramètres!$A$1:$I$89,5,0)</f>
        <v>71.433246857142848</v>
      </c>
      <c r="CA22" s="14">
        <f t="shared" si="39"/>
        <v>20.02896234091423</v>
      </c>
      <c r="CB22" s="22">
        <f t="shared" si="10"/>
        <v>159.2966810199494</v>
      </c>
      <c r="CC22" s="62">
        <f t="shared" si="11"/>
        <v>439.18556990883826</v>
      </c>
      <c r="CD22" s="62">
        <f ca="1">AVERAGE(OFFSET($CC$3,0,0,'Données projet'!$E$12+1,1))-AVERAGE(OFFSET($H$3,0,0,'Données projet'!$E$12+1,1))</f>
        <v>618.83149423524605</v>
      </c>
      <c r="CE22" s="62">
        <f t="shared" si="40"/>
        <v>285.33582535802435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11.2</v>
      </c>
      <c r="CT22" s="13">
        <f>IF('Données projet'!$A$140&gt;35,CT21+CS22-DB21,IF(A22&lt;'Données projet'!$A$140,$CQ$205^A22,IF(A22='Données projet'!$A$140,'Données projet'!$B$140,CT21+CS22-DB21)))</f>
        <v>117.8</v>
      </c>
      <c r="CU22" s="18">
        <f>CT22*VLOOKUP('Données projet'!$B$13,Paramètres!$A$1:$I$89,3,0)*VLOOKUP('Données projet'!$B$13,Paramètres!$A$1:$I$89,5,0)</f>
        <v>102.91008000000001</v>
      </c>
      <c r="CV22" s="14">
        <f t="shared" si="41"/>
        <v>27.654122306790427</v>
      </c>
      <c r="CW22" s="22">
        <f t="shared" si="13"/>
        <v>227.39931901765999</v>
      </c>
      <c r="CX22" s="62">
        <f t="shared" si="14"/>
        <v>507.28820790654885</v>
      </c>
      <c r="CY22" s="62">
        <f ca="1">AVERAGE(OFFSET($CX$3,0,0,'Données projet'!$E$13+1,1))-AVERAGE(OFFSET($H$3,0,0,'Données projet'!$E$13+1,1))</f>
        <v>354.24684313982857</v>
      </c>
      <c r="CZ22" s="62">
        <f t="shared" si="42"/>
        <v>322.65043486962185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70.341737142857127</v>
      </c>
      <c r="P23" s="14">
        <f t="shared" si="33"/>
        <v>19.758298879173367</v>
      </c>
      <c r="Q23" s="22">
        <f t="shared" si="2"/>
        <v>156.92422940503644</v>
      </c>
      <c r="R23" s="62">
        <f t="shared" si="0"/>
        <v>438.03534051614758</v>
      </c>
      <c r="S23" s="62">
        <f ca="1">AVERAGE(OFFSET($R$3,0,0,'Données projet'!$E$9+1,1))-AVERAGE(OFFSET($H$3,0,0,'Données projet'!$E$9+1,1))</f>
        <v>581.88778927327667</v>
      </c>
      <c r="T23" s="62">
        <f t="shared" si="34"/>
        <v>269.67340993773422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2.48</v>
      </c>
      <c r="AI23" s="14">
        <f>IF('Données projet'!$A$62&gt;35,AI22+AH23-AQ22,IF(A23&lt;'Données projet'!$A$62,$AF$205^A23,IF(A23='Données projet'!$A$62,'Données projet'!$B$62,AI22+AH23-AQ22)))</f>
        <v>27.158973516583774</v>
      </c>
      <c r="AJ23" s="14">
        <f>AI23*VLOOKUP('Données projet'!$B$10,Paramètres!$A$1:$I$89,3,0)*VLOOKUP('Données projet'!$B$10,Paramètres!$A$1:$I$89,5,0)</f>
        <v>25.844479198381119</v>
      </c>
      <c r="AK23" s="14">
        <f t="shared" si="35"/>
        <v>8.1568079986605984</v>
      </c>
      <c r="AL23" s="22">
        <f t="shared" si="4"/>
        <v>59.218908534847664</v>
      </c>
      <c r="AM23" s="62">
        <f t="shared" si="5"/>
        <v>340.33001964595883</v>
      </c>
      <c r="AN23" s="62">
        <f ca="1">AVERAGE(OFFSET($AM$3,0,0,'Données projet'!$E$10+1,1))-AVERAGE(OFFSET($H$3,0,0,'Données projet'!$E$10+1,1))</f>
        <v>444.81608506581125</v>
      </c>
      <c r="AO23" s="62">
        <f t="shared" si="36"/>
        <v>306.75289431725565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3.887142857142857</v>
      </c>
      <c r="BD23" s="13">
        <f>IF('Données projet'!$A$88&gt;35,BD22+BC23-BL22,IF(A23&lt;'Données projet'!$A$88,$BA$205^A23,IF(A23='Données projet'!$A$88,'Données projet'!$B$88,BD22+BC23-BL22)))</f>
        <v>77.742857142857133</v>
      </c>
      <c r="BE23" s="14">
        <f>BD23*VLOOKUP('Données projet'!$B$11,Paramètres!$A$1:$I$89,3,0)*VLOOKUP('Données projet'!$B$11,Paramètres!$A$1:$I$89,5,0)</f>
        <v>83.682411428571413</v>
      </c>
      <c r="BF23" s="14">
        <f t="shared" si="37"/>
        <v>23.035181158516771</v>
      </c>
      <c r="BG23" s="22">
        <f t="shared" si="7"/>
        <v>185.86647375584525</v>
      </c>
      <c r="BH23" s="62">
        <f t="shared" si="8"/>
        <v>466.97758486695636</v>
      </c>
      <c r="BI23" s="62">
        <f ca="1">AVERAGE(OFFSET($BH$3,0,0,'Données projet'!$E$11+1,1))-AVERAGE(OFFSET($H$3,0,0,'Données projet'!$E$11+1,1))</f>
        <v>683.36974161977764</v>
      </c>
      <c r="BJ23" s="62">
        <f t="shared" si="38"/>
        <v>312.6921234697457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3.887142857142857</v>
      </c>
      <c r="BY23" s="13">
        <f>IF('Données projet'!$A$114&gt;35,BY22+BX23-CG22,IF(A23&lt;'Données projet'!$A$114,$BV$205^A23,IF(A23='Données projet'!$A$114,'Données projet'!$B$114,BY22+BX23-CG22)))</f>
        <v>77.742857142857133</v>
      </c>
      <c r="BZ23" s="14">
        <f>BY23*VLOOKUP('Données projet'!$B$12,Paramètres!$A$1:$I$89,3,0)*VLOOKUP('Données projet'!$B$12,Paramètres!$A$1:$I$89,5,0)</f>
        <v>75.192891428571414</v>
      </c>
      <c r="CA23" s="14">
        <f t="shared" si="39"/>
        <v>20.957615695785943</v>
      </c>
      <c r="CB23" s="22">
        <f t="shared" si="10"/>
        <v>167.46213324158907</v>
      </c>
      <c r="CC23" s="62">
        <f t="shared" si="11"/>
        <v>448.57324435270021</v>
      </c>
      <c r="CD23" s="62">
        <f ca="1">AVERAGE(OFFSET($CC$3,0,0,'Données projet'!$E$12+1,1))-AVERAGE(OFFSET($H$3,0,0,'Données projet'!$E$12+1,1))</f>
        <v>618.83149423524605</v>
      </c>
      <c r="CE23" s="62">
        <f t="shared" si="40"/>
        <v>285.33582535802435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129</v>
      </c>
      <c r="CR23" s="13">
        <f>VLOOKUP(A23,'Données projet'!$A$139:$I$159,9,0)</f>
        <v>11.2</v>
      </c>
      <c r="CS23" s="13">
        <f t="array" ref="CS23">INDEX(CR:CR,MIN(IF(ISNUMBER(CR23:CR219),ROW(CR23:CR219),"")))</f>
        <v>11.2</v>
      </c>
      <c r="CT23" s="13">
        <f>IF('Données projet'!$A$140&gt;35,CT22+CS23-DB22,IF(A23&lt;'Données projet'!$A$140,$CQ$205^A23,IF(A23='Données projet'!$A$140,'Données projet'!$B$140,CT22+CS23-DB22)))</f>
        <v>129</v>
      </c>
      <c r="CU23" s="18">
        <f>CT23*VLOOKUP('Données projet'!$B$13,Paramètres!$A$1:$I$89,3,0)*VLOOKUP('Données projet'!$B$13,Paramètres!$A$1:$I$89,5,0)</f>
        <v>112.69440000000002</v>
      </c>
      <c r="CV23" s="14">
        <f t="shared" si="41"/>
        <v>29.964909381330632</v>
      </c>
      <c r="CW23" s="22">
        <f t="shared" si="13"/>
        <v>248.46496383915087</v>
      </c>
      <c r="CX23" s="62">
        <f t="shared" si="14"/>
        <v>529.57607495026195</v>
      </c>
      <c r="CY23" s="62">
        <f ca="1">AVERAGE(OFFSET($CX$3,0,0,'Données projet'!$E$13+1,1))-AVERAGE(OFFSET($H$3,0,0,'Données projet'!$E$13+1,1))</f>
        <v>354.24684313982857</v>
      </c>
      <c r="CZ23" s="62">
        <f t="shared" si="42"/>
        <v>322.65043486962185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54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73.858823999999984</v>
      </c>
      <c r="P24" s="14">
        <f t="shared" si="33"/>
        <v>20.628726373651425</v>
      </c>
      <c r="Q24" s="22">
        <f t="shared" si="2"/>
        <v>164.56581690077618</v>
      </c>
      <c r="R24" s="62">
        <f t="shared" si="0"/>
        <v>446.89915023410947</v>
      </c>
      <c r="S24" s="62">
        <f ca="1">AVERAGE(OFFSET($R$3,0,0,'Données projet'!$E$9+1,1))-AVERAGE(OFFSET($H$3,0,0,'Données projet'!$E$9+1,1))</f>
        <v>581.88778927327667</v>
      </c>
      <c r="T24" s="62">
        <f t="shared" si="34"/>
        <v>269.67340993773422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2.48</v>
      </c>
      <c r="AI24" s="14">
        <f>IF('Données projet'!$A$62&gt;35,AI23+AH24-AQ23,IF(A24&lt;'Données projet'!$A$62,$AF$205^A24,IF(A24='Données projet'!$A$62,'Données projet'!$B$62,AI23+AH24-AQ23)))</f>
        <v>32.033841262049499</v>
      </c>
      <c r="AJ24" s="14">
        <f>AI24*VLOOKUP('Données projet'!$B$10,Paramètres!$A$1:$I$89,3,0)*VLOOKUP('Données projet'!$B$10,Paramètres!$A$1:$I$89,5,0)</f>
        <v>30.483403344966305</v>
      </c>
      <c r="AK24" s="14">
        <f t="shared" si="35"/>
        <v>9.4377948221166417</v>
      </c>
      <c r="AL24" s="22">
        <f t="shared" si="4"/>
        <v>69.529420141002802</v>
      </c>
      <c r="AM24" s="62">
        <f t="shared" si="5"/>
        <v>351.8627534743361</v>
      </c>
      <c r="AN24" s="62">
        <f ca="1">AVERAGE(OFFSET($AM$3,0,0,'Données projet'!$E$10+1,1))-AVERAGE(OFFSET($H$3,0,0,'Données projet'!$E$10+1,1))</f>
        <v>444.81608506581125</v>
      </c>
      <c r="AO24" s="62">
        <f t="shared" si="36"/>
        <v>306.75289431725565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3.887142857142857</v>
      </c>
      <c r="BD24" s="13">
        <f>IF('Données projet'!$A$88&gt;35,BD23+BC24-BL23,IF(A24&lt;'Données projet'!$A$88,$BA$205^A24,IF(A24='Données projet'!$A$88,'Données projet'!$B$88,BD23+BC24-BL23)))</f>
        <v>81.63</v>
      </c>
      <c r="BE24" s="14">
        <f>BD24*VLOOKUP('Données projet'!$B$11,Paramètres!$A$1:$I$89,3,0)*VLOOKUP('Données projet'!$B$11,Paramètres!$A$1:$I$89,5,0)</f>
        <v>87.866531999999992</v>
      </c>
      <c r="BF24" s="14">
        <f t="shared" si="37"/>
        <v>24.049967661305761</v>
      </c>
      <c r="BG24" s="22">
        <f t="shared" si="7"/>
        <v>194.9212369101075</v>
      </c>
      <c r="BH24" s="62">
        <f t="shared" si="8"/>
        <v>477.25457024344081</v>
      </c>
      <c r="BI24" s="62">
        <f ca="1">AVERAGE(OFFSET($BH$3,0,0,'Données projet'!$E$11+1,1))-AVERAGE(OFFSET($H$3,0,0,'Données projet'!$E$11+1,1))</f>
        <v>683.36974161977764</v>
      </c>
      <c r="BJ24" s="62">
        <f t="shared" si="38"/>
        <v>312.6921234697457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3.887142857142857</v>
      </c>
      <c r="BY24" s="13">
        <f>IF('Données projet'!$A$114&gt;35,BY23+BX24-CG23,IF(A24&lt;'Données projet'!$A$114,$BV$205^A24,IF(A24='Données projet'!$A$114,'Données projet'!$B$114,BY23+BX24-CG23)))</f>
        <v>81.63</v>
      </c>
      <c r="BZ24" s="14">
        <f>BY24*VLOOKUP('Données projet'!$B$12,Paramètres!$A$1:$I$89,3,0)*VLOOKUP('Données projet'!$B$12,Paramètres!$A$1:$I$89,5,0)</f>
        <v>78.952535999999995</v>
      </c>
      <c r="CA24" s="14">
        <f t="shared" si="39"/>
        <v>21.880877613822086</v>
      </c>
      <c r="CB24" s="22">
        <f t="shared" si="10"/>
        <v>175.61819537740678</v>
      </c>
      <c r="CC24" s="62">
        <f t="shared" si="11"/>
        <v>457.95152871074009</v>
      </c>
      <c r="CD24" s="62">
        <f ca="1">AVERAGE(OFFSET($CC$3,0,0,'Données projet'!$E$12+1,1))-AVERAGE(OFFSET($H$3,0,0,'Données projet'!$E$12+1,1))</f>
        <v>618.83149423524605</v>
      </c>
      <c r="CE24" s="62">
        <f t="shared" si="40"/>
        <v>285.33582535802435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10.199999999999999</v>
      </c>
      <c r="CT24" s="13">
        <f>IF('Données projet'!$A$140&gt;35,CT23+CS24-DB23,IF(A24&lt;'Données projet'!$A$140,$CQ$205^A24,IF(A24='Données projet'!$A$140,'Données projet'!$B$140,CT23+CS24-DB23)))</f>
        <v>85.199999999999989</v>
      </c>
      <c r="CU24" s="18">
        <f>CT24*VLOOKUP('Données projet'!$B$13,Paramètres!$A$1:$I$89,3,0)*VLOOKUP('Données projet'!$B$13,Paramètres!$A$1:$I$89,5,0)</f>
        <v>74.430719999999994</v>
      </c>
      <c r="CV24" s="14">
        <f t="shared" si="41"/>
        <v>20.76980057385482</v>
      </c>
      <c r="CW24" s="22">
        <f t="shared" si="13"/>
        <v>165.80757333279712</v>
      </c>
      <c r="CX24" s="62">
        <f t="shared" si="14"/>
        <v>448.14090666613043</v>
      </c>
      <c r="CY24" s="62">
        <f ca="1">AVERAGE(OFFSET($CX$3,0,0,'Données projet'!$E$13+1,1))-AVERAGE(OFFSET($H$3,0,0,'Données projet'!$E$13+1,1))</f>
        <v>354.24684313982857</v>
      </c>
      <c r="CZ24" s="62">
        <f t="shared" si="42"/>
        <v>322.65043486962185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77.375910857142856</v>
      </c>
      <c r="P25" s="14">
        <f t="shared" si="33"/>
        <v>21.49434063873689</v>
      </c>
      <c r="Q25" s="22">
        <f t="shared" si="2"/>
        <v>172.19902135532388</v>
      </c>
      <c r="R25" s="62">
        <f t="shared" si="0"/>
        <v>455.75457691087945</v>
      </c>
      <c r="S25" s="62">
        <f ca="1">AVERAGE(OFFSET($R$3,0,0,'Données projet'!$E$9+1,1))-AVERAGE(OFFSET($H$3,0,0,'Données projet'!$E$9+1,1))</f>
        <v>581.88778927327667</v>
      </c>
      <c r="T25" s="62">
        <f t="shared" si="34"/>
        <v>269.67340993773422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2.48</v>
      </c>
      <c r="AI25" s="14">
        <f>IF('Données projet'!$A$62&gt;35,AI24+AH25-AQ24,IF(A25&lt;'Données projet'!$A$62,$AF$205^A25,IF(A25='Données projet'!$A$62,'Données projet'!$B$62,AI24+AH25-AQ24)))</f>
        <v>37.783717612728942</v>
      </c>
      <c r="AJ25" s="14">
        <f>AI25*VLOOKUP('Données projet'!$B$10,Paramètres!$A$1:$I$89,3,0)*VLOOKUP('Données projet'!$B$10,Paramètres!$A$1:$I$89,5,0)</f>
        <v>35.954985680272863</v>
      </c>
      <c r="AK25" s="14">
        <f t="shared" si="35"/>
        <v>10.919954364378558</v>
      </c>
      <c r="AL25" s="22">
        <f t="shared" si="4"/>
        <v>81.640520577767887</v>
      </c>
      <c r="AM25" s="62">
        <f t="shared" si="5"/>
        <v>365.19607613332346</v>
      </c>
      <c r="AN25" s="62">
        <f ca="1">AVERAGE(OFFSET($AM$3,0,0,'Données projet'!$E$10+1,1))-AVERAGE(OFFSET($H$3,0,0,'Données projet'!$E$10+1,1))</f>
        <v>444.81608506581125</v>
      </c>
      <c r="AO25" s="62">
        <f t="shared" si="36"/>
        <v>306.75289431725565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3.887142857142857</v>
      </c>
      <c r="BD25" s="13">
        <f>IF('Données projet'!$A$88&gt;35,BD24+BC25-BL24,IF(A25&lt;'Données projet'!$A$88,$BA$205^A25,IF(A25='Données projet'!$A$88,'Données projet'!$B$88,BD24+BC25-BL24)))</f>
        <v>85.517142857142858</v>
      </c>
      <c r="BE25" s="14">
        <f>BD25*VLOOKUP('Données projet'!$B$11,Paramètres!$A$1:$I$89,3,0)*VLOOKUP('Données projet'!$B$11,Paramètres!$A$1:$I$89,5,0)</f>
        <v>92.050652571428571</v>
      </c>
      <c r="BF25" s="14">
        <f t="shared" si="37"/>
        <v>25.059142668302808</v>
      </c>
      <c r="BG25" s="22">
        <f t="shared" si="7"/>
        <v>203.96622670919882</v>
      </c>
      <c r="BH25" s="62">
        <f t="shared" si="8"/>
        <v>487.52178226475439</v>
      </c>
      <c r="BI25" s="62">
        <f ca="1">AVERAGE(OFFSET($BH$3,0,0,'Données projet'!$E$11+1,1))-AVERAGE(OFFSET($H$3,0,0,'Données projet'!$E$11+1,1))</f>
        <v>683.36974161977764</v>
      </c>
      <c r="BJ25" s="62">
        <f t="shared" si="38"/>
        <v>312.6921234697457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3.887142857142857</v>
      </c>
      <c r="BY25" s="13">
        <f>IF('Données projet'!$A$114&gt;35,BY24+BX25-CG24,IF(A25&lt;'Données projet'!$A$114,$BV$205^A25,IF(A25='Données projet'!$A$114,'Données projet'!$B$114,BY24+BX25-CG24)))</f>
        <v>85.517142857142858</v>
      </c>
      <c r="BZ25" s="14">
        <f>BY25*VLOOKUP('Données projet'!$B$12,Paramètres!$A$1:$I$89,3,0)*VLOOKUP('Données projet'!$B$12,Paramètres!$A$1:$I$89,5,0)</f>
        <v>82.712180571428576</v>
      </c>
      <c r="CA25" s="14">
        <f t="shared" si="39"/>
        <v>22.799034142346564</v>
      </c>
      <c r="CB25" s="22">
        <f t="shared" si="10"/>
        <v>183.76536562649167</v>
      </c>
      <c r="CC25" s="62">
        <f t="shared" si="11"/>
        <v>467.32092118204719</v>
      </c>
      <c r="CD25" s="62">
        <f ca="1">AVERAGE(OFFSET($CC$3,0,0,'Données projet'!$E$12+1,1))-AVERAGE(OFFSET($H$3,0,0,'Données projet'!$E$12+1,1))</f>
        <v>618.83149423524605</v>
      </c>
      <c r="CE25" s="62">
        <f t="shared" si="40"/>
        <v>285.33582535802435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10.199999999999999</v>
      </c>
      <c r="CT25" s="13">
        <f>IF('Données projet'!$A$140&gt;35,CT24+CS25-DB24,IF(A25&lt;'Données projet'!$A$140,$CQ$205^A25,IF(A25='Données projet'!$A$140,'Données projet'!$B$140,CT24+CS25-DB24)))</f>
        <v>95.399999999999991</v>
      </c>
      <c r="CU25" s="18">
        <f>CT25*VLOOKUP('Données projet'!$B$13,Paramètres!$A$1:$I$89,3,0)*VLOOKUP('Données projet'!$B$13,Paramètres!$A$1:$I$89,5,0)</f>
        <v>83.341440000000006</v>
      </c>
      <c r="CV25" s="14">
        <f t="shared" si="41"/>
        <v>22.952227742446681</v>
      </c>
      <c r="CW25" s="22">
        <f t="shared" si="13"/>
        <v>185.12813798476131</v>
      </c>
      <c r="CX25" s="62">
        <f t="shared" si="14"/>
        <v>468.68369354031688</v>
      </c>
      <c r="CY25" s="62">
        <f ca="1">AVERAGE(OFFSET($CX$3,0,0,'Données projet'!$E$13+1,1))-AVERAGE(OFFSET($H$3,0,0,'Données projet'!$E$13+1,1))</f>
        <v>354.24684313982857</v>
      </c>
      <c r="CZ25" s="62">
        <f t="shared" si="42"/>
        <v>322.65043486962185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80.892997714285713</v>
      </c>
      <c r="P26" s="14">
        <f t="shared" si="33"/>
        <v>22.355385450466887</v>
      </c>
      <c r="Q26" s="22">
        <f t="shared" si="2"/>
        <v>179.82426734527743</v>
      </c>
      <c r="R26" s="62">
        <f t="shared" si="0"/>
        <v>464.60204512305518</v>
      </c>
      <c r="S26" s="62">
        <f ca="1">AVERAGE(OFFSET($R$3,0,0,'Données projet'!$E$9+1,1))-AVERAGE(OFFSET($H$3,0,0,'Données projet'!$E$9+1,1))</f>
        <v>581.88778927327667</v>
      </c>
      <c r="T26" s="62">
        <f t="shared" si="34"/>
        <v>269.67340993773422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2.48</v>
      </c>
      <c r="AI26" s="14">
        <f>IF('Données projet'!$A$62&gt;35,AI25+AH26-AQ25,IF(A26&lt;'Données projet'!$A$62,$AF$205^A26,IF(A26='Données projet'!$A$62,'Données projet'!$B$62,AI25+AH26-AQ25)))</f>
        <v>44.565661200604509</v>
      </c>
      <c r="AJ26" s="14">
        <f>AI26*VLOOKUP('Données projet'!$B$10,Paramètres!$A$1:$I$89,3,0)*VLOOKUP('Données projet'!$B$10,Paramètres!$A$1:$I$89,5,0)</f>
        <v>42.408683198495254</v>
      </c>
      <c r="AK26" s="14">
        <f t="shared" si="35"/>
        <v>12.634879817546921</v>
      </c>
      <c r="AL26" s="22">
        <f t="shared" si="4"/>
        <v>95.867538919606773</v>
      </c>
      <c r="AM26" s="62">
        <f t="shared" si="5"/>
        <v>380.64531669738454</v>
      </c>
      <c r="AN26" s="62">
        <f ca="1">AVERAGE(OFFSET($AM$3,0,0,'Données projet'!$E$10+1,1))-AVERAGE(OFFSET($H$3,0,0,'Données projet'!$E$10+1,1))</f>
        <v>444.81608506581125</v>
      </c>
      <c r="AO26" s="62">
        <f t="shared" si="36"/>
        <v>306.75289431725565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3.887142857142857</v>
      </c>
      <c r="BD26" s="13">
        <f>IF('Données projet'!$A$88&gt;35,BD25+BC26-BL25,IF(A26&lt;'Données projet'!$A$88,$BA$205^A26,IF(A26='Données projet'!$A$88,'Données projet'!$B$88,BD25+BC26-BL25)))</f>
        <v>89.40428571428572</v>
      </c>
      <c r="BE26" s="14">
        <f>BD26*VLOOKUP('Données projet'!$B$11,Paramètres!$A$1:$I$89,3,0)*VLOOKUP('Données projet'!$B$11,Paramètres!$A$1:$I$89,5,0)</f>
        <v>96.234773142857151</v>
      </c>
      <c r="BF26" s="14">
        <f t="shared" si="37"/>
        <v>26.062990385411098</v>
      </c>
      <c r="BG26" s="22">
        <f t="shared" si="7"/>
        <v>213.00193814506721</v>
      </c>
      <c r="BH26" s="62">
        <f t="shared" si="8"/>
        <v>497.77971592284496</v>
      </c>
      <c r="BI26" s="62">
        <f ca="1">AVERAGE(OFFSET($BH$3,0,0,'Données projet'!$E$11+1,1))-AVERAGE(OFFSET($H$3,0,0,'Données projet'!$E$11+1,1))</f>
        <v>683.36974161977764</v>
      </c>
      <c r="BJ26" s="62">
        <f t="shared" si="38"/>
        <v>312.6921234697457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3.887142857142857</v>
      </c>
      <c r="BY26" s="13">
        <f>IF('Données projet'!$A$114&gt;35,BY25+BX26-CG25,IF(A26&lt;'Données projet'!$A$114,$BV$205^A26,IF(A26='Données projet'!$A$114,'Données projet'!$B$114,BY25+BX26-CG25)))</f>
        <v>89.40428571428572</v>
      </c>
      <c r="BZ26" s="14">
        <f>BY26*VLOOKUP('Données projet'!$B$12,Paramètres!$A$1:$I$89,3,0)*VLOOKUP('Données projet'!$B$12,Paramètres!$A$1:$I$89,5,0)</f>
        <v>86.471825142857142</v>
      </c>
      <c r="CA26" s="14">
        <f t="shared" si="39"/>
        <v>23.71234385445489</v>
      </c>
      <c r="CB26" s="22">
        <f t="shared" si="10"/>
        <v>191.90409433698508</v>
      </c>
      <c r="CC26" s="62">
        <f t="shared" si="11"/>
        <v>476.68187211476288</v>
      </c>
      <c r="CD26" s="62">
        <f ca="1">AVERAGE(OFFSET($CC$3,0,0,'Données projet'!$E$12+1,1))-AVERAGE(OFFSET($H$3,0,0,'Données projet'!$E$12+1,1))</f>
        <v>618.83149423524605</v>
      </c>
      <c r="CE26" s="62">
        <f t="shared" si="40"/>
        <v>285.33582535802435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10.199999999999999</v>
      </c>
      <c r="CT26" s="13">
        <f>IF('Données projet'!$A$140&gt;35,CT25+CS26-DB25,IF(A26&lt;'Données projet'!$A$140,$CQ$205^A26,IF(A26='Données projet'!$A$140,'Données projet'!$B$140,CT25+CS26-DB25)))</f>
        <v>105.6</v>
      </c>
      <c r="CU26" s="18">
        <f>CT26*VLOOKUP('Données projet'!$B$13,Paramètres!$A$1:$I$89,3,0)*VLOOKUP('Données projet'!$B$13,Paramètres!$A$1:$I$89,5,0)</f>
        <v>92.252160000000003</v>
      </c>
      <c r="CV26" s="14">
        <f t="shared" si="41"/>
        <v>25.107607958259987</v>
      </c>
      <c r="CW26" s="22">
        <f t="shared" si="13"/>
        <v>204.40159586063612</v>
      </c>
      <c r="CX26" s="62">
        <f t="shared" si="14"/>
        <v>489.17937363841389</v>
      </c>
      <c r="CY26" s="62">
        <f ca="1">AVERAGE(OFFSET($CX$3,0,0,'Données projet'!$E$13+1,1))-AVERAGE(OFFSET($H$3,0,0,'Données projet'!$E$13+1,1))</f>
        <v>354.24684313982857</v>
      </c>
      <c r="CZ26" s="62">
        <f t="shared" si="42"/>
        <v>322.65043486962185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84.410084571428584</v>
      </c>
      <c r="P27" s="14">
        <f t="shared" si="33"/>
        <v>23.212082188219242</v>
      </c>
      <c r="Q27" s="22">
        <f t="shared" si="2"/>
        <v>187.44194043971996</v>
      </c>
      <c r="R27" s="62">
        <f t="shared" si="0"/>
        <v>473.44194043971993</v>
      </c>
      <c r="S27" s="62">
        <f ca="1">AVERAGE(OFFSET($R$3,0,0,'Données projet'!$E$9+1,1))-AVERAGE(OFFSET($H$3,0,0,'Données projet'!$E$9+1,1))</f>
        <v>581.88778927327667</v>
      </c>
      <c r="T27" s="62">
        <f t="shared" si="34"/>
        <v>269.67340993773422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2.48</v>
      </c>
      <c r="AI27" s="14">
        <f>IF('Données projet'!$A$62&gt;35,AI26+AH27-AQ26,IF(A27&lt;'Données projet'!$A$62,$AF$205^A27,IF(A27='Données projet'!$A$62,'Données projet'!$B$62,AI26+AH27-AQ26)))</f>
        <v>52.564921710561642</v>
      </c>
      <c r="AJ27" s="14">
        <f>AI27*VLOOKUP('Données projet'!$B$10,Paramètres!$A$1:$I$89,3,0)*VLOOKUP('Données projet'!$B$10,Paramètres!$A$1:$I$89,5,0)</f>
        <v>50.020779499770455</v>
      </c>
      <c r="AK27" s="14">
        <f t="shared" si="35"/>
        <v>14.619125930105412</v>
      </c>
      <c r="AL27" s="22">
        <f t="shared" si="4"/>
        <v>112.58116862370046</v>
      </c>
      <c r="AM27" s="62">
        <f t="shared" si="5"/>
        <v>398.58116862370048</v>
      </c>
      <c r="AN27" s="62">
        <f ca="1">AVERAGE(OFFSET($AM$3,0,0,'Données projet'!$E$10+1,1))-AVERAGE(OFFSET($H$3,0,0,'Données projet'!$E$10+1,1))</f>
        <v>444.81608506581125</v>
      </c>
      <c r="AO27" s="62">
        <f t="shared" si="36"/>
        <v>306.75289431725565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3.887142857142857</v>
      </c>
      <c r="BD27" s="13">
        <f>IF('Données projet'!$A$88&gt;35,BD26+BC27-BL26,IF(A27&lt;'Données projet'!$A$88,$BA$205^A27,IF(A27='Données projet'!$A$88,'Données projet'!$B$88,BD26+BC27-BL26)))</f>
        <v>93.291428571428582</v>
      </c>
      <c r="BE27" s="14">
        <f>BD27*VLOOKUP('Données projet'!$B$11,Paramètres!$A$1:$I$89,3,0)*VLOOKUP('Données projet'!$B$11,Paramètres!$A$1:$I$89,5,0)</f>
        <v>100.41889371428572</v>
      </c>
      <c r="BF27" s="14">
        <f t="shared" si="37"/>
        <v>27.06176890742432</v>
      </c>
      <c r="BG27" s="22">
        <f t="shared" si="7"/>
        <v>222.02882073281162</v>
      </c>
      <c r="BH27" s="62">
        <f t="shared" si="8"/>
        <v>508.0288207328116</v>
      </c>
      <c r="BI27" s="62">
        <f ca="1">AVERAGE(OFFSET($BH$3,0,0,'Données projet'!$E$11+1,1))-AVERAGE(OFFSET($H$3,0,0,'Données projet'!$E$11+1,1))</f>
        <v>683.36974161977764</v>
      </c>
      <c r="BJ27" s="62">
        <f t="shared" si="38"/>
        <v>312.6921234697457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3.887142857142857</v>
      </c>
      <c r="BY27" s="13">
        <f>IF('Données projet'!$A$114&gt;35,BY26+BX27-CG26,IF(A27&lt;'Données projet'!$A$114,$BV$205^A27,IF(A27='Données projet'!$A$114,'Données projet'!$B$114,BY26+BX27-CG26)))</f>
        <v>93.291428571428582</v>
      </c>
      <c r="BZ27" s="14">
        <f>BY27*VLOOKUP('Données projet'!$B$12,Paramètres!$A$1:$I$89,3,0)*VLOOKUP('Données projet'!$B$12,Paramètres!$A$1:$I$89,5,0)</f>
        <v>90.231469714285723</v>
      </c>
      <c r="CA27" s="14">
        <f t="shared" si="39"/>
        <v>24.621041567119438</v>
      </c>
      <c r="CB27" s="22">
        <f t="shared" si="10"/>
        <v>200.03479048178065</v>
      </c>
      <c r="CC27" s="62">
        <f t="shared" si="11"/>
        <v>486.03479048178065</v>
      </c>
      <c r="CD27" s="62">
        <f ca="1">AVERAGE(OFFSET($CC$3,0,0,'Données projet'!$E$12+1,1))-AVERAGE(OFFSET($H$3,0,0,'Données projet'!$E$12+1,1))</f>
        <v>618.83149423524605</v>
      </c>
      <c r="CE27" s="62">
        <f t="shared" si="40"/>
        <v>285.33582535802435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10.199999999999999</v>
      </c>
      <c r="CT27" s="13">
        <f>IF('Données projet'!$A$140&gt;35,CT26+CS27-DB26,IF(A27&lt;'Données projet'!$A$140,$CQ$205^A27,IF(A27='Données projet'!$A$140,'Données projet'!$B$140,CT26+CS27-DB26)))</f>
        <v>115.8</v>
      </c>
      <c r="CU27" s="18">
        <f>CT27*VLOOKUP('Données projet'!$B$13,Paramètres!$A$1:$I$89,3,0)*VLOOKUP('Données projet'!$B$13,Paramètres!$A$1:$I$89,5,0)</f>
        <v>101.16288</v>
      </c>
      <c r="CV27" s="14">
        <f t="shared" si="41"/>
        <v>27.238850979377386</v>
      </c>
      <c r="CW27" s="22">
        <f t="shared" si="13"/>
        <v>223.63301478908227</v>
      </c>
      <c r="CX27" s="62">
        <f t="shared" si="14"/>
        <v>509.63301478908227</v>
      </c>
      <c r="CY27" s="62">
        <f ca="1">AVERAGE(OFFSET($CX$3,0,0,'Données projet'!$E$13+1,1))-AVERAGE(OFFSET($H$3,0,0,'Données projet'!$E$13+1,1))</f>
        <v>354.24684313982857</v>
      </c>
      <c r="CZ27" s="62">
        <f t="shared" si="42"/>
        <v>322.65043486962185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87.927171428571441</v>
      </c>
      <c r="P28" s="14">
        <f t="shared" si="33"/>
        <v>24.06463273936156</v>
      </c>
      <c r="Q28" s="22">
        <f t="shared" si="2"/>
        <v>195.05239225914997</v>
      </c>
      <c r="R28" s="62">
        <f t="shared" si="0"/>
        <v>482.27461448137217</v>
      </c>
      <c r="S28" s="62">
        <f ca="1">AVERAGE(OFFSET($R$3,0,0,'Données projet'!$E$9+1,1))-AVERAGE(OFFSET($H$3,0,0,'Données projet'!$E$9+1,1))</f>
        <v>581.88778927327667</v>
      </c>
      <c r="T28" s="62">
        <f t="shared" si="34"/>
        <v>269.67340993773422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62</v>
      </c>
      <c r="AG28" s="13">
        <f>VLOOKUP(A28,'Données projet'!$A$61:$I$81,9,0)</f>
        <v>2.48</v>
      </c>
      <c r="AH28" s="13">
        <f t="array" ref="AH28">INDEX(AG:AG,MIN(IF(ISNUMBER(AG28:AG224),ROW(AG28:AG224),"")))</f>
        <v>2.48</v>
      </c>
      <c r="AI28" s="14">
        <f>IF('Données projet'!$A$62&gt;35,AI27+AH28-AQ27,IF(A28&lt;'Données projet'!$A$62,$AF$205^A28,IF(A28='Données projet'!$A$62,'Données projet'!$B$62,AI27+AH28-AQ27)))</f>
        <v>62</v>
      </c>
      <c r="AJ28" s="14">
        <f>AI28*VLOOKUP('Données projet'!$B$10,Paramètres!$A$1:$I$89,3,0)*VLOOKUP('Données projet'!$B$10,Paramètres!$A$1:$I$89,5,0)</f>
        <v>58.999200000000002</v>
      </c>
      <c r="AK28" s="14">
        <f t="shared" si="35"/>
        <v>16.914988195097422</v>
      </c>
      <c r="AL28" s="22">
        <f t="shared" si="4"/>
        <v>132.21721110646135</v>
      </c>
      <c r="AM28" s="62">
        <f t="shared" si="5"/>
        <v>419.43943332868355</v>
      </c>
      <c r="AN28" s="62">
        <f ca="1">AVERAGE(OFFSET($AM$3,0,0,'Données projet'!$E$10+1,1))-AVERAGE(OFFSET($H$3,0,0,'Données projet'!$E$10+1,1))</f>
        <v>444.81608506581125</v>
      </c>
      <c r="AO28" s="62">
        <f t="shared" si="36"/>
        <v>306.75289431725565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3.887142857142857</v>
      </c>
      <c r="BD28" s="13">
        <f>IF('Données projet'!$A$88&gt;35,BD27+BC28-BL27,IF(A28&lt;'Données projet'!$A$88,$BA$205^A28,IF(A28='Données projet'!$A$88,'Données projet'!$B$88,BD27+BC28-BL27)))</f>
        <v>97.178571428571445</v>
      </c>
      <c r="BE28" s="14">
        <f>BD28*VLOOKUP('Données projet'!$B$11,Paramètres!$A$1:$I$89,3,0)*VLOOKUP('Données projet'!$B$11,Paramètres!$A$1:$I$89,5,0)</f>
        <v>104.60301428571429</v>
      </c>
      <c r="BF28" s="14">
        <f t="shared" si="37"/>
        <v>28.055713604407149</v>
      </c>
      <c r="BG28" s="22">
        <f t="shared" si="7"/>
        <v>231.04728440862814</v>
      </c>
      <c r="BH28" s="62">
        <f t="shared" si="8"/>
        <v>518.2695066308504</v>
      </c>
      <c r="BI28" s="62">
        <f ca="1">AVERAGE(OFFSET($BH$3,0,0,'Données projet'!$E$11+1,1))-AVERAGE(OFFSET($H$3,0,0,'Données projet'!$E$11+1,1))</f>
        <v>683.36974161977764</v>
      </c>
      <c r="BJ28" s="62">
        <f t="shared" si="38"/>
        <v>312.6921234697457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3.887142857142857</v>
      </c>
      <c r="BY28" s="13">
        <f>IF('Données projet'!$A$114&gt;35,BY27+BX28-CG27,IF(A28&lt;'Données projet'!$A$114,$BV$205^A28,IF(A28='Données projet'!$A$114,'Données projet'!$B$114,BY27+BX28-CG27)))</f>
        <v>97.178571428571445</v>
      </c>
      <c r="BZ28" s="14">
        <f>BY28*VLOOKUP('Données projet'!$B$12,Paramètres!$A$1:$I$89,3,0)*VLOOKUP('Données projet'!$B$12,Paramètres!$A$1:$I$89,5,0)</f>
        <v>93.991114285714303</v>
      </c>
      <c r="CA28" s="14">
        <f t="shared" si="39"/>
        <v>25.525341422149168</v>
      </c>
      <c r="CB28" s="22">
        <f t="shared" si="10"/>
        <v>208.15782702452887</v>
      </c>
      <c r="CC28" s="62">
        <f t="shared" si="11"/>
        <v>495.38004924675113</v>
      </c>
      <c r="CD28" s="62">
        <f ca="1">AVERAGE(OFFSET($CC$3,0,0,'Données projet'!$E$12+1,1))-AVERAGE(OFFSET($H$3,0,0,'Données projet'!$E$12+1,1))</f>
        <v>618.83149423524605</v>
      </c>
      <c r="CE28" s="62">
        <f t="shared" si="40"/>
        <v>285.33582535802435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126</v>
      </c>
      <c r="CR28" s="13">
        <f>VLOOKUP(A28,'Données projet'!$A$139:$I$159,9,0)</f>
        <v>10.199999999999999</v>
      </c>
      <c r="CS28" s="13">
        <f t="array" ref="CS28">INDEX(CR:CR,MIN(IF(ISNUMBER(CR28:CR224),ROW(CR28:CR224),"")))</f>
        <v>10.199999999999999</v>
      </c>
      <c r="CT28" s="13">
        <f>IF('Données projet'!$A$140&gt;35,CT27+CS28-DB27,IF(A28&lt;'Données projet'!$A$140,$CQ$205^A28,IF(A28='Données projet'!$A$140,'Données projet'!$B$140,CT27+CS28-DB27)))</f>
        <v>126</v>
      </c>
      <c r="CU28" s="18">
        <f>CT28*VLOOKUP('Données projet'!$B$13,Paramètres!$A$1:$I$89,3,0)*VLOOKUP('Données projet'!$B$13,Paramètres!$A$1:$I$89,5,0)</f>
        <v>110.07360000000001</v>
      </c>
      <c r="CV28" s="14">
        <f t="shared" si="41"/>
        <v>29.348324631518828</v>
      </c>
      <c r="CW28" s="22">
        <f t="shared" si="13"/>
        <v>242.8265187332286</v>
      </c>
      <c r="CX28" s="62">
        <f t="shared" si="14"/>
        <v>530.04874095545085</v>
      </c>
      <c r="CY28" s="62">
        <f ca="1">AVERAGE(OFFSET($CX$3,0,0,'Données projet'!$E$13+1,1))-AVERAGE(OFFSET($H$3,0,0,'Données projet'!$E$13+1,1))</f>
        <v>354.24684313982857</v>
      </c>
      <c r="CZ28" s="62">
        <f t="shared" si="42"/>
        <v>322.65043486962185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26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91.444258285714298</v>
      </c>
      <c r="P29" s="14">
        <f t="shared" si="33"/>
        <v>24.913221926074399</v>
      </c>
      <c r="Q29" s="22">
        <f t="shared" si="2"/>
        <v>202.65594470219867</v>
      </c>
      <c r="R29" s="62">
        <f t="shared" si="0"/>
        <v>491.10038914664312</v>
      </c>
      <c r="S29" s="62">
        <f ca="1">AVERAGE(OFFSET($R$3,0,0,'Données projet'!$E$9+1,1))-AVERAGE(OFFSET($H$3,0,0,'Données projet'!$E$9+1,1))</f>
        <v>581.88778927327667</v>
      </c>
      <c r="T29" s="62">
        <f t="shared" si="34"/>
        <v>269.67340993773422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65.660399999999996</v>
      </c>
      <c r="AK29" s="14">
        <f t="shared" si="35"/>
        <v>18.591800852927584</v>
      </c>
      <c r="AL29" s="22">
        <f t="shared" si="4"/>
        <v>146.73924981884886</v>
      </c>
      <c r="AM29" s="62">
        <f t="shared" si="5"/>
        <v>435.18369426329332</v>
      </c>
      <c r="AN29" s="62">
        <f ca="1">AVERAGE(OFFSET($AM$3,0,0,'Données projet'!$E$10+1,1))-AVERAGE(OFFSET($H$3,0,0,'Données projet'!$E$10+1,1))</f>
        <v>444.81608506581125</v>
      </c>
      <c r="AO29" s="62">
        <f t="shared" si="36"/>
        <v>306.75289431725565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3.887142857142857</v>
      </c>
      <c r="BD29" s="13">
        <f>IF('Données projet'!$A$88&gt;35,BD28+BC29-BL28,IF(A29&lt;'Données projet'!$A$88,$BA$205^A29,IF(A29='Données projet'!$A$88,'Données projet'!$B$88,BD28+BC29-BL28)))</f>
        <v>101.06571428571431</v>
      </c>
      <c r="BE29" s="14">
        <f>BD29*VLOOKUP('Données projet'!$B$11,Paramètres!$A$1:$I$89,3,0)*VLOOKUP('Données projet'!$B$11,Paramètres!$A$1:$I$89,5,0)</f>
        <v>108.78713485714287</v>
      </c>
      <c r="BF29" s="14">
        <f t="shared" si="37"/>
        <v>29.045039951003361</v>
      </c>
      <c r="BG29" s="22">
        <f t="shared" si="7"/>
        <v>240.05770445752137</v>
      </c>
      <c r="BH29" s="62">
        <f t="shared" si="8"/>
        <v>528.50214890196582</v>
      </c>
      <c r="BI29" s="62">
        <f ca="1">AVERAGE(OFFSET($BH$3,0,0,'Données projet'!$E$11+1,1))-AVERAGE(OFFSET($H$3,0,0,'Données projet'!$E$11+1,1))</f>
        <v>683.36974161977764</v>
      </c>
      <c r="BJ29" s="62">
        <f t="shared" si="38"/>
        <v>312.6921234697457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3.887142857142857</v>
      </c>
      <c r="BY29" s="13">
        <f>IF('Données projet'!$A$114&gt;35,BY28+BX29-CG28,IF(A29&lt;'Données projet'!$A$114,$BV$205^A29,IF(A29='Données projet'!$A$114,'Données projet'!$B$114,BY28+BX29-CG28)))</f>
        <v>101.06571428571431</v>
      </c>
      <c r="BZ29" s="14">
        <f>BY29*VLOOKUP('Données projet'!$B$12,Paramètres!$A$1:$I$89,3,0)*VLOOKUP('Données projet'!$B$12,Paramètres!$A$1:$I$89,5,0)</f>
        <v>97.750758857142884</v>
      </c>
      <c r="CA29" s="14">
        <f t="shared" si="39"/>
        <v>26.425439460319531</v>
      </c>
      <c r="CB29" s="22">
        <f t="shared" si="10"/>
        <v>216.2735454029137</v>
      </c>
      <c r="CC29" s="62">
        <f t="shared" si="11"/>
        <v>504.71798984735813</v>
      </c>
      <c r="CD29" s="62">
        <f ca="1">AVERAGE(OFFSET($CC$3,0,0,'Données projet'!$E$12+1,1))-AVERAGE(OFFSET($H$3,0,0,'Données projet'!$E$12+1,1))</f>
        <v>618.83149423524605</v>
      </c>
      <c r="CE29" s="62">
        <f t="shared" si="40"/>
        <v>285.33582535802435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9.8000000000000007</v>
      </c>
      <c r="CT29" s="13">
        <f>IF('Données projet'!$A$140&gt;35,CT28+CS29-DB28,IF(A29&lt;'Données projet'!$A$140,$CQ$205^A29,IF(A29='Données projet'!$A$140,'Données projet'!$B$140,CT28+CS29-DB28)))</f>
        <v>109.80000000000001</v>
      </c>
      <c r="CU29" s="18">
        <f>CT29*VLOOKUP('Données projet'!$B$13,Paramètres!$A$1:$I$89,3,0)*VLOOKUP('Données projet'!$B$13,Paramètres!$A$1:$I$89,5,0)</f>
        <v>95.921280000000024</v>
      </c>
      <c r="CV29" s="14">
        <f t="shared" si="41"/>
        <v>25.98795633328076</v>
      </c>
      <c r="CW29" s="22">
        <f t="shared" si="13"/>
        <v>212.32525328046404</v>
      </c>
      <c r="CX29" s="62">
        <f t="shared" si="14"/>
        <v>500.7696977249085</v>
      </c>
      <c r="CY29" s="62">
        <f ca="1">AVERAGE(OFFSET($CX$3,0,0,'Données projet'!$E$13+1,1))-AVERAGE(OFFSET($H$3,0,0,'Données projet'!$E$13+1,1))</f>
        <v>354.24684313982857</v>
      </c>
      <c r="CZ29" s="62">
        <f t="shared" si="42"/>
        <v>322.65043486962185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94.961345142857169</v>
      </c>
      <c r="P30" s="14">
        <f t="shared" si="33"/>
        <v>25.758019548315733</v>
      </c>
      <c r="Q30" s="22">
        <f t="shared" si="2"/>
        <v>210.25289350379276</v>
      </c>
      <c r="R30" s="62">
        <f t="shared" si="0"/>
        <v>499.91956017045948</v>
      </c>
      <c r="S30" s="62">
        <f ca="1">AVERAGE(OFFSET($R$3,0,0,'Données projet'!$E$9+1,1))-AVERAGE(OFFSET($H$3,0,0,'Données projet'!$E$9+1,1))</f>
        <v>581.88778927327667</v>
      </c>
      <c r="T30" s="62">
        <f t="shared" si="34"/>
        <v>269.67340993773422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79.934400000000011</v>
      </c>
      <c r="AK30" s="14">
        <f t="shared" si="35"/>
        <v>22.121143821921812</v>
      </c>
      <c r="AL30" s="22">
        <f t="shared" si="4"/>
        <v>177.74673882318049</v>
      </c>
      <c r="AM30" s="62">
        <f t="shared" si="5"/>
        <v>467.41340548984715</v>
      </c>
      <c r="AN30" s="62">
        <f ca="1">AVERAGE(OFFSET($AM$3,0,0,'Données projet'!$E$10+1,1))-AVERAGE(OFFSET($H$3,0,0,'Données projet'!$E$10+1,1))</f>
        <v>444.81608506581125</v>
      </c>
      <c r="AO30" s="62">
        <f t="shared" si="36"/>
        <v>306.75289431725565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3.887142857142857</v>
      </c>
      <c r="BD30" s="13">
        <f>IF('Données projet'!$A$88&gt;35,BD29+BC30-BL29,IF(A30&lt;'Données projet'!$A$88,$BA$205^A30,IF(A30='Données projet'!$A$88,'Données projet'!$B$88,BD29+BC30-BL29)))</f>
        <v>104.95285714285717</v>
      </c>
      <c r="BE30" s="14">
        <f>BD30*VLOOKUP('Données projet'!$B$11,Paramètres!$A$1:$I$89,3,0)*VLOOKUP('Données projet'!$B$11,Paramètres!$A$1:$I$89,5,0)</f>
        <v>112.97125542857145</v>
      </c>
      <c r="BF30" s="14">
        <f t="shared" si="37"/>
        <v>30.029945908222491</v>
      </c>
      <c r="BG30" s="22">
        <f t="shared" si="7"/>
        <v>249.0604256615828</v>
      </c>
      <c r="BH30" s="62">
        <f t="shared" si="8"/>
        <v>538.72709232824946</v>
      </c>
      <c r="BI30" s="62">
        <f ca="1">AVERAGE(OFFSET($BH$3,0,0,'Données projet'!$E$11+1,1))-AVERAGE(OFFSET($H$3,0,0,'Données projet'!$E$11+1,1))</f>
        <v>683.36974161977764</v>
      </c>
      <c r="BJ30" s="62">
        <f t="shared" si="38"/>
        <v>312.6921234697457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3.887142857142857</v>
      </c>
      <c r="BY30" s="13">
        <f>IF('Données projet'!$A$114&gt;35,BY29+BX30-CG29,IF(A30&lt;'Données projet'!$A$114,$BV$205^A30,IF(A30='Données projet'!$A$114,'Données projet'!$B$114,BY29+BX30-CG29)))</f>
        <v>104.95285714285717</v>
      </c>
      <c r="BZ30" s="14">
        <f>BY30*VLOOKUP('Données projet'!$B$12,Paramètres!$A$1:$I$89,3,0)*VLOOKUP('Données projet'!$B$12,Paramètres!$A$1:$I$89,5,0)</f>
        <v>101.51040342857146</v>
      </c>
      <c r="CA30" s="14">
        <f t="shared" si="39"/>
        <v>27.32151578834339</v>
      </c>
      <c r="CB30" s="22">
        <f t="shared" si="10"/>
        <v>224.38225930279336</v>
      </c>
      <c r="CC30" s="62">
        <f t="shared" si="11"/>
        <v>514.04892596946002</v>
      </c>
      <c r="CD30" s="62">
        <f ca="1">AVERAGE(OFFSET($CC$3,0,0,'Données projet'!$E$12+1,1))-AVERAGE(OFFSET($H$3,0,0,'Données projet'!$E$12+1,1))</f>
        <v>618.83149423524605</v>
      </c>
      <c r="CE30" s="62">
        <f t="shared" si="40"/>
        <v>285.33582535802435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9.8000000000000007</v>
      </c>
      <c r="CT30" s="13">
        <f>IF('Données projet'!$A$140&gt;35,CT29+CS30-DB29,IF(A30&lt;'Données projet'!$A$140,$CQ$205^A30,IF(A30='Données projet'!$A$140,'Données projet'!$B$140,CT29+CS30-DB29)))</f>
        <v>119.60000000000001</v>
      </c>
      <c r="CU30" s="18">
        <f>CT30*VLOOKUP('Données projet'!$B$13,Paramètres!$A$1:$I$89,3,0)*VLOOKUP('Données projet'!$B$13,Paramètres!$A$1:$I$89,5,0)</f>
        <v>104.48256000000002</v>
      </c>
      <c r="CV30" s="14">
        <f t="shared" si="41"/>
        <v>28.02716504477474</v>
      </c>
      <c r="CW30" s="22">
        <f t="shared" si="13"/>
        <v>230.78777111964939</v>
      </c>
      <c r="CX30" s="62">
        <f t="shared" si="14"/>
        <v>520.45443778631602</v>
      </c>
      <c r="CY30" s="62">
        <f ca="1">AVERAGE(OFFSET($CX$3,0,0,'Données projet'!$E$13+1,1))-AVERAGE(OFFSET($H$3,0,0,'Données projet'!$E$13+1,1))</f>
        <v>354.24684313982857</v>
      </c>
      <c r="CZ30" s="62">
        <f t="shared" si="42"/>
        <v>322.65043486962185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98.478432000000026</v>
      </c>
      <c r="P31" s="14">
        <f t="shared" si="33"/>
        <v>26.599182115615513</v>
      </c>
      <c r="Q31" s="22">
        <f t="shared" si="2"/>
        <v>217.84351125136371</v>
      </c>
      <c r="R31" s="62">
        <f t="shared" si="0"/>
        <v>508.73240014025259</v>
      </c>
      <c r="S31" s="62">
        <f ca="1">AVERAGE(OFFSET($R$3,0,0,'Données projet'!$E$9+1,1))-AVERAGE(OFFSET($H$3,0,0,'Données projet'!$E$9+1,1))</f>
        <v>581.88778927327667</v>
      </c>
      <c r="T31" s="62">
        <f t="shared" si="34"/>
        <v>269.67340993773422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</v>
      </c>
      <c r="AI31" s="14">
        <f>IF('Données projet'!$A$62&gt;35,AI30+AH31-AQ30,IF(A31&lt;'Données projet'!$A$62,$AF$205^A31,IF(A31='Données projet'!$A$62,'Données projet'!$B$62,AI30+AH31-AQ30)))</f>
        <v>99</v>
      </c>
      <c r="AJ31" s="14">
        <f>AI31*VLOOKUP('Données projet'!$B$10,Paramètres!$A$1:$I$89,3,0)*VLOOKUP('Données projet'!$B$10,Paramètres!$A$1:$I$89,5,0)</f>
        <v>94.208399999999997</v>
      </c>
      <c r="AK31" s="14">
        <f t="shared" si="35"/>
        <v>25.577474486943462</v>
      </c>
      <c r="AL31" s="22">
        <f t="shared" si="4"/>
        <v>208.62706473142649</v>
      </c>
      <c r="AM31" s="62">
        <f t="shared" si="5"/>
        <v>499.51595362031537</v>
      </c>
      <c r="AN31" s="62">
        <f ca="1">AVERAGE(OFFSET($AM$3,0,0,'Données projet'!$E$10+1,1))-AVERAGE(OFFSET($H$3,0,0,'Données projet'!$E$10+1,1))</f>
        <v>444.81608506581125</v>
      </c>
      <c r="AO31" s="62">
        <f t="shared" si="36"/>
        <v>306.75289431725565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3.887142857142857</v>
      </c>
      <c r="BD31" s="13">
        <f>IF('Données projet'!$A$88&gt;35,BD30+BC31-BL30,IF(A31&lt;'Données projet'!$A$88,$BA$205^A31,IF(A31='Données projet'!$A$88,'Données projet'!$B$88,BD30+BC31-BL30)))</f>
        <v>108.84000000000003</v>
      </c>
      <c r="BE31" s="14">
        <f>BD31*VLOOKUP('Données projet'!$B$11,Paramètres!$A$1:$I$89,3,0)*VLOOKUP('Données projet'!$B$11,Paramètres!$A$1:$I$89,5,0)</f>
        <v>117.15537600000002</v>
      </c>
      <c r="BF31" s="14">
        <f t="shared" si="37"/>
        <v>31.010613942449716</v>
      </c>
      <c r="BG31" s="22">
        <f t="shared" si="7"/>
        <v>258.05576581643328</v>
      </c>
      <c r="BH31" s="62">
        <f t="shared" si="8"/>
        <v>548.94465470532214</v>
      </c>
      <c r="BI31" s="62">
        <f ca="1">AVERAGE(OFFSET($BH$3,0,0,'Données projet'!$E$11+1,1))-AVERAGE(OFFSET($H$3,0,0,'Données projet'!$E$11+1,1))</f>
        <v>683.36974161977764</v>
      </c>
      <c r="BJ31" s="62">
        <f t="shared" si="38"/>
        <v>312.6921234697457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3.887142857142857</v>
      </c>
      <c r="BY31" s="13">
        <f>IF('Données projet'!$A$114&gt;35,BY30+BX31-CG30,IF(A31&lt;'Données projet'!$A$114,$BV$205^A31,IF(A31='Données projet'!$A$114,'Données projet'!$B$114,BY30+BX31-CG30)))</f>
        <v>108.84000000000003</v>
      </c>
      <c r="BZ31" s="14">
        <f>BY31*VLOOKUP('Données projet'!$B$12,Paramètres!$A$1:$I$89,3,0)*VLOOKUP('Données projet'!$B$12,Paramètres!$A$1:$I$89,5,0)</f>
        <v>105.27004800000003</v>
      </c>
      <c r="CA31" s="14">
        <f t="shared" si="39"/>
        <v>28.213736415784727</v>
      </c>
      <c r="CB31" s="22">
        <f t="shared" si="10"/>
        <v>232.48425785749177</v>
      </c>
      <c r="CC31" s="62">
        <f t="shared" si="11"/>
        <v>523.3731467463806</v>
      </c>
      <c r="CD31" s="62">
        <f ca="1">AVERAGE(OFFSET($CC$3,0,0,'Données projet'!$E$12+1,1))-AVERAGE(OFFSET($H$3,0,0,'Données projet'!$E$12+1,1))</f>
        <v>618.83149423524605</v>
      </c>
      <c r="CE31" s="62">
        <f t="shared" si="40"/>
        <v>285.33582535802435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9.8000000000000007</v>
      </c>
      <c r="CT31" s="13">
        <f>IF('Données projet'!$A$140&gt;35,CT30+CS31-DB30,IF(A31&lt;'Données projet'!$A$140,$CQ$205^A31,IF(A31='Données projet'!$A$140,'Données projet'!$B$140,CT30+CS31-DB30)))</f>
        <v>129.4</v>
      </c>
      <c r="CU31" s="18">
        <f>CT31*VLOOKUP('Données projet'!$B$13,Paramètres!$A$1:$I$89,3,0)*VLOOKUP('Données projet'!$B$13,Paramètres!$A$1:$I$89,5,0)</f>
        <v>113.04384000000002</v>
      </c>
      <c r="CV31" s="14">
        <f t="shared" si="41"/>
        <v>30.046993788338579</v>
      </c>
      <c r="CW31" s="22">
        <f t="shared" si="13"/>
        <v>249.2165355146897</v>
      </c>
      <c r="CX31" s="62">
        <f t="shared" si="14"/>
        <v>540.10542440357858</v>
      </c>
      <c r="CY31" s="62">
        <f ca="1">AVERAGE(OFFSET($CX$3,0,0,'Données projet'!$E$13+1,1))-AVERAGE(OFFSET($H$3,0,0,'Données projet'!$E$13+1,1))</f>
        <v>354.24684313982857</v>
      </c>
      <c r="CZ31" s="62">
        <f t="shared" si="42"/>
        <v>322.65043486962185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101.99551885714288</v>
      </c>
      <c r="P32" s="14">
        <f t="shared" si="33"/>
        <v>27.436854324518826</v>
      </c>
      <c r="Q32" s="22">
        <f t="shared" si="2"/>
        <v>225.4280499580608</v>
      </c>
      <c r="R32" s="62">
        <f t="shared" si="0"/>
        <v>517.539161069172</v>
      </c>
      <c r="S32" s="62">
        <f ca="1">AVERAGE(OFFSET($R$3,0,0,'Données projet'!$E$9+1,1))-AVERAGE(OFFSET($H$3,0,0,'Données projet'!$E$9+1,1))</f>
        <v>581.88778927327667</v>
      </c>
      <c r="T32" s="62">
        <f t="shared" si="34"/>
        <v>269.67340993773422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</v>
      </c>
      <c r="AI32" s="14">
        <f>IF('Données projet'!$A$62&gt;35,AI31+AH32-AQ31,IF(A32&lt;'Données projet'!$A$62,$AF$205^A32,IF(A32='Données projet'!$A$62,'Données projet'!$B$62,AI31+AH32-AQ31)))</f>
        <v>114</v>
      </c>
      <c r="AJ32" s="14">
        <f>AI32*VLOOKUP('Données projet'!$B$10,Paramètres!$A$1:$I$89,3,0)*VLOOKUP('Données projet'!$B$10,Paramètres!$A$1:$I$89,5,0)</f>
        <v>108.4824</v>
      </c>
      <c r="AK32" s="14">
        <f t="shared" si="35"/>
        <v>28.973137589932367</v>
      </c>
      <c r="AL32" s="22">
        <f t="shared" si="4"/>
        <v>239.40172796913217</v>
      </c>
      <c r="AM32" s="62">
        <f t="shared" si="5"/>
        <v>531.51283908024334</v>
      </c>
      <c r="AN32" s="62">
        <f ca="1">AVERAGE(OFFSET($AM$3,0,0,'Données projet'!$E$10+1,1))-AVERAGE(OFFSET($H$3,0,0,'Données projet'!$E$10+1,1))</f>
        <v>444.81608506581125</v>
      </c>
      <c r="AO32" s="62">
        <f t="shared" si="36"/>
        <v>306.75289431725565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3.887142857142857</v>
      </c>
      <c r="BD32" s="13">
        <f>IF('Données projet'!$A$88&gt;35,BD31+BC32-BL31,IF(A32&lt;'Données projet'!$A$88,$BA$205^A32,IF(A32='Données projet'!$A$88,'Données projet'!$B$88,BD31+BC32-BL31)))</f>
        <v>112.72714285714289</v>
      </c>
      <c r="BE32" s="14">
        <f>BD32*VLOOKUP('Données projet'!$B$11,Paramètres!$A$1:$I$89,3,0)*VLOOKUP('Données projet'!$B$11,Paramètres!$A$1:$I$89,5,0)</f>
        <v>121.3394965714286</v>
      </c>
      <c r="BF32" s="14">
        <f t="shared" si="37"/>
        <v>31.987212747920864</v>
      </c>
      <c r="BG32" s="22">
        <f t="shared" si="7"/>
        <v>267.04401873120031</v>
      </c>
      <c r="BH32" s="62">
        <f t="shared" si="8"/>
        <v>559.15512984231145</v>
      </c>
      <c r="BI32" s="62">
        <f ca="1">AVERAGE(OFFSET($BH$3,0,0,'Données projet'!$E$11+1,1))-AVERAGE(OFFSET($H$3,0,0,'Données projet'!$E$11+1,1))</f>
        <v>683.36974161977764</v>
      </c>
      <c r="BJ32" s="62">
        <f t="shared" si="38"/>
        <v>312.6921234697457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3.887142857142857</v>
      </c>
      <c r="BY32" s="13">
        <f>IF('Données projet'!$A$114&gt;35,BY31+BX32-CG31,IF(A32&lt;'Données projet'!$A$114,$BV$205^A32,IF(A32='Données projet'!$A$114,'Données projet'!$B$114,BY31+BX32-CG31)))</f>
        <v>112.72714285714289</v>
      </c>
      <c r="BZ32" s="14">
        <f>BY32*VLOOKUP('Données projet'!$B$12,Paramètres!$A$1:$I$89,3,0)*VLOOKUP('Données projet'!$B$12,Paramètres!$A$1:$I$89,5,0)</f>
        <v>109.02969257142863</v>
      </c>
      <c r="CA32" s="14">
        <f t="shared" si="39"/>
        <v>29.102254822181546</v>
      </c>
      <c r="CB32" s="22">
        <f t="shared" si="10"/>
        <v>240.57980837720436</v>
      </c>
      <c r="CC32" s="62">
        <f t="shared" si="11"/>
        <v>532.69091948831556</v>
      </c>
      <c r="CD32" s="62">
        <f ca="1">AVERAGE(OFFSET($CC$3,0,0,'Données projet'!$E$12+1,1))-AVERAGE(OFFSET($H$3,0,0,'Données projet'!$E$12+1,1))</f>
        <v>618.83149423524605</v>
      </c>
      <c r="CE32" s="62">
        <f t="shared" si="40"/>
        <v>285.33582535802435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9.8000000000000007</v>
      </c>
      <c r="CT32" s="13">
        <f>IF('Données projet'!$A$140&gt;35,CT31+CS32-DB31,IF(A32&lt;'Données projet'!$A$140,$CQ$205^A32,IF(A32='Données projet'!$A$140,'Données projet'!$B$140,CT31+CS32-DB31)))</f>
        <v>139.20000000000002</v>
      </c>
      <c r="CU32" s="18">
        <f>CT32*VLOOKUP('Données projet'!$B$13,Paramètres!$A$1:$I$89,3,0)*VLOOKUP('Données projet'!$B$13,Paramètres!$A$1:$I$89,5,0)</f>
        <v>121.60512000000003</v>
      </c>
      <c r="CV32" s="14">
        <f t="shared" si="41"/>
        <v>32.049077176455789</v>
      </c>
      <c r="CW32" s="22">
        <f t="shared" si="13"/>
        <v>267.61439341566057</v>
      </c>
      <c r="CX32" s="62">
        <f t="shared" si="14"/>
        <v>559.72550452677172</v>
      </c>
      <c r="CY32" s="62">
        <f ca="1">AVERAGE(OFFSET($CX$3,0,0,'Données projet'!$E$13+1,1))-AVERAGE(OFFSET($H$3,0,0,'Données projet'!$E$13+1,1))</f>
        <v>354.24684313982857</v>
      </c>
      <c r="CZ32" s="62">
        <f t="shared" si="42"/>
        <v>322.65043486962185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105.51260571428575</v>
      </c>
      <c r="P33" s="14">
        <f t="shared" si="33"/>
        <v>28.271170326518615</v>
      </c>
      <c r="Q33" s="22">
        <f t="shared" si="2"/>
        <v>233.00674327106756</v>
      </c>
      <c r="R33" s="62">
        <f t="shared" si="0"/>
        <v>526.34007660440091</v>
      </c>
      <c r="S33" s="62">
        <f ca="1">AVERAGE(OFFSET($R$3,0,0,'Données projet'!$E$9+1,1))-AVERAGE(OFFSET($H$3,0,0,'Données projet'!$E$9+1,1))</f>
        <v>581.88778927327667</v>
      </c>
      <c r="T33" s="62">
        <f t="shared" si="34"/>
        <v>269.67340993773422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129</v>
      </c>
      <c r="AG33" s="13">
        <f>VLOOKUP(A33,'Données projet'!$A$61:$I$81,9,0)</f>
        <v>15</v>
      </c>
      <c r="AH33" s="13">
        <f t="array" ref="AH33">INDEX(AG:AG,MIN(IF(ISNUMBER(AG33:AG229),ROW(AG33:AG229),"")))</f>
        <v>15</v>
      </c>
      <c r="AI33" s="14">
        <f>IF('Données projet'!$A$62&gt;35,AI32+AH33-AQ32,IF(A33&lt;'Données projet'!$A$62,$AF$205^A33,IF(A33='Données projet'!$A$62,'Données projet'!$B$62,AI32+AH33-AQ32)))</f>
        <v>129</v>
      </c>
      <c r="AJ33" s="14">
        <f>AI33*VLOOKUP('Données projet'!$B$10,Paramètres!$A$1:$I$89,3,0)*VLOOKUP('Données projet'!$B$10,Paramètres!$A$1:$I$89,5,0)</f>
        <v>122.7564</v>
      </c>
      <c r="AK33" s="14">
        <f t="shared" si="35"/>
        <v>32.317032143878919</v>
      </c>
      <c r="AL33" s="22">
        <f t="shared" si="4"/>
        <v>270.08622765058908</v>
      </c>
      <c r="AM33" s="62">
        <f t="shared" si="5"/>
        <v>563.41956098392234</v>
      </c>
      <c r="AN33" s="62">
        <f ca="1">AVERAGE(OFFSET($AM$3,0,0,'Données projet'!$E$10+1,1))-AVERAGE(OFFSET($H$3,0,0,'Données projet'!$E$10+1,1))</f>
        <v>444.81608506581125</v>
      </c>
      <c r="AO33" s="62">
        <f t="shared" si="36"/>
        <v>306.75289431725565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3.887142857142857</v>
      </c>
      <c r="BD33" s="13">
        <f>IF('Données projet'!$A$88&gt;35,BD32+BC33-BL32,IF(A33&lt;'Données projet'!$A$88,$BA$205^A33,IF(A33='Données projet'!$A$88,'Données projet'!$B$88,BD32+BC33-BL32)))</f>
        <v>116.61428571428576</v>
      </c>
      <c r="BE33" s="14">
        <f>BD33*VLOOKUP('Données projet'!$B$11,Paramètres!$A$1:$I$89,3,0)*VLOOKUP('Données projet'!$B$11,Paramètres!$A$1:$I$89,5,0)</f>
        <v>125.52361714285718</v>
      </c>
      <c r="BF33" s="14">
        <f t="shared" si="37"/>
        <v>32.959898724939478</v>
      </c>
      <c r="BG33" s="22">
        <f t="shared" si="7"/>
        <v>276.02545680307912</v>
      </c>
      <c r="BH33" s="62">
        <f t="shared" si="8"/>
        <v>569.35879013641238</v>
      </c>
      <c r="BI33" s="62">
        <f ca="1">AVERAGE(OFFSET($BH$3,0,0,'Données projet'!$E$11+1,1))-AVERAGE(OFFSET($H$3,0,0,'Données projet'!$E$11+1,1))</f>
        <v>683.36974161977764</v>
      </c>
      <c r="BJ33" s="62">
        <f t="shared" si="38"/>
        <v>312.6921234697457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3.887142857142857</v>
      </c>
      <c r="BY33" s="13">
        <f>IF('Données projet'!$A$114&gt;35,BY32+BX33-CG32,IF(A33&lt;'Données projet'!$A$114,$BV$205^A33,IF(A33='Données projet'!$A$114,'Données projet'!$B$114,BY32+BX33-CG32)))</f>
        <v>116.61428571428576</v>
      </c>
      <c r="BZ33" s="14">
        <f>BY33*VLOOKUP('Données projet'!$B$12,Paramètres!$A$1:$I$89,3,0)*VLOOKUP('Données projet'!$B$12,Paramètres!$A$1:$I$89,5,0)</f>
        <v>112.78933714285719</v>
      </c>
      <c r="CA33" s="14">
        <f t="shared" si="39"/>
        <v>29.987213301941502</v>
      </c>
      <c r="CB33" s="22">
        <f t="shared" si="10"/>
        <v>248.66915869135769</v>
      </c>
      <c r="CC33" s="62">
        <f t="shared" si="11"/>
        <v>542.00249202469104</v>
      </c>
      <c r="CD33" s="62">
        <f ca="1">AVERAGE(OFFSET($CC$3,0,0,'Données projet'!$E$12+1,1))-AVERAGE(OFFSET($H$3,0,0,'Données projet'!$E$12+1,1))</f>
        <v>618.83149423524605</v>
      </c>
      <c r="CE33" s="62">
        <f t="shared" si="40"/>
        <v>285.33582535802435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149</v>
      </c>
      <c r="CR33" s="13">
        <f>VLOOKUP(A33,'Données projet'!$A$139:$I$159,9,0)</f>
        <v>9.8000000000000007</v>
      </c>
      <c r="CS33" s="13">
        <f t="array" ref="CS33">INDEX(CR:CR,MIN(IF(ISNUMBER(CR33:CR229),ROW(CR33:CR229),"")))</f>
        <v>9.8000000000000007</v>
      </c>
      <c r="CT33" s="13">
        <f>IF('Données projet'!$A$140&gt;35,CT32+CS33-DB32,IF(A33&lt;'Données projet'!$A$140,$CQ$205^A33,IF(A33='Données projet'!$A$140,'Données projet'!$B$140,CT32+CS33-DB32)))</f>
        <v>149.00000000000003</v>
      </c>
      <c r="CU33" s="18">
        <f>CT33*VLOOKUP('Données projet'!$B$13,Paramètres!$A$1:$I$89,3,0)*VLOOKUP('Données projet'!$B$13,Paramètres!$A$1:$I$89,5,0)</f>
        <v>130.16640000000004</v>
      </c>
      <c r="CV33" s="14">
        <f t="shared" si="41"/>
        <v>34.034806623706302</v>
      </c>
      <c r="CW33" s="22">
        <f t="shared" si="13"/>
        <v>285.98376820295522</v>
      </c>
      <c r="CX33" s="62">
        <f t="shared" si="14"/>
        <v>579.31710153628853</v>
      </c>
      <c r="CY33" s="62">
        <f ca="1">AVERAGE(OFFSET($CX$3,0,0,'Données projet'!$E$13+1,1))-AVERAGE(OFFSET($H$3,0,0,'Données projet'!$E$13+1,1))</f>
        <v>354.24684313982857</v>
      </c>
      <c r="CZ33" s="62">
        <f t="shared" si="42"/>
        <v>322.65043486962185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27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109.02969257142863</v>
      </c>
      <c r="P34" s="14">
        <f t="shared" si="33"/>
        <v>29.102254822181546</v>
      </c>
      <c r="Q34" s="22">
        <f t="shared" si="2"/>
        <v>240.57980837720436</v>
      </c>
      <c r="R34" s="62">
        <f t="shared" si="0"/>
        <v>533.91314171053773</v>
      </c>
      <c r="S34" s="62">
        <f ca="1">AVERAGE(OFFSET($R$3,0,0,'Données projet'!$E$9+1,1))-AVERAGE(OFFSET($H$3,0,0,'Données projet'!$E$9+1,1))</f>
        <v>581.88778927327667</v>
      </c>
      <c r="T34" s="62">
        <f t="shared" si="34"/>
        <v>269.67340993773422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</v>
      </c>
      <c r="AI34" s="14">
        <f>IF('Données projet'!$A$62&gt;35,AI33+AH34-AQ33,IF(A34&lt;'Données projet'!$A$62,$AF$205^A34,IF(A34='Données projet'!$A$62,'Données projet'!$B$62,AI33+AH34-AQ33)))</f>
        <v>124</v>
      </c>
      <c r="AJ34" s="14">
        <f>AI34*VLOOKUP('Données projet'!$B$10,Paramètres!$A$1:$I$89,3,0)*VLOOKUP('Données projet'!$B$10,Paramètres!$A$1:$I$89,5,0)</f>
        <v>117.9984</v>
      </c>
      <c r="AK34" s="14">
        <f t="shared" si="35"/>
        <v>31.207702928571202</v>
      </c>
      <c r="AL34" s="22">
        <f t="shared" si="4"/>
        <v>259.86729593392812</v>
      </c>
      <c r="AM34" s="62">
        <f t="shared" si="5"/>
        <v>553.20062926726143</v>
      </c>
      <c r="AN34" s="62">
        <f ca="1">AVERAGE(OFFSET($AM$3,0,0,'Données projet'!$E$10+1,1))-AVERAGE(OFFSET($H$3,0,0,'Données projet'!$E$10+1,1))</f>
        <v>444.81608506581125</v>
      </c>
      <c r="AO34" s="62">
        <f t="shared" si="36"/>
        <v>306.75289431725565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3.887142857142857</v>
      </c>
      <c r="BD34" s="13">
        <f>IF('Données projet'!$A$88&gt;35,BD33+BC34-BL33,IF(A34&lt;'Données projet'!$A$88,$BA$205^A34,IF(A34='Données projet'!$A$88,'Données projet'!$B$88,BD33+BC34-BL33)))</f>
        <v>120.50142857142862</v>
      </c>
      <c r="BE34" s="14">
        <f>BD34*VLOOKUP('Données projet'!$B$11,Paramètres!$A$1:$I$89,3,0)*VLOOKUP('Données projet'!$B$11,Paramètres!$A$1:$I$89,5,0)</f>
        <v>129.70773771428577</v>
      </c>
      <c r="BF34" s="14">
        <f t="shared" si="37"/>
        <v>33.928817255461865</v>
      </c>
      <c r="BG34" s="22">
        <f t="shared" si="7"/>
        <v>285.00033323897713</v>
      </c>
      <c r="BH34" s="62">
        <f t="shared" si="8"/>
        <v>578.33366657231045</v>
      </c>
      <c r="BI34" s="62">
        <f ca="1">AVERAGE(OFFSET($BH$3,0,0,'Données projet'!$E$11+1,1))-AVERAGE(OFFSET($H$3,0,0,'Données projet'!$E$11+1,1))</f>
        <v>683.36974161977764</v>
      </c>
      <c r="BJ34" s="62">
        <f t="shared" si="38"/>
        <v>312.6921234697457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3.887142857142857</v>
      </c>
      <c r="BY34" s="13">
        <f>IF('Données projet'!$A$114&gt;35,BY33+BX34-CG33,IF(A34&lt;'Données projet'!$A$114,$BV$205^A34,IF(A34='Données projet'!$A$114,'Données projet'!$B$114,BY33+BX34-CG33)))</f>
        <v>120.50142857142862</v>
      </c>
      <c r="BZ34" s="14">
        <f>BY34*VLOOKUP('Données projet'!$B$12,Paramètres!$A$1:$I$89,3,0)*VLOOKUP('Données projet'!$B$12,Paramètres!$A$1:$I$89,5,0)</f>
        <v>116.54898171428576</v>
      </c>
      <c r="CA34" s="14">
        <f t="shared" si="39"/>
        <v>30.868744124880426</v>
      </c>
      <c r="CB34" s="22">
        <f t="shared" si="10"/>
        <v>256.75253916988112</v>
      </c>
      <c r="CC34" s="62">
        <f t="shared" si="11"/>
        <v>550.08587250321443</v>
      </c>
      <c r="CD34" s="62">
        <f ca="1">AVERAGE(OFFSET($CC$3,0,0,'Données projet'!$E$12+1,1))-AVERAGE(OFFSET($H$3,0,0,'Données projet'!$E$12+1,1))</f>
        <v>618.83149423524605</v>
      </c>
      <c r="CE34" s="62">
        <f t="shared" si="40"/>
        <v>285.33582535802435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9.1999999999999993</v>
      </c>
      <c r="CT34" s="13">
        <f>IF('Données projet'!$A$140&gt;35,CT33+CS34-DB33,IF(A34&lt;'Données projet'!$A$140,$CQ$205^A34,IF(A34='Données projet'!$A$140,'Données projet'!$B$140,CT33+CS34-DB33)))</f>
        <v>131.20000000000002</v>
      </c>
      <c r="CU34" s="18">
        <f>CT34*VLOOKUP('Données projet'!$B$13,Paramètres!$A$1:$I$89,3,0)*VLOOKUP('Données projet'!$B$13,Paramètres!$A$1:$I$89,5,0)</f>
        <v>114.61632000000004</v>
      </c>
      <c r="CV34" s="14">
        <f t="shared" si="41"/>
        <v>30.416009647934409</v>
      </c>
      <c r="CW34" s="22">
        <f t="shared" si="13"/>
        <v>252.59797413681915</v>
      </c>
      <c r="CX34" s="62">
        <f t="shared" si="14"/>
        <v>545.93130747015243</v>
      </c>
      <c r="CY34" s="62">
        <f ca="1">AVERAGE(OFFSET($CX$3,0,0,'Données projet'!$E$13+1,1))-AVERAGE(OFFSET($H$3,0,0,'Données projet'!$E$13+1,1))</f>
        <v>354.24684313982857</v>
      </c>
      <c r="CZ34" s="62">
        <f t="shared" si="42"/>
        <v>322.65043486962185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112.54677942857147</v>
      </c>
      <c r="P35" s="14">
        <f t="shared" si="33"/>
        <v>29.930224010130704</v>
      </c>
      <c r="Q35" s="22">
        <f t="shared" ref="Q35:Q66" si="53">(O35+P35)*0.475*44/12</f>
        <v>248.14744765573963</v>
      </c>
      <c r="R35" s="62">
        <f t="shared" si="0"/>
        <v>541.48078098907297</v>
      </c>
      <c r="S35" s="62">
        <f ca="1">AVERAGE(OFFSET($R$3,0,0,'Données projet'!$E$9+1,1))-AVERAGE(OFFSET($H$3,0,0,'Données projet'!$E$9+1,1))</f>
        <v>581.88778927327667</v>
      </c>
      <c r="T35" s="62">
        <f t="shared" si="34"/>
        <v>269.67340993773422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</v>
      </c>
      <c r="AI35" s="14">
        <f>IF('Données projet'!$A$62&gt;35,AI34+AH35-AQ34,IF(A35&lt;'Données projet'!$A$62,$AF$205^A35,IF(A35='Données projet'!$A$62,'Données projet'!$B$62,AI34+AH35-AQ34)))</f>
        <v>136</v>
      </c>
      <c r="AJ35" s="14">
        <f>AI35*VLOOKUP('Données projet'!$B$10,Paramètres!$A$1:$I$89,3,0)*VLOOKUP('Données projet'!$B$10,Paramètres!$A$1:$I$89,5,0)</f>
        <v>129.41759999999999</v>
      </c>
      <c r="AK35" s="14">
        <f t="shared" si="35"/>
        <v>33.861748644709095</v>
      </c>
      <c r="AL35" s="22">
        <f t="shared" si="4"/>
        <v>284.37819888953499</v>
      </c>
      <c r="AM35" s="62">
        <f t="shared" si="5"/>
        <v>577.7115322228683</v>
      </c>
      <c r="AN35" s="62">
        <f ca="1">AVERAGE(OFFSET($AM$3,0,0,'Données projet'!$E$10+1,1))-AVERAGE(OFFSET($H$3,0,0,'Données projet'!$E$10+1,1))</f>
        <v>444.81608506581125</v>
      </c>
      <c r="AO35" s="62">
        <f t="shared" si="36"/>
        <v>306.75289431725565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3.887142857142857</v>
      </c>
      <c r="BD35" s="13">
        <f>IF('Données projet'!$A$88&gt;35,BD34+BC35-BL34,IF(A35&lt;'Données projet'!$A$88,$BA$205^A35,IF(A35='Données projet'!$A$88,'Données projet'!$B$88,BD34+BC35-BL34)))</f>
        <v>124.38857142857148</v>
      </c>
      <c r="BE35" s="14">
        <f>BD35*VLOOKUP('Données projet'!$B$11,Paramètres!$A$1:$I$89,3,0)*VLOOKUP('Données projet'!$B$11,Paramètres!$A$1:$I$89,5,0)</f>
        <v>133.89185828571433</v>
      </c>
      <c r="BF35" s="14">
        <f t="shared" si="37"/>
        <v>34.89410380946687</v>
      </c>
      <c r="BG35" s="22">
        <f t="shared" si="7"/>
        <v>293.96888398244056</v>
      </c>
      <c r="BH35" s="62">
        <f t="shared" si="8"/>
        <v>587.30221731577387</v>
      </c>
      <c r="BI35" s="62">
        <f ca="1">AVERAGE(OFFSET($BH$3,0,0,'Données projet'!$E$11+1,1))-AVERAGE(OFFSET($H$3,0,0,'Données projet'!$E$11+1,1))</f>
        <v>683.36974161977764</v>
      </c>
      <c r="BJ35" s="62">
        <f t="shared" si="38"/>
        <v>312.6921234697457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3.887142857142857</v>
      </c>
      <c r="BY35" s="13">
        <f>IF('Données projet'!$A$114&gt;35,BY34+BX35-CG34,IF(A35&lt;'Données projet'!$A$114,$BV$205^A35,IF(A35='Données projet'!$A$114,'Données projet'!$B$114,BY34+BX35-CG34)))</f>
        <v>124.38857142857148</v>
      </c>
      <c r="BZ35" s="14">
        <f>BY35*VLOOKUP('Données projet'!$B$12,Paramètres!$A$1:$I$89,3,0)*VLOOKUP('Données projet'!$B$12,Paramètres!$A$1:$I$89,5,0)</f>
        <v>120.30862628571434</v>
      </c>
      <c r="CA35" s="14">
        <f t="shared" si="39"/>
        <v>31.746970542807571</v>
      </c>
      <c r="CB35" s="22">
        <f t="shared" si="10"/>
        <v>264.8301644763423</v>
      </c>
      <c r="CC35" s="62">
        <f t="shared" si="11"/>
        <v>558.16349780967562</v>
      </c>
      <c r="CD35" s="62">
        <f ca="1">AVERAGE(OFFSET($CC$3,0,0,'Données projet'!$E$12+1,1))-AVERAGE(OFFSET($H$3,0,0,'Données projet'!$E$12+1,1))</f>
        <v>618.83149423524605</v>
      </c>
      <c r="CE35" s="62">
        <f t="shared" si="40"/>
        <v>285.33582535802435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9.1999999999999993</v>
      </c>
      <c r="CT35" s="13">
        <f>IF('Données projet'!$A$140&gt;35,CT34+CS35-DB34,IF(A35&lt;'Données projet'!$A$140,$CQ$205^A35,IF(A35='Données projet'!$A$140,'Données projet'!$B$140,CT34+CS35-DB34)))</f>
        <v>140.4</v>
      </c>
      <c r="CU35" s="18">
        <f>CT35*VLOOKUP('Données projet'!$B$13,Paramètres!$A$1:$I$89,3,0)*VLOOKUP('Données projet'!$B$13,Paramètres!$A$1:$I$89,5,0)</f>
        <v>122.65344000000002</v>
      </c>
      <c r="CV35" s="14">
        <f t="shared" si="41"/>
        <v>32.293080640759037</v>
      </c>
      <c r="CW35" s="22">
        <f t="shared" si="13"/>
        <v>269.8651901159887</v>
      </c>
      <c r="CX35" s="62">
        <f t="shared" si="14"/>
        <v>563.19852344932201</v>
      </c>
      <c r="CY35" s="62">
        <f ca="1">AVERAGE(OFFSET($CX$3,0,0,'Données projet'!$E$13+1,1))-AVERAGE(OFFSET($H$3,0,0,'Données projet'!$E$13+1,1))</f>
        <v>354.24684313982857</v>
      </c>
      <c r="CZ35" s="62">
        <f t="shared" si="42"/>
        <v>322.65043486962185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116.06386628571434</v>
      </c>
      <c r="P36" s="14">
        <f t="shared" si="33"/>
        <v>30.755186414072718</v>
      </c>
      <c r="Q36" s="22">
        <f t="shared" si="53"/>
        <v>255.70985011879577</v>
      </c>
      <c r="R36" s="62">
        <f t="shared" si="0"/>
        <v>549.04318345212914</v>
      </c>
      <c r="S36" s="62">
        <f ca="1">AVERAGE(OFFSET($R$3,0,0,'Données projet'!$E$9+1,1))-AVERAGE(OFFSET($H$3,0,0,'Données projet'!$E$9+1,1))</f>
        <v>581.88778927327667</v>
      </c>
      <c r="T36" s="62">
        <f t="shared" si="34"/>
        <v>269.67340993773422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</v>
      </c>
      <c r="AI36" s="14">
        <f>IF('Données projet'!$A$62&gt;35,AI35+AH36-AQ35,IF(A36&lt;'Données projet'!$A$62,$AF$205^A36,IF(A36='Données projet'!$A$62,'Données projet'!$B$62,AI35+AH36-AQ35)))</f>
        <v>148</v>
      </c>
      <c r="AJ36" s="14">
        <f>AI36*VLOOKUP('Données projet'!$B$10,Paramètres!$A$1:$I$89,3,0)*VLOOKUP('Données projet'!$B$10,Paramètres!$A$1:$I$89,5,0)</f>
        <v>140.83680000000001</v>
      </c>
      <c r="AK36" s="14">
        <f t="shared" si="35"/>
        <v>36.48863808581752</v>
      </c>
      <c r="AL36" s="22">
        <f t="shared" si="4"/>
        <v>308.84180466613213</v>
      </c>
      <c r="AM36" s="62">
        <f t="shared" si="5"/>
        <v>602.17513799946551</v>
      </c>
      <c r="AN36" s="62">
        <f ca="1">AVERAGE(OFFSET($AM$3,0,0,'Données projet'!$E$10+1,1))-AVERAGE(OFFSET($H$3,0,0,'Données projet'!$E$10+1,1))</f>
        <v>444.81608506581125</v>
      </c>
      <c r="AO36" s="62">
        <f t="shared" si="36"/>
        <v>306.75289431725565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3.887142857142857</v>
      </c>
      <c r="BD36" s="13">
        <f>IF('Données projet'!$A$88&gt;35,BD35+BC36-BL35,IF(A36&lt;'Données projet'!$A$88,$BA$205^A36,IF(A36='Données projet'!$A$88,'Données projet'!$B$88,BD35+BC36-BL35)))</f>
        <v>128.27571428571434</v>
      </c>
      <c r="BE36" s="14">
        <f>BD36*VLOOKUP('Données projet'!$B$11,Paramètres!$A$1:$I$89,3,0)*VLOOKUP('Données projet'!$B$11,Paramètres!$A$1:$I$89,5,0)</f>
        <v>138.0759788571429</v>
      </c>
      <c r="BF36" s="14">
        <f t="shared" si="37"/>
        <v>35.855884909144457</v>
      </c>
      <c r="BG36" s="22">
        <f t="shared" si="7"/>
        <v>302.93132939295043</v>
      </c>
      <c r="BH36" s="62">
        <f t="shared" si="8"/>
        <v>596.26466272628375</v>
      </c>
      <c r="BI36" s="62">
        <f ca="1">AVERAGE(OFFSET($BH$3,0,0,'Données projet'!$E$11+1,1))-AVERAGE(OFFSET($H$3,0,0,'Données projet'!$E$11+1,1))</f>
        <v>683.36974161977764</v>
      </c>
      <c r="BJ36" s="62">
        <f t="shared" si="38"/>
        <v>312.6921234697457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3.887142857142857</v>
      </c>
      <c r="BY36" s="13">
        <f>IF('Données projet'!$A$114&gt;35,BY35+BX36-CG35,IF(A36&lt;'Données projet'!$A$114,$BV$205^A36,IF(A36='Données projet'!$A$114,'Données projet'!$B$114,BY35+BX36-CG35)))</f>
        <v>128.27571428571434</v>
      </c>
      <c r="BZ36" s="14">
        <f>BY36*VLOOKUP('Données projet'!$B$12,Paramètres!$A$1:$I$89,3,0)*VLOOKUP('Données projet'!$B$12,Paramètres!$A$1:$I$89,5,0)</f>
        <v>124.06827085714291</v>
      </c>
      <c r="CA36" s="14">
        <f t="shared" si="39"/>
        <v>32.622007666753092</v>
      </c>
      <c r="CB36" s="22">
        <f t="shared" si="10"/>
        <v>272.9022350957855</v>
      </c>
      <c r="CC36" s="62">
        <f t="shared" si="11"/>
        <v>566.23556842911876</v>
      </c>
      <c r="CD36" s="62">
        <f ca="1">AVERAGE(OFFSET($CC$3,0,0,'Données projet'!$E$12+1,1))-AVERAGE(OFFSET($H$3,0,0,'Données projet'!$E$12+1,1))</f>
        <v>618.83149423524605</v>
      </c>
      <c r="CE36" s="62">
        <f t="shared" si="40"/>
        <v>285.33582535802435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9.1999999999999993</v>
      </c>
      <c r="CT36" s="13">
        <f>IF('Données projet'!$A$140&gt;35,CT35+CS36-DB35,IF(A36&lt;'Données projet'!$A$140,$CQ$205^A36,IF(A36='Données projet'!$A$140,'Données projet'!$B$140,CT35+CS36-DB35)))</f>
        <v>149.6</v>
      </c>
      <c r="CU36" s="18">
        <f>CT36*VLOOKUP('Données projet'!$B$13,Paramètres!$A$1:$I$89,3,0)*VLOOKUP('Données projet'!$B$13,Paramètres!$A$1:$I$89,5,0)</f>
        <v>130.69056000000003</v>
      </c>
      <c r="CV36" s="14">
        <f t="shared" si="41"/>
        <v>34.155878238422723</v>
      </c>
      <c r="CW36" s="22">
        <f t="shared" si="13"/>
        <v>287.10754659858628</v>
      </c>
      <c r="CX36" s="62">
        <f t="shared" si="14"/>
        <v>580.44087993191965</v>
      </c>
      <c r="CY36" s="62">
        <f ca="1">AVERAGE(OFFSET($CX$3,0,0,'Données projet'!$E$13+1,1))-AVERAGE(OFFSET($H$3,0,0,'Données projet'!$E$13+1,1))</f>
        <v>354.24684313982857</v>
      </c>
      <c r="CZ36" s="62">
        <f t="shared" si="42"/>
        <v>322.65043486962185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119.58095314285718</v>
      </c>
      <c r="P37" s="14">
        <f t="shared" si="33"/>
        <v>31.577243606763055</v>
      </c>
      <c r="Q37" s="22">
        <f t="shared" si="53"/>
        <v>263.26719267225525</v>
      </c>
      <c r="R37" s="62">
        <f t="shared" si="0"/>
        <v>556.60052600558856</v>
      </c>
      <c r="S37" s="62">
        <f ca="1">AVERAGE(OFFSET($R$3,0,0,'Données projet'!$E$9+1,1))-AVERAGE(OFFSET($H$3,0,0,'Données projet'!$E$9+1,1))</f>
        <v>581.88778927327667</v>
      </c>
      <c r="T37" s="62">
        <f t="shared" si="34"/>
        <v>269.67340993773422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</v>
      </c>
      <c r="AI37" s="14">
        <f>IF('Données projet'!$A$62&gt;35,AI36+AH37-AQ36,IF(A37&lt;'Données projet'!$A$62,$AF$205^A37,IF(A37='Données projet'!$A$62,'Données projet'!$B$62,AI36+AH37-AQ36)))</f>
        <v>160</v>
      </c>
      <c r="AJ37" s="14">
        <f>AI37*VLOOKUP('Données projet'!$B$10,Paramètres!$A$1:$I$89,3,0)*VLOOKUP('Données projet'!$B$10,Paramètres!$A$1:$I$89,5,0)</f>
        <v>152.256</v>
      </c>
      <c r="AK37" s="14">
        <f t="shared" si="35"/>
        <v>39.090823441353066</v>
      </c>
      <c r="AL37" s="22">
        <f t="shared" si="4"/>
        <v>333.26238416035659</v>
      </c>
      <c r="AM37" s="62">
        <f t="shared" si="5"/>
        <v>626.5957174936899</v>
      </c>
      <c r="AN37" s="62">
        <f ca="1">AVERAGE(OFFSET($AM$3,0,0,'Données projet'!$E$10+1,1))-AVERAGE(OFFSET($H$3,0,0,'Données projet'!$E$10+1,1))</f>
        <v>444.81608506581125</v>
      </c>
      <c r="AO37" s="62">
        <f t="shared" si="36"/>
        <v>306.75289431725565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3.887142857142857</v>
      </c>
      <c r="BD37" s="13">
        <f>IF('Données projet'!$A$88&gt;35,BD36+BC37-BL36,IF(A37&lt;'Données projet'!$A$88,$BA$205^A37,IF(A37='Données projet'!$A$88,'Données projet'!$B$88,BD36+BC37-BL36)))</f>
        <v>132.16285714285721</v>
      </c>
      <c r="BE37" s="14">
        <f>BD37*VLOOKUP('Données projet'!$B$11,Paramètres!$A$1:$I$89,3,0)*VLOOKUP('Données projet'!$B$11,Paramètres!$A$1:$I$89,5,0)</f>
        <v>142.26009942857149</v>
      </c>
      <c r="BF37" s="14">
        <f t="shared" si="37"/>
        <v>36.814278972929188</v>
      </c>
      <c r="BG37" s="22">
        <f t="shared" si="7"/>
        <v>311.88787571594702</v>
      </c>
      <c r="BH37" s="62">
        <f t="shared" si="8"/>
        <v>605.22120904928033</v>
      </c>
      <c r="BI37" s="62">
        <f ca="1">AVERAGE(OFFSET($BH$3,0,0,'Données projet'!$E$11+1,1))-AVERAGE(OFFSET($H$3,0,0,'Données projet'!$E$11+1,1))</f>
        <v>683.36974161977764</v>
      </c>
      <c r="BJ37" s="62">
        <f t="shared" si="38"/>
        <v>312.6921234697457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3.887142857142857</v>
      </c>
      <c r="BY37" s="13">
        <f>IF('Données projet'!$A$114&gt;35,BY36+BX37-CG36,IF(A37&lt;'Données projet'!$A$114,$BV$205^A37,IF(A37='Données projet'!$A$114,'Données projet'!$B$114,BY36+BX37-CG36)))</f>
        <v>132.16285714285721</v>
      </c>
      <c r="BZ37" s="14">
        <f>BY37*VLOOKUP('Données projet'!$B$12,Paramètres!$A$1:$I$89,3,0)*VLOOKUP('Données projet'!$B$12,Paramètres!$A$1:$I$89,5,0)</f>
        <v>127.8279154285715</v>
      </c>
      <c r="CA37" s="14">
        <f t="shared" si="39"/>
        <v>33.493963234877462</v>
      </c>
      <c r="CB37" s="22">
        <f t="shared" si="10"/>
        <v>280.96893867217358</v>
      </c>
      <c r="CC37" s="62">
        <f t="shared" si="11"/>
        <v>574.30227200550689</v>
      </c>
      <c r="CD37" s="62">
        <f ca="1">AVERAGE(OFFSET($CC$3,0,0,'Données projet'!$E$12+1,1))-AVERAGE(OFFSET($H$3,0,0,'Données projet'!$E$12+1,1))</f>
        <v>618.83149423524605</v>
      </c>
      <c r="CE37" s="62">
        <f t="shared" si="40"/>
        <v>285.33582535802435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9.1999999999999993</v>
      </c>
      <c r="CT37" s="13">
        <f>IF('Données projet'!$A$140&gt;35,CT36+CS37-DB36,IF(A37&lt;'Données projet'!$A$140,$CQ$205^A37,IF(A37='Données projet'!$A$140,'Données projet'!$B$140,CT36+CS37-DB36)))</f>
        <v>158.79999999999998</v>
      </c>
      <c r="CU37" s="18">
        <f>CT37*VLOOKUP('Données projet'!$B$13,Paramètres!$A$1:$I$89,3,0)*VLOOKUP('Données projet'!$B$13,Paramètres!$A$1:$I$89,5,0)</f>
        <v>138.72767999999999</v>
      </c>
      <c r="CV37" s="14">
        <f t="shared" si="41"/>
        <v>36.005380160492741</v>
      </c>
      <c r="CW37" s="22">
        <f t="shared" si="13"/>
        <v>304.32674644619152</v>
      </c>
      <c r="CX37" s="62">
        <f t="shared" si="14"/>
        <v>597.66007977952484</v>
      </c>
      <c r="CY37" s="62">
        <f ca="1">AVERAGE(OFFSET($CX$3,0,0,'Données projet'!$E$13+1,1))-AVERAGE(OFFSET($H$3,0,0,'Données projet'!$E$13+1,1))</f>
        <v>354.24684313982857</v>
      </c>
      <c r="CZ37" s="62">
        <f t="shared" si="42"/>
        <v>322.65043486962185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123.09804000000005</v>
      </c>
      <c r="P38" s="14">
        <f t="shared" si="33"/>
        <v>32.396490846405321</v>
      </c>
      <c r="Q38" s="22">
        <f t="shared" si="53"/>
        <v>270.81964122415599</v>
      </c>
      <c r="R38" s="62">
        <f t="shared" si="0"/>
        <v>564.1529745574893</v>
      </c>
      <c r="S38" s="62">
        <f ca="1">AVERAGE(OFFSET($R$3,0,0,'Données projet'!$E$9+1,1))-AVERAGE(OFFSET($H$3,0,0,'Données projet'!$E$9+1,1))</f>
        <v>581.88778927327667</v>
      </c>
      <c r="T38" s="62">
        <f t="shared" si="34"/>
        <v>269.67340993773422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</v>
      </c>
      <c r="AG38" s="13">
        <f>VLOOKUP(A38,'Données projet'!$A$61:$I$81,9,0)</f>
        <v>12</v>
      </c>
      <c r="AH38" s="13">
        <f t="array" ref="AH38">INDEX(AG:AG,MIN(IF(ISNUMBER(AG38:AG234),ROW(AG38:AG234),"")))</f>
        <v>12</v>
      </c>
      <c r="AI38" s="14">
        <f>IF('Données projet'!$A$62&gt;35,AI37+AH38-AQ37,IF(A38&lt;'Données projet'!$A$62,$AF$205^A38,IF(A38='Données projet'!$A$62,'Données projet'!$B$62,AI37+AH38-AQ37)))</f>
        <v>172</v>
      </c>
      <c r="AJ38" s="14">
        <f>AI38*VLOOKUP('Données projet'!$B$10,Paramètres!$A$1:$I$89,3,0)*VLOOKUP('Données projet'!$B$10,Paramètres!$A$1:$I$89,5,0)</f>
        <v>163.67520000000002</v>
      </c>
      <c r="AK38" s="14">
        <f t="shared" si="35"/>
        <v>41.670368197291587</v>
      </c>
      <c r="AL38" s="22">
        <f t="shared" si="4"/>
        <v>357.64353127694955</v>
      </c>
      <c r="AM38" s="62">
        <f t="shared" si="5"/>
        <v>650.97686461028286</v>
      </c>
      <c r="AN38" s="62">
        <f ca="1">AVERAGE(OFFSET($AM$3,0,0,'Données projet'!$E$10+1,1))-AVERAGE(OFFSET($H$3,0,0,'Données projet'!$E$10+1,1))</f>
        <v>444.81608506581125</v>
      </c>
      <c r="AO38" s="62">
        <f t="shared" si="36"/>
        <v>306.75289431725565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22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1.9903189401054469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1.9903189401054469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3.887142857142857</v>
      </c>
      <c r="BD38" s="13">
        <f>IF('Données projet'!$A$88&gt;35,BD37+BC38-BL37,IF(A38&lt;'Données projet'!$A$88,$BA$205^A38,IF(A38='Données projet'!$A$88,'Données projet'!$B$88,BD37+BC38-BL37)))</f>
        <v>136.05000000000007</v>
      </c>
      <c r="BE38" s="14">
        <f>BD38*VLOOKUP('Données projet'!$B$11,Paramètres!$A$1:$I$89,3,0)*VLOOKUP('Données projet'!$B$11,Paramètres!$A$1:$I$89,5,0)</f>
        <v>146.44422000000006</v>
      </c>
      <c r="BF38" s="14">
        <f t="shared" si="37"/>
        <v>37.769397057445374</v>
      </c>
      <c r="BG38" s="22">
        <f t="shared" si="7"/>
        <v>320.83871637505081</v>
      </c>
      <c r="BH38" s="62">
        <f t="shared" si="8"/>
        <v>614.17204970838407</v>
      </c>
      <c r="BI38" s="62">
        <f ca="1">AVERAGE(OFFSET($BH$3,0,0,'Données projet'!$E$11+1,1))-AVERAGE(OFFSET($H$3,0,0,'Données projet'!$E$11+1,1))</f>
        <v>683.36974161977764</v>
      </c>
      <c r="BJ38" s="62">
        <f t="shared" si="38"/>
        <v>312.6921234697457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3.887142857142857</v>
      </c>
      <c r="BY38" s="13">
        <f>IF('Données projet'!$A$114&gt;35,BY37+BX38-CG37,IF(A38&lt;'Données projet'!$A$114,$BV$205^A38,IF(A38='Données projet'!$A$114,'Données projet'!$B$114,BY37+BX38-CG37)))</f>
        <v>136.05000000000007</v>
      </c>
      <c r="BZ38" s="14">
        <f>BY38*VLOOKUP('Données projet'!$B$12,Paramètres!$A$1:$I$89,3,0)*VLOOKUP('Données projet'!$B$12,Paramètres!$A$1:$I$89,5,0)</f>
        <v>131.58756000000008</v>
      </c>
      <c r="CA38" s="14">
        <f t="shared" si="39"/>
        <v>34.362938287499752</v>
      </c>
      <c r="CB38" s="22">
        <f t="shared" si="10"/>
        <v>289.0304511840622</v>
      </c>
      <c r="CC38" s="62">
        <f t="shared" si="11"/>
        <v>582.36378451739552</v>
      </c>
      <c r="CD38" s="62">
        <f ca="1">AVERAGE(OFFSET($CC$3,0,0,'Données projet'!$E$12+1,1))-AVERAGE(OFFSET($H$3,0,0,'Données projet'!$E$12+1,1))</f>
        <v>618.83149423524605</v>
      </c>
      <c r="CE38" s="62">
        <f t="shared" si="40"/>
        <v>285.33582535802435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168</v>
      </c>
      <c r="CR38" s="13">
        <f>VLOOKUP(A38,'Données projet'!$A$139:$I$159,9,0)</f>
        <v>9.1999999999999993</v>
      </c>
      <c r="CS38" s="13">
        <f t="array" ref="CS38">INDEX(CR:CR,MIN(IF(ISNUMBER(CR38:CR234),ROW(CR38:CR234),"")))</f>
        <v>9.1999999999999993</v>
      </c>
      <c r="CT38" s="13">
        <f>IF('Données projet'!$A$140&gt;35,CT37+CS38-DB37,IF(A38&lt;'Données projet'!$A$140,$CQ$205^A38,IF(A38='Données projet'!$A$140,'Données projet'!$B$140,CT37+CS38-DB37)))</f>
        <v>167.99999999999997</v>
      </c>
      <c r="CU38" s="18">
        <f>CT38*VLOOKUP('Données projet'!$B$13,Paramètres!$A$1:$I$89,3,0)*VLOOKUP('Données projet'!$B$13,Paramètres!$A$1:$I$89,5,0)</f>
        <v>146.76480000000001</v>
      </c>
      <c r="CV38" s="14">
        <f t="shared" si="41"/>
        <v>37.842444439956665</v>
      </c>
      <c r="CW38" s="22">
        <f t="shared" si="13"/>
        <v>321.52428406625785</v>
      </c>
      <c r="CX38" s="62">
        <f t="shared" si="14"/>
        <v>614.85761739959116</v>
      </c>
      <c r="CY38" s="62">
        <f ca="1">AVERAGE(OFFSET($CX$3,0,0,'Données projet'!$E$13+1,1))-AVERAGE(OFFSET($H$3,0,0,'Données projet'!$E$13+1,1))</f>
        <v>354.24684313982857</v>
      </c>
      <c r="CZ38" s="62">
        <f t="shared" si="42"/>
        <v>322.65043486962185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27</v>
      </c>
      <c r="DC38" s="17">
        <f>IF(ISNA(VLOOKUP(A38,'Données projet'!$A$139:$I$159,5,0)),0%,VLOOKUP(A38,'Données projet'!$A$139:$I$159,5,0)*VLOOKUP('Données projet'!$B$13,Paramètres!$A$1:$I$89,7,0))</f>
        <v>8.6000000000000007E-2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2.2424457805062863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2.2424457805062863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126.61512685714293</v>
      </c>
      <c r="P39" s="14">
        <f t="shared" si="33"/>
        <v>33.213017638275041</v>
      </c>
      <c r="Q39" s="22">
        <f t="shared" si="53"/>
        <v>278.36735166285297</v>
      </c>
      <c r="R39" s="62">
        <f t="shared" si="0"/>
        <v>571.70068499618628</v>
      </c>
      <c r="S39" s="62">
        <f ca="1">AVERAGE(OFFSET($R$3,0,0,'Données projet'!$E$9+1,1))-AVERAGE(OFFSET($H$3,0,0,'Données projet'!$E$9+1,1))</f>
        <v>581.88778927327667</v>
      </c>
      <c r="T39" s="62">
        <f t="shared" si="34"/>
        <v>269.67340993773422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10.4</v>
      </c>
      <c r="AI39" s="14">
        <f>IF('Données projet'!$A$62&gt;35,AI38+AH39-AQ38,IF(A39&lt;'Données projet'!$A$62,$AF$205^A39,IF(A39='Données projet'!$A$62,'Données projet'!$B$62,AI38+AH39-AQ38)))</f>
        <v>160.4</v>
      </c>
      <c r="AJ39" s="14">
        <f>AI39*VLOOKUP('Données projet'!$B$10,Paramètres!$A$1:$I$89,3,0)*VLOOKUP('Données projet'!$B$10,Paramètres!$A$1:$I$89,5,0)</f>
        <v>152.63664000000003</v>
      </c>
      <c r="AK39" s="14">
        <f t="shared" si="35"/>
        <v>39.177162517846426</v>
      </c>
      <c r="AL39" s="22">
        <f t="shared" si="4"/>
        <v>334.07570605191592</v>
      </c>
      <c r="AM39" s="62">
        <f t="shared" si="5"/>
        <v>627.40903938524923</v>
      </c>
      <c r="AN39" s="62">
        <f ca="1">AVERAGE(OFFSET($AM$3,0,0,'Données projet'!$E$10+1,1))-AVERAGE(OFFSET($H$3,0,0,'Données projet'!$E$10+1,1))</f>
        <v>444.81608506581125</v>
      </c>
      <c r="AO39" s="62">
        <f t="shared" si="36"/>
        <v>306.75289431725565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1.9512899996646624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1.9512899996646624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3.887142857142857</v>
      </c>
      <c r="BD39" s="13">
        <f>IF('Données projet'!$A$88&gt;35,BD38+BC39-BL38,IF(A39&lt;'Données projet'!$A$88,$BA$205^A39,IF(A39='Données projet'!$A$88,'Données projet'!$B$88,BD38+BC39-BL38)))</f>
        <v>139.93714285714293</v>
      </c>
      <c r="BE39" s="14">
        <f>BD39*VLOOKUP('Données projet'!$B$11,Paramètres!$A$1:$I$89,3,0)*VLOOKUP('Données projet'!$B$11,Paramètres!$A$1:$I$89,5,0)</f>
        <v>150.62834057142865</v>
      </c>
      <c r="BF39" s="14">
        <f t="shared" si="37"/>
        <v>38.721343512275389</v>
      </c>
      <c r="BG39" s="22">
        <f t="shared" si="7"/>
        <v>329.78403311245114</v>
      </c>
      <c r="BH39" s="62">
        <f t="shared" si="8"/>
        <v>623.11736644578446</v>
      </c>
      <c r="BI39" s="62">
        <f ca="1">AVERAGE(OFFSET($BH$3,0,0,'Données projet'!$E$11+1,1))-AVERAGE(OFFSET($H$3,0,0,'Données projet'!$E$11+1,1))</f>
        <v>683.36974161977764</v>
      </c>
      <c r="BJ39" s="62">
        <f t="shared" si="38"/>
        <v>312.6921234697457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3.887142857142857</v>
      </c>
      <c r="BY39" s="13">
        <f>IF('Données projet'!$A$114&gt;35,BY38+BX39-CG38,IF(A39&lt;'Données projet'!$A$114,$BV$205^A39,IF(A39='Données projet'!$A$114,'Données projet'!$B$114,BY38+BX39-CG38)))</f>
        <v>139.93714285714293</v>
      </c>
      <c r="BZ39" s="14">
        <f>BY39*VLOOKUP('Données projet'!$B$12,Paramètres!$A$1:$I$89,3,0)*VLOOKUP('Données projet'!$B$12,Paramètres!$A$1:$I$89,5,0)</f>
        <v>135.34720457142865</v>
      </c>
      <c r="CA39" s="14">
        <f t="shared" si="39"/>
        <v>35.229027762811612</v>
      </c>
      <c r="CB39" s="22">
        <f t="shared" si="10"/>
        <v>297.08693798213511</v>
      </c>
      <c r="CC39" s="62">
        <f t="shared" si="11"/>
        <v>590.42027131546843</v>
      </c>
      <c r="CD39" s="62">
        <f ca="1">AVERAGE(OFFSET($CC$3,0,0,'Données projet'!$E$12+1,1))-AVERAGE(OFFSET($H$3,0,0,'Données projet'!$E$12+1,1))</f>
        <v>618.83149423524605</v>
      </c>
      <c r="CE39" s="62">
        <f t="shared" si="40"/>
        <v>285.33582535802435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8.8000000000000007</v>
      </c>
      <c r="CT39" s="13">
        <f>IF('Données projet'!$A$140&gt;35,CT38+CS39-DB38,IF(A39&lt;'Données projet'!$A$140,$CQ$205^A39,IF(A39='Données projet'!$A$140,'Données projet'!$B$140,CT38+CS39-DB38)))</f>
        <v>149.79999999999998</v>
      </c>
      <c r="CU39" s="18">
        <f>CT39*VLOOKUP('Données projet'!$B$13,Paramètres!$A$1:$I$89,3,0)*VLOOKUP('Données projet'!$B$13,Paramètres!$A$1:$I$89,5,0)</f>
        <v>130.86528000000001</v>
      </c>
      <c r="CV39" s="14">
        <f t="shared" si="41"/>
        <v>34.19622287336729</v>
      </c>
      <c r="CW39" s="22">
        <f t="shared" si="13"/>
        <v>287.48211750444801</v>
      </c>
      <c r="CX39" s="62">
        <f t="shared" si="14"/>
        <v>580.81545083778133</v>
      </c>
      <c r="CY39" s="62">
        <f ca="1">AVERAGE(OFFSET($CX$3,0,0,'Données projet'!$E$13+1,1))-AVERAGE(OFFSET($H$3,0,0,'Données projet'!$E$13+1,1))</f>
        <v>354.24684313982857</v>
      </c>
      <c r="CZ39" s="62">
        <f t="shared" si="42"/>
        <v>322.65043486962185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2.1984727865074292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2.1984727865074292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130.13221371428577</v>
      </c>
      <c r="P40" s="14">
        <f t="shared" si="33"/>
        <v>34.026908232186209</v>
      </c>
      <c r="Q40" s="22">
        <f t="shared" si="53"/>
        <v>285.91047072343866</v>
      </c>
      <c r="R40" s="62">
        <f t="shared" si="0"/>
        <v>579.24380405677198</v>
      </c>
      <c r="S40" s="62">
        <f ca="1">AVERAGE(OFFSET($R$3,0,0,'Données projet'!$E$9+1,1))-AVERAGE(OFFSET($H$3,0,0,'Données projet'!$E$9+1,1))</f>
        <v>581.88778927327667</v>
      </c>
      <c r="T40" s="62">
        <f t="shared" si="34"/>
        <v>269.67340993773422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10.4</v>
      </c>
      <c r="AI40" s="14">
        <f>IF('Données projet'!$A$62&gt;35,AI39+AH40-AQ39,IF(A40&lt;'Données projet'!$A$62,$AF$205^A40,IF(A40='Données projet'!$A$62,'Données projet'!$B$62,AI39+AH40-AQ39)))</f>
        <v>170.8</v>
      </c>
      <c r="AJ40" s="14">
        <f>AI40*VLOOKUP('Données projet'!$B$10,Paramètres!$A$1:$I$89,3,0)*VLOOKUP('Données projet'!$B$10,Paramètres!$A$1:$I$89,5,0)</f>
        <v>162.53328000000002</v>
      </c>
      <c r="AK40" s="14">
        <f t="shared" si="35"/>
        <v>41.413380335156035</v>
      </c>
      <c r="AL40" s="22">
        <f t="shared" si="4"/>
        <v>355.20710008373004</v>
      </c>
      <c r="AM40" s="62">
        <f t="shared" si="5"/>
        <v>648.54043341706335</v>
      </c>
      <c r="AN40" s="62">
        <f ca="1">AVERAGE(OFFSET($AM$3,0,0,'Données projet'!$E$10+1,1))-AVERAGE(OFFSET($H$3,0,0,'Données projet'!$E$10+1,1))</f>
        <v>444.81608506581125</v>
      </c>
      <c r="AO40" s="62">
        <f t="shared" si="36"/>
        <v>306.75289431725565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1.9130263929406188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1.9130263929406188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3.887142857142857</v>
      </c>
      <c r="BD40" s="13">
        <f>IF('Données projet'!$A$88&gt;35,BD39+BC40-BL39,IF(A40&lt;'Données projet'!$A$88,$BA$205^A40,IF(A40='Données projet'!$A$88,'Données projet'!$B$88,BD39+BC40-BL39)))</f>
        <v>143.82428571428579</v>
      </c>
      <c r="BE40" s="14">
        <f>BD40*VLOOKUP('Données projet'!$B$11,Paramètres!$A$1:$I$89,3,0)*VLOOKUP('Données projet'!$B$11,Paramètres!$A$1:$I$89,5,0)</f>
        <v>154.81246114285725</v>
      </c>
      <c r="BF40" s="14">
        <f t="shared" si="37"/>
        <v>39.670216559930267</v>
      </c>
      <c r="BG40" s="22">
        <f t="shared" si="7"/>
        <v>338.72399699902149</v>
      </c>
      <c r="BH40" s="62">
        <f t="shared" si="8"/>
        <v>632.05733033235481</v>
      </c>
      <c r="BI40" s="62">
        <f ca="1">AVERAGE(OFFSET($BH$3,0,0,'Données projet'!$E$11+1,1))-AVERAGE(OFFSET($H$3,0,0,'Données projet'!$E$11+1,1))</f>
        <v>683.36974161977764</v>
      </c>
      <c r="BJ40" s="62">
        <f t="shared" si="38"/>
        <v>312.6921234697457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3.887142857142857</v>
      </c>
      <c r="BY40" s="13">
        <f>IF('Données projet'!$A$114&gt;35,BY39+BX40-CG39,IF(A40&lt;'Données projet'!$A$114,$BV$205^A40,IF(A40='Données projet'!$A$114,'Données projet'!$B$114,BY39+BX40-CG39)))</f>
        <v>143.82428571428579</v>
      </c>
      <c r="BZ40" s="14">
        <f>BY40*VLOOKUP('Données projet'!$B$12,Paramètres!$A$1:$I$89,3,0)*VLOOKUP('Données projet'!$B$12,Paramètres!$A$1:$I$89,5,0)</f>
        <v>139.10684914285721</v>
      </c>
      <c r="CA40" s="14">
        <f t="shared" si="39"/>
        <v>36.092321024539963</v>
      </c>
      <c r="CB40" s="22">
        <f t="shared" si="10"/>
        <v>305.13855470821676</v>
      </c>
      <c r="CC40" s="62">
        <f t="shared" si="11"/>
        <v>598.47188804155007</v>
      </c>
      <c r="CD40" s="62">
        <f ca="1">AVERAGE(OFFSET($CC$3,0,0,'Données projet'!$E$12+1,1))-AVERAGE(OFFSET($H$3,0,0,'Données projet'!$E$12+1,1))</f>
        <v>618.83149423524605</v>
      </c>
      <c r="CE40" s="62">
        <f t="shared" si="40"/>
        <v>285.33582535802435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8.8000000000000007</v>
      </c>
      <c r="CT40" s="13">
        <f>IF('Données projet'!$A$140&gt;35,CT39+CS40-DB39,IF(A40&lt;'Données projet'!$A$140,$CQ$205^A40,IF(A40='Données projet'!$A$140,'Données projet'!$B$140,CT39+CS40-DB39)))</f>
        <v>158.6</v>
      </c>
      <c r="CU40" s="18">
        <f>CT40*VLOOKUP('Données projet'!$B$13,Paramètres!$A$1:$I$89,3,0)*VLOOKUP('Données projet'!$B$13,Paramètres!$A$1:$I$89,5,0)</f>
        <v>138.55296000000001</v>
      </c>
      <c r="CV40" s="14">
        <f t="shared" si="41"/>
        <v>35.965308766301796</v>
      </c>
      <c r="CW40" s="22">
        <f t="shared" si="13"/>
        <v>303.95265143464229</v>
      </c>
      <c r="CX40" s="62">
        <f t="shared" si="14"/>
        <v>597.28598476797561</v>
      </c>
      <c r="CY40" s="62">
        <f ca="1">AVERAGE(OFFSET($CX$3,0,0,'Données projet'!$E$13+1,1))-AVERAGE(OFFSET($H$3,0,0,'Données projet'!$E$13+1,1))</f>
        <v>354.24684313982857</v>
      </c>
      <c r="CZ40" s="62">
        <f t="shared" si="42"/>
        <v>322.65043486962185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2.1553620761000118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2.1553620761000118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133.64930057142865</v>
      </c>
      <c r="P41" s="14">
        <f t="shared" si="33"/>
        <v>34.8382420646657</v>
      </c>
      <c r="Q41" s="22">
        <f t="shared" si="53"/>
        <v>293.44913675786432</v>
      </c>
      <c r="R41" s="62">
        <f t="shared" si="0"/>
        <v>586.78247009119764</v>
      </c>
      <c r="S41" s="62">
        <f ca="1">AVERAGE(OFFSET($R$3,0,0,'Données projet'!$E$9+1,1))-AVERAGE(OFFSET($H$3,0,0,'Données projet'!$E$9+1,1))</f>
        <v>581.88778927327667</v>
      </c>
      <c r="T41" s="62">
        <f t="shared" si="34"/>
        <v>269.67340993773422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10.4</v>
      </c>
      <c r="AI41" s="14">
        <f>IF('Données projet'!$A$62&gt;35,AI40+AH41-AQ40,IF(A41&lt;'Données projet'!$A$62,$AF$205^A41,IF(A41='Données projet'!$A$62,'Données projet'!$B$62,AI40+AH41-AQ40)))</f>
        <v>181.20000000000002</v>
      </c>
      <c r="AJ41" s="14">
        <f>AI41*VLOOKUP('Données projet'!$B$10,Paramètres!$A$1:$I$89,3,0)*VLOOKUP('Données projet'!$B$10,Paramètres!$A$1:$I$89,5,0)</f>
        <v>172.42992000000001</v>
      </c>
      <c r="AK41" s="14">
        <f t="shared" si="35"/>
        <v>43.633794490192969</v>
      </c>
      <c r="AL41" s="22">
        <f t="shared" si="4"/>
        <v>376.31096940375278</v>
      </c>
      <c r="AM41" s="62">
        <f t="shared" si="5"/>
        <v>669.64430273708604</v>
      </c>
      <c r="AN41" s="62">
        <f ca="1">AVERAGE(OFFSET($AM$3,0,0,'Données projet'!$E$10+1,1))-AVERAGE(OFFSET($H$3,0,0,'Données projet'!$E$10+1,1))</f>
        <v>444.81608506581125</v>
      </c>
      <c r="AO41" s="62">
        <f t="shared" si="36"/>
        <v>306.75289431725565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1.8755131122059381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1.8755131122059381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3.887142857142857</v>
      </c>
      <c r="BD41" s="13">
        <f>IF('Données projet'!$A$88&gt;35,BD40+BC41-BL40,IF(A41&lt;'Données projet'!$A$88,$BA$205^A41,IF(A41='Données projet'!$A$88,'Données projet'!$B$88,BD40+BC41-BL40)))</f>
        <v>147.71142857142866</v>
      </c>
      <c r="BE41" s="14">
        <f>BD41*VLOOKUP('Données projet'!$B$11,Paramètres!$A$1:$I$89,3,0)*VLOOKUP('Données projet'!$B$11,Paramètres!$A$1:$I$89,5,0)</f>
        <v>158.99658171428578</v>
      </c>
      <c r="BF41" s="14">
        <f t="shared" si="37"/>
        <v>40.616108811357734</v>
      </c>
      <c r="BG41" s="22">
        <f t="shared" si="7"/>
        <v>347.65876933216242</v>
      </c>
      <c r="BH41" s="62">
        <f t="shared" si="8"/>
        <v>640.99210266549574</v>
      </c>
      <c r="BI41" s="62">
        <f ca="1">AVERAGE(OFFSET($BH$3,0,0,'Données projet'!$E$11+1,1))-AVERAGE(OFFSET($H$3,0,0,'Données projet'!$E$11+1,1))</f>
        <v>683.36974161977764</v>
      </c>
      <c r="BJ41" s="62">
        <f t="shared" si="38"/>
        <v>312.6921234697457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3.887142857142857</v>
      </c>
      <c r="BY41" s="13">
        <f>IF('Données projet'!$A$114&gt;35,BY40+BX41-CG40,IF(A41&lt;'Données projet'!$A$114,$BV$205^A41,IF(A41='Données projet'!$A$114,'Données projet'!$B$114,BY40+BX41-CG40)))</f>
        <v>147.71142857142866</v>
      </c>
      <c r="BZ41" s="14">
        <f>BY41*VLOOKUP('Données projet'!$B$12,Paramètres!$A$1:$I$89,3,0)*VLOOKUP('Données projet'!$B$12,Paramètres!$A$1:$I$89,5,0)</f>
        <v>142.86649371428578</v>
      </c>
      <c r="CA41" s="14">
        <f t="shared" si="39"/>
        <v>36.952902330960896</v>
      </c>
      <c r="CB41" s="22">
        <f t="shared" si="10"/>
        <v>313.18544811213798</v>
      </c>
      <c r="CC41" s="62">
        <f t="shared" si="11"/>
        <v>606.51878144547129</v>
      </c>
      <c r="CD41" s="62">
        <f ca="1">AVERAGE(OFFSET($CC$3,0,0,'Données projet'!$E$12+1,1))-AVERAGE(OFFSET($H$3,0,0,'Données projet'!$E$12+1,1))</f>
        <v>618.83149423524605</v>
      </c>
      <c r="CE41" s="62">
        <f t="shared" si="40"/>
        <v>285.33582535802435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8.8000000000000007</v>
      </c>
      <c r="CT41" s="13">
        <f>IF('Données projet'!$A$140&gt;35,CT40+CS41-DB40,IF(A41&lt;'Données projet'!$A$140,$CQ$205^A41,IF(A41='Données projet'!$A$140,'Données projet'!$B$140,CT40+CS41-DB40)))</f>
        <v>167.4</v>
      </c>
      <c r="CU41" s="18">
        <f>CT41*VLOOKUP('Données projet'!$B$13,Paramètres!$A$1:$I$89,3,0)*VLOOKUP('Données projet'!$B$13,Paramètres!$A$1:$I$89,5,0)</f>
        <v>146.24064000000001</v>
      </c>
      <c r="CV41" s="14">
        <f t="shared" si="41"/>
        <v>37.722999642090628</v>
      </c>
      <c r="CW41" s="22">
        <f t="shared" si="13"/>
        <v>320.40333904330788</v>
      </c>
      <c r="CX41" s="62">
        <f t="shared" si="14"/>
        <v>613.7366723766412</v>
      </c>
      <c r="CY41" s="62">
        <f ca="1">AVERAGE(OFFSET($CX$3,0,0,'Données projet'!$E$13+1,1))-AVERAGE(OFFSET($H$3,0,0,'Données projet'!$E$13+1,1))</f>
        <v>354.24684313982857</v>
      </c>
      <c r="CZ41" s="62">
        <f t="shared" si="42"/>
        <v>322.65043486962185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2.1130967404287468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2.1130967404287468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137.16638742857151</v>
      </c>
      <c r="P42" s="14">
        <f t="shared" si="33"/>
        <v>35.647094153273272</v>
      </c>
      <c r="Q42" s="22">
        <f t="shared" si="53"/>
        <v>300.98348042171295</v>
      </c>
      <c r="R42" s="62">
        <f t="shared" si="0"/>
        <v>594.31681375504627</v>
      </c>
      <c r="S42" s="62">
        <f ca="1">AVERAGE(OFFSET($R$3,0,0,'Données projet'!$E$9+1,1))-AVERAGE(OFFSET($H$3,0,0,'Données projet'!$E$9+1,1))</f>
        <v>581.88778927327667</v>
      </c>
      <c r="T42" s="62">
        <f t="shared" si="34"/>
        <v>269.67340993773422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10.4</v>
      </c>
      <c r="AI42" s="14">
        <f>IF('Données projet'!$A$62&gt;35,AI41+AH42-AQ41,IF(A42&lt;'Données projet'!$A$62,$AF$205^A42,IF(A42='Données projet'!$A$62,'Données projet'!$B$62,AI41+AH42-AQ41)))</f>
        <v>191.60000000000002</v>
      </c>
      <c r="AJ42" s="14">
        <f>AI42*VLOOKUP('Données projet'!$B$10,Paramètres!$A$1:$I$89,3,0)*VLOOKUP('Données projet'!$B$10,Paramètres!$A$1:$I$89,5,0)</f>
        <v>182.32656</v>
      </c>
      <c r="AK42" s="14">
        <f t="shared" si="35"/>
        <v>45.839415382961157</v>
      </c>
      <c r="AL42" s="22">
        <f t="shared" si="4"/>
        <v>397.38907379199071</v>
      </c>
      <c r="AM42" s="62">
        <f t="shared" si="5"/>
        <v>690.72240712532403</v>
      </c>
      <c r="AN42" s="62">
        <f ca="1">AVERAGE(OFFSET($AM$3,0,0,'Données projet'!$E$10+1,1))-AVERAGE(OFFSET($H$3,0,0,'Données projet'!$E$10+1,1))</f>
        <v>444.81608506581125</v>
      </c>
      <c r="AO42" s="62">
        <f t="shared" si="36"/>
        <v>306.75289431725565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1.8387354440256225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1.8387354440256225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3.887142857142857</v>
      </c>
      <c r="BD42" s="13">
        <f>IF('Données projet'!$A$88&gt;35,BD41+BC42-BL41,IF(A42&lt;'Données projet'!$A$88,$BA$205^A42,IF(A42='Données projet'!$A$88,'Données projet'!$B$88,BD41+BC42-BL41)))</f>
        <v>151.59857142857152</v>
      </c>
      <c r="BE42" s="14">
        <f>BD42*VLOOKUP('Données projet'!$B$11,Paramètres!$A$1:$I$89,3,0)*VLOOKUP('Données projet'!$B$11,Paramètres!$A$1:$I$89,5,0)</f>
        <v>163.18070228571437</v>
      </c>
      <c r="BF42" s="14">
        <f t="shared" si="37"/>
        <v>41.559107725659999</v>
      </c>
      <c r="BG42" s="22">
        <f t="shared" si="7"/>
        <v>356.58850243647703</v>
      </c>
      <c r="BH42" s="62">
        <f t="shared" si="8"/>
        <v>649.92183576981029</v>
      </c>
      <c r="BI42" s="62">
        <f ca="1">AVERAGE(OFFSET($BH$3,0,0,'Données projet'!$E$11+1,1))-AVERAGE(OFFSET($H$3,0,0,'Données projet'!$E$11+1,1))</f>
        <v>683.36974161977764</v>
      </c>
      <c r="BJ42" s="62">
        <f t="shared" si="38"/>
        <v>312.6921234697457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3.887142857142857</v>
      </c>
      <c r="BY42" s="13">
        <f>IF('Données projet'!$A$114&gt;35,BY41+BX42-CG41,IF(A42&lt;'Données projet'!$A$114,$BV$205^A42,IF(A42='Données projet'!$A$114,'Données projet'!$B$114,BY41+BX42-CG41)))</f>
        <v>151.59857142857152</v>
      </c>
      <c r="BZ42" s="14">
        <f>BY42*VLOOKUP('Données projet'!$B$12,Paramètres!$A$1:$I$89,3,0)*VLOOKUP('Données projet'!$B$12,Paramètres!$A$1:$I$89,5,0)</f>
        <v>146.62613828571438</v>
      </c>
      <c r="CA42" s="14">
        <f t="shared" si="39"/>
        <v>37.810851253154773</v>
      </c>
      <c r="CB42" s="22">
        <f t="shared" si="10"/>
        <v>321.22775678019707</v>
      </c>
      <c r="CC42" s="62">
        <f t="shared" si="11"/>
        <v>614.56109011353033</v>
      </c>
      <c r="CD42" s="62">
        <f ca="1">AVERAGE(OFFSET($CC$3,0,0,'Données projet'!$E$12+1,1))-AVERAGE(OFFSET($H$3,0,0,'Données projet'!$E$12+1,1))</f>
        <v>618.83149423524605</v>
      </c>
      <c r="CE42" s="62">
        <f t="shared" si="40"/>
        <v>285.33582535802435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8.8000000000000007</v>
      </c>
      <c r="CT42" s="13">
        <f>IF('Données projet'!$A$140&gt;35,CT41+CS42-DB41,IF(A42&lt;'Données projet'!$A$140,$CQ$205^A42,IF(A42='Données projet'!$A$140,'Données projet'!$B$140,CT41+CS42-DB41)))</f>
        <v>176.20000000000002</v>
      </c>
      <c r="CU42" s="18">
        <f>CT42*VLOOKUP('Données projet'!$B$13,Paramètres!$A$1:$I$89,3,0)*VLOOKUP('Données projet'!$B$13,Paramètres!$A$1:$I$89,5,0)</f>
        <v>153.92832000000004</v>
      </c>
      <c r="CV42" s="14">
        <f t="shared" si="41"/>
        <v>39.469962836517794</v>
      </c>
      <c r="CW42" s="22">
        <f t="shared" si="13"/>
        <v>336.83534260693523</v>
      </c>
      <c r="CX42" s="62">
        <f t="shared" si="14"/>
        <v>630.16867594026849</v>
      </c>
      <c r="CY42" s="62">
        <f ca="1">AVERAGE(OFFSET($CX$3,0,0,'Données projet'!$E$13+1,1))-AVERAGE(OFFSET($H$3,0,0,'Données projet'!$E$13+1,1))</f>
        <v>354.24684313982857</v>
      </c>
      <c r="CZ42" s="62">
        <f t="shared" si="42"/>
        <v>322.65043486962185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2.0716602022106865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2.0716602022106865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140.68347428571437</v>
      </c>
      <c r="P43" s="14">
        <f t="shared" si="33"/>
        <v>36.453535449340755</v>
      </c>
      <c r="Q43" s="22">
        <f t="shared" si="53"/>
        <v>308.51362528855435</v>
      </c>
      <c r="R43" s="62">
        <f t="shared" si="0"/>
        <v>601.84695862188767</v>
      </c>
      <c r="S43" s="62">
        <f ca="1">AVERAGE(OFFSET($R$3,0,0,'Données projet'!$E$9+1,1))-AVERAGE(OFFSET($H$3,0,0,'Données projet'!$E$9+1,1))</f>
        <v>581.88778927327667</v>
      </c>
      <c r="T43" s="62">
        <f t="shared" si="34"/>
        <v>269.67340993773422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202</v>
      </c>
      <c r="AG43" s="13">
        <f>VLOOKUP(A43,'Données projet'!$A$61:$I$81,9,0)</f>
        <v>10.4</v>
      </c>
      <c r="AH43" s="13">
        <f t="array" ref="AH43">INDEX(AG:AG,MIN(IF(ISNUMBER(AG43:AG239),ROW(AG43:AG239),"")))</f>
        <v>10.4</v>
      </c>
      <c r="AI43" s="14">
        <f>IF('Données projet'!$A$62&gt;35,AI42+AH43-AQ42,IF(A43&lt;'Données projet'!$A$62,$AF$205^A43,IF(A43='Données projet'!$A$62,'Données projet'!$B$62,AI42+AH43-AQ42)))</f>
        <v>202.00000000000003</v>
      </c>
      <c r="AJ43" s="14">
        <f>AI43*VLOOKUP('Données projet'!$B$10,Paramètres!$A$1:$I$89,3,0)*VLOOKUP('Données projet'!$B$10,Paramètres!$A$1:$I$89,5,0)</f>
        <v>192.22320000000002</v>
      </c>
      <c r="AK43" s="14">
        <f t="shared" si="35"/>
        <v>48.031137529960212</v>
      </c>
      <c r="AL43" s="22">
        <f t="shared" si="4"/>
        <v>418.44297119801405</v>
      </c>
      <c r="AM43" s="62">
        <f t="shared" si="5"/>
        <v>711.77630453134736</v>
      </c>
      <c r="AN43" s="62">
        <f ca="1">AVERAGE(OFFSET($AM$3,0,0,'Données projet'!$E$10+1,1))-AVERAGE(OFFSET($H$3,0,0,'Données projet'!$E$10+1,1))</f>
        <v>444.81608506581125</v>
      </c>
      <c r="AO43" s="62">
        <f t="shared" si="36"/>
        <v>306.75289431725565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26</v>
      </c>
      <c r="AR43" s="17">
        <f>IF(ISNA(VLOOKUP(A43,'Données projet'!$A$61:$I$81,5,0)),0%,VLOOKUP(A43,'Données projet'!$A$61:$I$81,5,0)*VLOOKUP('Données projet'!$B$10,Paramètres!$A$1:$I$89,7,0))</f>
        <v>8.6000000000000007E-2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4.1548740745198707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4.1548740745198707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3.887142857142857</v>
      </c>
      <c r="BD43" s="13">
        <f>IF('Données projet'!$A$88&gt;35,BD42+BC43-BL42,IF(A43&lt;'Données projet'!$A$88,$BA$205^A43,IF(A43='Données projet'!$A$88,'Données projet'!$B$88,BD42+BC43-BL42)))</f>
        <v>155.48571428571438</v>
      </c>
      <c r="BE43" s="14">
        <f>BD43*VLOOKUP('Données projet'!$B$11,Paramètres!$A$1:$I$89,3,0)*VLOOKUP('Données projet'!$B$11,Paramètres!$A$1:$I$89,5,0)</f>
        <v>167.36482285714294</v>
      </c>
      <c r="BF43" s="14">
        <f t="shared" si="37"/>
        <v>42.499296021333798</v>
      </c>
      <c r="BG43" s="22">
        <f t="shared" si="7"/>
        <v>365.51334038001369</v>
      </c>
      <c r="BH43" s="62">
        <f t="shared" si="8"/>
        <v>658.84667371334695</v>
      </c>
      <c r="BI43" s="62">
        <f ca="1">AVERAGE(OFFSET($BH$3,0,0,'Données projet'!$E$11+1,1))-AVERAGE(OFFSET($H$3,0,0,'Données projet'!$E$11+1,1))</f>
        <v>683.36974161977764</v>
      </c>
      <c r="BJ43" s="62">
        <f t="shared" si="38"/>
        <v>312.6921234697457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3.887142857142857</v>
      </c>
      <c r="BY43" s="13">
        <f>IF('Données projet'!$A$114&gt;35,BY42+BX43-CG42,IF(A43&lt;'Données projet'!$A$114,$BV$205^A43,IF(A43='Données projet'!$A$114,'Données projet'!$B$114,BY42+BX43-CG42)))</f>
        <v>155.48571428571438</v>
      </c>
      <c r="BZ43" s="14">
        <f>BY43*VLOOKUP('Données projet'!$B$12,Paramètres!$A$1:$I$89,3,0)*VLOOKUP('Données projet'!$B$12,Paramètres!$A$1:$I$89,5,0)</f>
        <v>150.38578285714294</v>
      </c>
      <c r="CA43" s="14">
        <f t="shared" si="39"/>
        <v>38.666243049156442</v>
      </c>
      <c r="CB43" s="22">
        <f t="shared" si="10"/>
        <v>329.26561178680475</v>
      </c>
      <c r="CC43" s="62">
        <f t="shared" si="11"/>
        <v>622.59894512013807</v>
      </c>
      <c r="CD43" s="62">
        <f ca="1">AVERAGE(OFFSET($CC$3,0,0,'Données projet'!$E$12+1,1))-AVERAGE(OFFSET($H$3,0,0,'Données projet'!$E$12+1,1))</f>
        <v>618.83149423524605</v>
      </c>
      <c r="CE43" s="62">
        <f t="shared" si="40"/>
        <v>285.33582535802435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185</v>
      </c>
      <c r="CR43" s="13">
        <f>VLOOKUP(A43,'Données projet'!$A$139:$I$159,9,0)</f>
        <v>8.8000000000000007</v>
      </c>
      <c r="CS43" s="13">
        <f t="array" ref="CS43">INDEX(CR:CR,MIN(IF(ISNUMBER(CR43:CR239),ROW(CR43:CR239),"")))</f>
        <v>8.8000000000000007</v>
      </c>
      <c r="CT43" s="13">
        <f>IF('Données projet'!$A$140&gt;35,CT42+CS43-DB42,IF(A43&lt;'Données projet'!$A$140,$CQ$205^A43,IF(A43='Données projet'!$A$140,'Données projet'!$B$140,CT42+CS43-DB42)))</f>
        <v>185.00000000000003</v>
      </c>
      <c r="CU43" s="18">
        <f>CT43*VLOOKUP('Données projet'!$B$13,Paramètres!$A$1:$I$89,3,0)*VLOOKUP('Données projet'!$B$13,Paramètres!$A$1:$I$89,5,0)</f>
        <v>161.61600000000004</v>
      </c>
      <c r="CV43" s="14">
        <f t="shared" si="41"/>
        <v>41.20679526204917</v>
      </c>
      <c r="CW43" s="22">
        <f t="shared" si="13"/>
        <v>353.24970174806907</v>
      </c>
      <c r="CX43" s="62">
        <f t="shared" si="14"/>
        <v>646.58303508140239</v>
      </c>
      <c r="CY43" s="62">
        <f ca="1">AVERAGE(OFFSET($CX$3,0,0,'Données projet'!$E$13+1,1))-AVERAGE(OFFSET($H$3,0,0,'Données projet'!$E$13+1,1))</f>
        <v>354.24684313982857</v>
      </c>
      <c r="CZ43" s="62">
        <f t="shared" si="42"/>
        <v>322.65043486962185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27</v>
      </c>
      <c r="DC43" s="17">
        <f>IF(ISNA(VLOOKUP(A43,'Données projet'!$A$139:$I$159,5,0)),0%,VLOOKUP(A43,'Données projet'!$A$139:$I$159,5,0)*VLOOKUP('Données projet'!$B$13,Paramètres!$A$1:$I$89,7,0))</f>
        <v>0.129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5.3947048799927177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5.3947048799927177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144.20056114285723</v>
      </c>
      <c r="P44" s="14">
        <f t="shared" si="33"/>
        <v>37.257633154444321</v>
      </c>
      <c r="Q44" s="22">
        <f t="shared" si="53"/>
        <v>316.03968840113345</v>
      </c>
      <c r="R44" s="62">
        <f t="shared" si="0"/>
        <v>609.37302173446676</v>
      </c>
      <c r="S44" s="62">
        <f ca="1">AVERAGE(OFFSET($R$3,0,0,'Données projet'!$E$9+1,1))-AVERAGE(OFFSET($H$3,0,0,'Données projet'!$E$9+1,1))</f>
        <v>581.88778927327667</v>
      </c>
      <c r="T44" s="62">
        <f t="shared" si="34"/>
        <v>269.67340993773422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185.80000000000004</v>
      </c>
      <c r="AJ44" s="14">
        <f>AI44*VLOOKUP('Données projet'!$B$10,Paramètres!$A$1:$I$89,3,0)*VLOOKUP('Données projet'!$B$10,Paramètres!$A$1:$I$89,5,0)</f>
        <v>176.80728000000005</v>
      </c>
      <c r="AK44" s="14">
        <f t="shared" si="35"/>
        <v>44.611126629071599</v>
      </c>
      <c r="AL44" s="22">
        <f t="shared" si="4"/>
        <v>385.63705821229979</v>
      </c>
      <c r="AM44" s="62">
        <f t="shared" si="5"/>
        <v>678.97039154563311</v>
      </c>
      <c r="AN44" s="62">
        <f ca="1">AVERAGE(OFFSET($AM$3,0,0,'Données projet'!$E$10+1,1))-AVERAGE(OFFSET($H$3,0,0,'Données projet'!$E$10+1,1))</f>
        <v>444.81608506581125</v>
      </c>
      <c r="AO44" s="62">
        <f t="shared" si="36"/>
        <v>306.75289431725565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4.0733995281414881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4.0733995281414881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3.887142857142857</v>
      </c>
      <c r="BD44" s="13">
        <f>IF('Données projet'!$A$88&gt;35,BD43+BC44-BL43,IF(A44&lt;'Données projet'!$A$88,$BA$205^A44,IF(A44='Données projet'!$A$88,'Données projet'!$B$88,BD43+BC44-BL43)))</f>
        <v>159.37285714285724</v>
      </c>
      <c r="BE44" s="14">
        <f>BD44*VLOOKUP('Données projet'!$B$11,Paramètres!$A$1:$I$89,3,0)*VLOOKUP('Données projet'!$B$11,Paramètres!$A$1:$I$89,5,0)</f>
        <v>171.54894342857153</v>
      </c>
      <c r="BF44" s="14">
        <f t="shared" si="37"/>
        <v>43.436752045229305</v>
      </c>
      <c r="BG44" s="22">
        <f t="shared" si="7"/>
        <v>374.43341961686974</v>
      </c>
      <c r="BH44" s="62">
        <f t="shared" si="8"/>
        <v>667.766752950203</v>
      </c>
      <c r="BI44" s="62">
        <f ca="1">AVERAGE(OFFSET($BH$3,0,0,'Données projet'!$E$11+1,1))-AVERAGE(OFFSET($H$3,0,0,'Données projet'!$E$11+1,1))</f>
        <v>683.36974161977764</v>
      </c>
      <c r="BJ44" s="62">
        <f t="shared" si="38"/>
        <v>312.6921234697457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3.887142857142857</v>
      </c>
      <c r="BY44" s="13">
        <f>IF('Données projet'!$A$114&gt;35,BY43+BX44-CG43,IF(A44&lt;'Données projet'!$A$114,$BV$205^A44,IF(A44='Données projet'!$A$114,'Données projet'!$B$114,BY43+BX44-CG43)))</f>
        <v>159.37285714285724</v>
      </c>
      <c r="BZ44" s="14">
        <f>BY44*VLOOKUP('Données projet'!$B$12,Paramètres!$A$1:$I$89,3,0)*VLOOKUP('Données projet'!$B$12,Paramètres!$A$1:$I$89,5,0)</f>
        <v>154.14542742857151</v>
      </c>
      <c r="CA44" s="14">
        <f t="shared" si="39"/>
        <v>39.519148999637181</v>
      </c>
      <c r="CB44" s="22">
        <f t="shared" si="10"/>
        <v>337.29913727913015</v>
      </c>
      <c r="CC44" s="62">
        <f t="shared" si="11"/>
        <v>630.63247061246352</v>
      </c>
      <c r="CD44" s="62">
        <f ca="1">AVERAGE(OFFSET($CC$3,0,0,'Données projet'!$E$12+1,1))-AVERAGE(OFFSET($H$3,0,0,'Données projet'!$E$12+1,1))</f>
        <v>618.83149423524605</v>
      </c>
      <c r="CE44" s="62">
        <f t="shared" si="40"/>
        <v>285.33582535802435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</v>
      </c>
      <c r="CT44" s="13">
        <f>IF('Données projet'!$A$140&gt;35,CT43+CS44-DB43,IF(A44&lt;'Données projet'!$A$140,$CQ$205^A44,IF(A44='Données projet'!$A$140,'Données projet'!$B$140,CT43+CS44-DB43)))</f>
        <v>166.00000000000003</v>
      </c>
      <c r="CU44" s="18">
        <f>CT44*VLOOKUP('Données projet'!$B$13,Paramètres!$A$1:$I$89,3,0)*VLOOKUP('Données projet'!$B$13,Paramètres!$A$1:$I$89,5,0)</f>
        <v>145.01760000000004</v>
      </c>
      <c r="CV44" s="14">
        <f t="shared" si="41"/>
        <v>37.444100932065233</v>
      </c>
      <c r="CW44" s="22">
        <f t="shared" si="13"/>
        <v>317.78746245668032</v>
      </c>
      <c r="CX44" s="62">
        <f t="shared" si="14"/>
        <v>611.12079579001363</v>
      </c>
      <c r="CY44" s="62">
        <f ca="1">AVERAGE(OFFSET($CX$3,0,0,'Données projet'!$E$13+1,1))-AVERAGE(OFFSET($H$3,0,0,'Données projet'!$E$13+1,1))</f>
        <v>354.24684313982857</v>
      </c>
      <c r="CZ44" s="62">
        <f t="shared" si="42"/>
        <v>322.65043486962185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5.2889180077411329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5.2889180077411329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147.71764800000008</v>
      </c>
      <c r="P45" s="14">
        <f t="shared" si="33"/>
        <v>38.059451005131997</v>
      </c>
      <c r="Q45" s="22">
        <f t="shared" si="53"/>
        <v>323.56178076727167</v>
      </c>
      <c r="R45" s="62">
        <f t="shared" si="0"/>
        <v>616.89511410060504</v>
      </c>
      <c r="S45" s="62">
        <f ca="1">AVERAGE(OFFSET($R$3,0,0,'Données projet'!$E$9+1,1))-AVERAGE(OFFSET($H$3,0,0,'Données projet'!$E$9+1,1))</f>
        <v>581.88778927327667</v>
      </c>
      <c r="T45" s="62">
        <f t="shared" si="34"/>
        <v>269.67340993773422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3.7169132051516152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3.7169132051516152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195.60000000000005</v>
      </c>
      <c r="AJ45" s="14">
        <f>AI45*VLOOKUP('Données projet'!$B$10,Paramètres!$A$1:$I$89,3,0)*VLOOKUP('Données projet'!$B$10,Paramètres!$A$1:$I$89,5,0)</f>
        <v>186.13296000000005</v>
      </c>
      <c r="AK45" s="14">
        <f t="shared" si="35"/>
        <v>46.683984742595719</v>
      </c>
      <c r="AL45" s="22">
        <f t="shared" si="4"/>
        <v>405.48951209335428</v>
      </c>
      <c r="AM45" s="62">
        <f t="shared" si="5"/>
        <v>698.82284542668754</v>
      </c>
      <c r="AN45" s="62">
        <f ca="1">AVERAGE(OFFSET($AM$3,0,0,'Données projet'!$E$10+1,1))-AVERAGE(OFFSET($H$3,0,0,'Données projet'!$E$10+1,1))</f>
        <v>444.81608506581125</v>
      </c>
      <c r="AO45" s="62">
        <f t="shared" si="36"/>
        <v>306.75289431725565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3.9935226479230188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3.9935226479230188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163.26</v>
      </c>
      <c r="BB45" s="13">
        <f>VLOOKUP(A45,'Données projet'!$A$87:$I$107,9,0)</f>
        <v>3.887142857142857</v>
      </c>
      <c r="BC45" s="13">
        <f t="array" ref="BC45">INDEX(BB:BB,MIN(IF(ISNUMBER(BB45:BB241),ROW(BB45:BB241),"")))</f>
        <v>3.887142857142857</v>
      </c>
      <c r="BD45" s="13">
        <f>IF('Données projet'!$A$88&gt;35,BD44+BC45-BL44,IF(A45&lt;'Données projet'!$A$88,$BA$205^A45,IF(A45='Données projet'!$A$88,'Données projet'!$B$88,BD44+BC45-BL44)))</f>
        <v>163.2600000000001</v>
      </c>
      <c r="BE45" s="14">
        <f>BD45*VLOOKUP('Données projet'!$B$11,Paramètres!$A$1:$I$89,3,0)*VLOOKUP('Données projet'!$B$11,Paramètres!$A$1:$I$89,5,0)</f>
        <v>175.7330640000001</v>
      </c>
      <c r="BF45" s="14">
        <f t="shared" si="37"/>
        <v>44.371550104499022</v>
      </c>
      <c r="BG45" s="22">
        <f t="shared" si="7"/>
        <v>383.34886956533597</v>
      </c>
      <c r="BH45" s="62">
        <f t="shared" si="8"/>
        <v>676.68220289866929</v>
      </c>
      <c r="BI45" s="62">
        <f ca="1">AVERAGE(OFFSET($BH$3,0,0,'Données projet'!$E$11+1,1))-AVERAGE(OFFSET($H$3,0,0,'Données projet'!$E$11+1,1))</f>
        <v>683.36974161977764</v>
      </c>
      <c r="BJ45" s="62">
        <f t="shared" si="38"/>
        <v>312.6921234697457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43.21</v>
      </c>
      <c r="BM45" s="17">
        <f>IF(ISNA(VLOOKUP(A45,'Données projet'!$A$87:$I$107,5,0)),0%,VLOOKUP(A45,'Données projet'!$A$87:$I$107,5,0)*VLOOKUP('Données projet'!$B$11,Paramètres!$A$1:$I$89,7,0))</f>
        <v>8.6000000000000007E-2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4.4218450199217498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4.4218450199217498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163.26</v>
      </c>
      <c r="BW45" s="13">
        <f>VLOOKUP(A45,'Données projet'!$A$113:$I$133,9,0)</f>
        <v>3.887142857142857</v>
      </c>
      <c r="BX45" s="13">
        <f t="array" ref="BX45">INDEX(BW:BW,MIN(IF(ISNUMBER(BW45:BW241),ROW(BW45:BW241),"")))</f>
        <v>3.887142857142857</v>
      </c>
      <c r="BY45" s="13">
        <f>IF('Données projet'!$A$114&gt;35,BY44+BX45-CG44,IF(A45&lt;'Données projet'!$A$114,$BV$205^A45,IF(A45='Données projet'!$A$114,'Données projet'!$B$114,BY44+BX45-CG44)))</f>
        <v>163.2600000000001</v>
      </c>
      <c r="BZ45" s="14">
        <f>BY45*VLOOKUP('Données projet'!$B$12,Paramètres!$A$1:$I$89,3,0)*VLOOKUP('Données projet'!$B$12,Paramètres!$A$1:$I$89,5,0)</f>
        <v>157.9050720000001</v>
      </c>
      <c r="CA45" s="14">
        <f t="shared" si="39"/>
        <v>40.369636709915028</v>
      </c>
      <c r="CB45" s="22">
        <f t="shared" si="10"/>
        <v>345.32845100310215</v>
      </c>
      <c r="CC45" s="62">
        <f t="shared" si="11"/>
        <v>638.6617843364354</v>
      </c>
      <c r="CD45" s="62">
        <f ca="1">AVERAGE(OFFSET($CC$3,0,0,'Données projet'!$E$12+1,1))-AVERAGE(OFFSET($H$3,0,0,'Données projet'!$E$12+1,1))</f>
        <v>618.83149423524605</v>
      </c>
      <c r="CE45" s="62">
        <f t="shared" si="40"/>
        <v>285.33582535802435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43.21</v>
      </c>
      <c r="CH45" s="17">
        <f>IF(ISNA(VLOOKUP(A45,'Données projet'!$A$113:$I$133,5,0)),0%,VLOOKUP(A45,'Données projet'!$A$113:$I$133,5,0)*VLOOKUP('Données projet'!$B$12,Paramètres!$A$1:$I$89,7,0))</f>
        <v>8.6000000000000007E-2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3.9732520468862105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3.9732520468862105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</v>
      </c>
      <c r="CT45" s="13">
        <f>IF('Données projet'!$A$140&gt;35,CT44+CS45-DB44,IF(A45&lt;'Données projet'!$A$140,$CQ$205^A45,IF(A45='Données projet'!$A$140,'Données projet'!$B$140,CT44+CS45-DB44)))</f>
        <v>174.00000000000003</v>
      </c>
      <c r="CU45" s="18">
        <f>CT45*VLOOKUP('Données projet'!$B$13,Paramètres!$A$1:$I$89,3,0)*VLOOKUP('Données projet'!$B$13,Paramètres!$A$1:$I$89,5,0)</f>
        <v>152.00640000000004</v>
      </c>
      <c r="CV45" s="14">
        <f t="shared" si="41"/>
        <v>39.034194016561486</v>
      </c>
      <c r="CW45" s="22">
        <f t="shared" si="13"/>
        <v>332.72903457884462</v>
      </c>
      <c r="CX45" s="62">
        <f t="shared" si="14"/>
        <v>626.06236791217793</v>
      </c>
      <c r="CY45" s="62">
        <f ca="1">AVERAGE(OFFSET($CX$3,0,0,'Données projet'!$E$13+1,1))-AVERAGE(OFFSET($H$3,0,0,'Données projet'!$E$13+1,1))</f>
        <v>354.24684313982857</v>
      </c>
      <c r="CZ45" s="62">
        <f t="shared" si="42"/>
        <v>322.65043486962185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5.1852055515307809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5.1852055515307809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117.10034700000008</v>
      </c>
      <c r="P46" s="14">
        <f t="shared" si="33"/>
        <v>30.997743089027207</v>
      </c>
      <c r="Q46" s="22">
        <f t="shared" si="53"/>
        <v>257.93750690505584</v>
      </c>
      <c r="R46" s="62">
        <f t="shared" si="0"/>
        <v>551.27084023838916</v>
      </c>
      <c r="S46" s="62">
        <f ca="1">AVERAGE(OFFSET($R$3,0,0,'Données projet'!$E$9+1,1))-AVERAGE(OFFSET($H$3,0,0,'Données projet'!$E$9+1,1))</f>
        <v>581.88778927327667</v>
      </c>
      <c r="T46" s="62">
        <f t="shared" si="34"/>
        <v>269.67340993773422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3.6440268042917903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3.6440268042917903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205.40000000000006</v>
      </c>
      <c r="AJ46" s="14">
        <f>AI46*VLOOKUP('Données projet'!$B$10,Paramètres!$A$1:$I$89,3,0)*VLOOKUP('Données projet'!$B$10,Paramètres!$A$1:$I$89,5,0)</f>
        <v>195.45864000000006</v>
      </c>
      <c r="AK46" s="14">
        <f t="shared" si="35"/>
        <v>48.744784006311249</v>
      </c>
      <c r="AL46" s="22">
        <f t="shared" si="4"/>
        <v>425.32096347765884</v>
      </c>
      <c r="AM46" s="62">
        <f t="shared" si="5"/>
        <v>718.65429681099215</v>
      </c>
      <c r="AN46" s="62">
        <f ca="1">AVERAGE(OFFSET($AM$3,0,0,'Données projet'!$E$10+1,1))-AVERAGE(OFFSET($H$3,0,0,'Données projet'!$E$10+1,1))</f>
        <v>444.81608506581125</v>
      </c>
      <c r="AO46" s="62">
        <f t="shared" si="36"/>
        <v>306.75289431725565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3.9152121046055477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3.9152121046055477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9.3712500000000034</v>
      </c>
      <c r="BD46" s="13">
        <f>IF('Données projet'!$A$88&gt;35,BD45+BC46-BL45,IF(A46&lt;'Données projet'!$A$88,$BA$205^A46,IF(A46='Données projet'!$A$88,'Données projet'!$B$88,BD45+BC46-BL45)))</f>
        <v>129.4212500000001</v>
      </c>
      <c r="BE46" s="14">
        <f>BD46*VLOOKUP('Données projet'!$B$11,Paramètres!$A$1:$I$89,3,0)*VLOOKUP('Données projet'!$B$11,Paramètres!$A$1:$I$89,5,0)</f>
        <v>139.30903350000008</v>
      </c>
      <c r="BF46" s="14">
        <f t="shared" si="37"/>
        <v>36.138669220838089</v>
      </c>
      <c r="BG46" s="22">
        <f t="shared" si="7"/>
        <v>305.57141557212645</v>
      </c>
      <c r="BH46" s="62">
        <f t="shared" si="8"/>
        <v>598.90474890545977</v>
      </c>
      <c r="BI46" s="62">
        <f ca="1">AVERAGE(OFFSET($BH$3,0,0,'Données projet'!$E$11+1,1))-AVERAGE(OFFSET($H$3,0,0,'Données projet'!$E$11+1,1))</f>
        <v>683.36974161977764</v>
      </c>
      <c r="BJ46" s="62">
        <f t="shared" si="38"/>
        <v>312.6921234697457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4.3351353361402341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4.3351353361402341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9.3712500000000034</v>
      </c>
      <c r="BY46" s="13">
        <f>IF('Données projet'!$A$114&gt;35,BY45+BX46-CG45,IF(A46&lt;'Données projet'!$A$114,$BV$205^A46,IF(A46='Données projet'!$A$114,'Données projet'!$B$114,BY45+BX46-CG45)))</f>
        <v>129.4212500000001</v>
      </c>
      <c r="BZ46" s="14">
        <f>BY46*VLOOKUP('Données projet'!$B$12,Paramètres!$A$1:$I$89,3,0)*VLOOKUP('Données projet'!$B$12,Paramètres!$A$1:$I$89,5,0)</f>
        <v>125.1762330000001</v>
      </c>
      <c r="CA46" s="14">
        <f t="shared" si="39"/>
        <v>32.879287385479394</v>
      </c>
      <c r="CB46" s="22">
        <f t="shared" si="10"/>
        <v>275.28003133804344</v>
      </c>
      <c r="CC46" s="62">
        <f t="shared" si="11"/>
        <v>568.61336467137676</v>
      </c>
      <c r="CD46" s="62">
        <f ca="1">AVERAGE(OFFSET($CC$3,0,0,'Données projet'!$E$12+1,1))-AVERAGE(OFFSET($H$3,0,0,'Données projet'!$E$12+1,1))</f>
        <v>618.83149423524605</v>
      </c>
      <c r="CE46" s="62">
        <f t="shared" si="40"/>
        <v>285.33582535802435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3.8953389976912254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3.8953389976912254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</v>
      </c>
      <c r="CT46" s="13">
        <f>IF('Données projet'!$A$140&gt;35,CT45+CS46-DB45,IF(A46&lt;'Données projet'!$A$140,$CQ$205^A46,IF(A46='Données projet'!$A$140,'Données projet'!$B$140,CT45+CS46-DB45)))</f>
        <v>182.00000000000003</v>
      </c>
      <c r="CU46" s="18">
        <f>CT46*VLOOKUP('Données projet'!$B$13,Paramètres!$A$1:$I$89,3,0)*VLOOKUP('Données projet'!$B$13,Paramètres!$A$1:$I$89,5,0)</f>
        <v>158.99520000000004</v>
      </c>
      <c r="CV46" s="14">
        <f t="shared" si="41"/>
        <v>40.615796933386044</v>
      </c>
      <c r="CW46" s="22">
        <f t="shared" si="13"/>
        <v>347.65581965898076</v>
      </c>
      <c r="CX46" s="62">
        <f t="shared" si="14"/>
        <v>640.98915299231408</v>
      </c>
      <c r="CY46" s="62">
        <f ca="1">AVERAGE(OFFSET($CX$3,0,0,'Données projet'!$E$13+1,1))-AVERAGE(OFFSET($H$3,0,0,'Données projet'!$E$13+1,1))</f>
        <v>354.24684313982857</v>
      </c>
      <c r="CZ46" s="62">
        <f t="shared" si="42"/>
        <v>322.65043486962185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5.0835268333283619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5.0835268333283619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125.5794540000001</v>
      </c>
      <c r="P47" s="14">
        <f t="shared" si="33"/>
        <v>32.97285338000448</v>
      </c>
      <c r="Q47" s="22">
        <f t="shared" si="53"/>
        <v>276.14526868684135</v>
      </c>
      <c r="R47" s="62">
        <f t="shared" si="0"/>
        <v>569.47860202017466</v>
      </c>
      <c r="S47" s="62">
        <f ca="1">AVERAGE(OFFSET($R$3,0,0,'Données projet'!$E$9+1,1))-AVERAGE(OFFSET($H$3,0,0,'Données projet'!$E$9+1,1))</f>
        <v>581.88778927327667</v>
      </c>
      <c r="T47" s="62">
        <f t="shared" si="34"/>
        <v>269.67340993773422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3.5725696612965119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3.5725696612965119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215.20000000000007</v>
      </c>
      <c r="AJ47" s="14">
        <f>AI47*VLOOKUP('Données projet'!$B$10,Paramètres!$A$1:$I$89,3,0)*VLOOKUP('Données projet'!$B$10,Paramètres!$A$1:$I$89,5,0)</f>
        <v>204.78432000000009</v>
      </c>
      <c r="AK47" s="14">
        <f t="shared" si="35"/>
        <v>50.794165457324233</v>
      </c>
      <c r="AL47" s="22">
        <f t="shared" si="4"/>
        <v>445.13252883817319</v>
      </c>
      <c r="AM47" s="62">
        <f t="shared" si="5"/>
        <v>738.4658621715065</v>
      </c>
      <c r="AN47" s="62">
        <f ca="1">AVERAGE(OFFSET($AM$3,0,0,'Données projet'!$E$10+1,1))-AVERAGE(OFFSET($H$3,0,0,'Données projet'!$E$10+1,1))</f>
        <v>444.81608506581125</v>
      </c>
      <c r="AO47" s="62">
        <f t="shared" si="36"/>
        <v>306.75289431725565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3.8384371832778168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3.8384371832778168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9.3712500000000034</v>
      </c>
      <c r="BD47" s="13">
        <f>IF('Données projet'!$A$88&gt;35,BD46+BC47-BL46,IF(A47&lt;'Données projet'!$A$88,$BA$205^A47,IF(A47='Données projet'!$A$88,'Données projet'!$B$88,BD46+BC47-BL46)))</f>
        <v>138.7925000000001</v>
      </c>
      <c r="BE47" s="14">
        <f>BD47*VLOOKUP('Données projet'!$B$11,Paramètres!$A$1:$I$89,3,0)*VLOOKUP('Données projet'!$B$11,Paramètres!$A$1:$I$89,5,0)</f>
        <v>149.3962470000001</v>
      </c>
      <c r="BF47" s="14">
        <f t="shared" si="37"/>
        <v>38.441348395747688</v>
      </c>
      <c r="BG47" s="22">
        <f t="shared" si="7"/>
        <v>327.15047864759407</v>
      </c>
      <c r="BH47" s="62">
        <f t="shared" si="8"/>
        <v>620.48381198092738</v>
      </c>
      <c r="BI47" s="62">
        <f ca="1">AVERAGE(OFFSET($BH$3,0,0,'Données projet'!$E$11+1,1))-AVERAGE(OFFSET($H$3,0,0,'Données projet'!$E$11+1,1))</f>
        <v>683.36974161977764</v>
      </c>
      <c r="BJ47" s="62">
        <f t="shared" si="38"/>
        <v>312.6921234697457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4.250125976369989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4.250125976369989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9.3712500000000034</v>
      </c>
      <c r="BY47" s="13">
        <f>IF('Données projet'!$A$114&gt;35,BY46+BX47-CG46,IF(A47&lt;'Données projet'!$A$114,$BV$205^A47,IF(A47='Données projet'!$A$114,'Données projet'!$B$114,BY46+BX47-CG46)))</f>
        <v>138.7925000000001</v>
      </c>
      <c r="BZ47" s="14">
        <f>BY47*VLOOKUP('Données projet'!$B$12,Paramètres!$A$1:$I$89,3,0)*VLOOKUP('Données projet'!$B$12,Paramètres!$A$1:$I$89,5,0)</f>
        <v>134.24010600000011</v>
      </c>
      <c r="CA47" s="14">
        <f t="shared" si="39"/>
        <v>34.974285679017981</v>
      </c>
      <c r="CB47" s="22">
        <f t="shared" si="10"/>
        <v>294.71506550762314</v>
      </c>
      <c r="CC47" s="62">
        <f t="shared" si="11"/>
        <v>588.04839884095645</v>
      </c>
      <c r="CD47" s="62">
        <f ca="1">AVERAGE(OFFSET($CC$3,0,0,'Données projet'!$E$12+1,1))-AVERAGE(OFFSET($H$3,0,0,'Données projet'!$E$12+1,1))</f>
        <v>618.83149423524605</v>
      </c>
      <c r="CE47" s="62">
        <f t="shared" si="40"/>
        <v>285.33582535802435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3.8189537758686862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3.8189537758686862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</v>
      </c>
      <c r="CT47" s="13">
        <f>IF('Données projet'!$A$140&gt;35,CT46+CS47-DB46,IF(A47&lt;'Données projet'!$A$140,$CQ$205^A47,IF(A47='Données projet'!$A$140,'Données projet'!$B$140,CT46+CS47-DB46)))</f>
        <v>190.00000000000003</v>
      </c>
      <c r="CU47" s="18">
        <f>CT47*VLOOKUP('Données projet'!$B$13,Paramètres!$A$1:$I$89,3,0)*VLOOKUP('Données projet'!$B$13,Paramètres!$A$1:$I$89,5,0)</f>
        <v>165.98400000000004</v>
      </c>
      <c r="CV47" s="14">
        <f t="shared" si="41"/>
        <v>42.189325525922285</v>
      </c>
      <c r="CW47" s="22">
        <f t="shared" si="13"/>
        <v>362.56854195764805</v>
      </c>
      <c r="CX47" s="62">
        <f t="shared" si="14"/>
        <v>655.90187529098137</v>
      </c>
      <c r="CY47" s="62">
        <f ca="1">AVERAGE(OFFSET($CX$3,0,0,'Données projet'!$E$13+1,1))-AVERAGE(OFFSET($H$3,0,0,'Données projet'!$E$13+1,1))</f>
        <v>354.24684313982857</v>
      </c>
      <c r="CZ47" s="62">
        <f t="shared" si="42"/>
        <v>322.65043486962185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4.983841972771998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4.983841972771998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134.05856100000008</v>
      </c>
      <c r="P48" s="14">
        <f t="shared" si="33"/>
        <v>34.932489097291651</v>
      </c>
      <c r="Q48" s="22">
        <f t="shared" si="53"/>
        <v>294.3260789194498</v>
      </c>
      <c r="R48" s="62">
        <f t="shared" si="0"/>
        <v>587.65941225278311</v>
      </c>
      <c r="S48" s="62">
        <f ca="1">AVERAGE(OFFSET($R$3,0,0,'Données projet'!$E$9+1,1))-AVERAGE(OFFSET($H$3,0,0,'Données projet'!$E$9+1,1))</f>
        <v>581.88778927327667</v>
      </c>
      <c r="T48" s="62">
        <f t="shared" si="34"/>
        <v>269.67340993773422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3.5025137492908169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3.5025137492908169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225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225.00000000000009</v>
      </c>
      <c r="AJ48" s="14">
        <f>AI48*VLOOKUP('Données projet'!$B$10,Paramètres!$A$1:$I$89,3,0)*VLOOKUP('Données projet'!$B$10,Paramètres!$A$1:$I$89,5,0)</f>
        <v>214.1100000000001</v>
      </c>
      <c r="AK48" s="14">
        <f t="shared" si="35"/>
        <v>52.832708448119902</v>
      </c>
      <c r="AL48" s="22">
        <f t="shared" si="4"/>
        <v>464.92521721380899</v>
      </c>
      <c r="AM48" s="62">
        <f t="shared" si="5"/>
        <v>758.25855054714225</v>
      </c>
      <c r="AN48" s="62">
        <f ca="1">AVERAGE(OFFSET($AM$3,0,0,'Données projet'!$E$10+1,1))-AVERAGE(OFFSET($H$3,0,0,'Données projet'!$E$10+1,1))</f>
        <v>444.81608506581125</v>
      </c>
      <c r="AO48" s="62">
        <f t="shared" si="36"/>
        <v>306.75289431725565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8.6000000000000007E-2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6.2963009678270865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6.2963009678270865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9.3712500000000034</v>
      </c>
      <c r="BD48" s="13">
        <f>IF('Données projet'!$A$88&gt;35,BD47+BC48-BL47,IF(A48&lt;'Données projet'!$A$88,$BA$205^A48,IF(A48='Données projet'!$A$88,'Données projet'!$B$88,BD47+BC48-BL47)))</f>
        <v>148.16375000000011</v>
      </c>
      <c r="BE48" s="14">
        <f>BD48*VLOOKUP('Données projet'!$B$11,Paramètres!$A$1:$I$89,3,0)*VLOOKUP('Données projet'!$B$11,Paramètres!$A$1:$I$89,5,0)</f>
        <v>159.48346050000009</v>
      </c>
      <c r="BF48" s="14">
        <f t="shared" si="37"/>
        <v>40.725986563661593</v>
      </c>
      <c r="BG48" s="22">
        <f t="shared" si="7"/>
        <v>348.69812030254405</v>
      </c>
      <c r="BH48" s="62">
        <f t="shared" si="8"/>
        <v>642.03145363587737</v>
      </c>
      <c r="BI48" s="62">
        <f ca="1">AVERAGE(OFFSET($BH$3,0,0,'Données projet'!$E$11+1,1))-AVERAGE(OFFSET($H$3,0,0,'Données projet'!$E$11+1,1))</f>
        <v>683.36974161977764</v>
      </c>
      <c r="BJ48" s="62">
        <f t="shared" si="38"/>
        <v>312.6921234697457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4.1667835982942485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4.1667835982942485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9.3712500000000034</v>
      </c>
      <c r="BY48" s="13">
        <f>IF('Données projet'!$A$114&gt;35,BY47+BX48-CG47,IF(A48&lt;'Données projet'!$A$114,$BV$205^A48,IF(A48='Données projet'!$A$114,'Données projet'!$B$114,BY47+BX48-CG47)))</f>
        <v>148.16375000000011</v>
      </c>
      <c r="BZ48" s="14">
        <f>BY48*VLOOKUP('Données projet'!$B$12,Paramètres!$A$1:$I$89,3,0)*VLOOKUP('Données projet'!$B$12,Paramètres!$A$1:$I$89,5,0)</f>
        <v>143.30397900000011</v>
      </c>
      <c r="CA48" s="14">
        <f t="shared" si="39"/>
        <v>37.052870101583345</v>
      </c>
      <c r="CB48" s="22">
        <f t="shared" si="10"/>
        <v>314.12151218525787</v>
      </c>
      <c r="CC48" s="62">
        <f t="shared" si="11"/>
        <v>607.45484551859113</v>
      </c>
      <c r="CD48" s="62">
        <f ca="1">AVERAGE(OFFSET($CC$3,0,0,'Données projet'!$E$12+1,1))-AVERAGE(OFFSET($H$3,0,0,'Données projet'!$E$12+1,1))</f>
        <v>618.83149423524605</v>
      </c>
      <c r="CE48" s="62">
        <f t="shared" si="40"/>
        <v>285.33582535802435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3.744066421655702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3.744066421655702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198</v>
      </c>
      <c r="CR48" s="13">
        <f>VLOOKUP(A48,'Données projet'!$A$139:$I$159,9,0)</f>
        <v>8</v>
      </c>
      <c r="CS48" s="13">
        <f t="array" ref="CS48">INDEX(CR:CR,MIN(IF(ISNUMBER(CR48:CR244),ROW(CR48:CR244),"")))</f>
        <v>8</v>
      </c>
      <c r="CT48" s="13">
        <f>IF('Données projet'!$A$140&gt;35,CT47+CS48-DB47,IF(A48&lt;'Données projet'!$A$140,$CQ$205^A48,IF(A48='Données projet'!$A$140,'Données projet'!$B$140,CT47+CS48-DB47)))</f>
        <v>198.00000000000003</v>
      </c>
      <c r="CU48" s="18">
        <f>CT48*VLOOKUP('Données projet'!$B$13,Paramètres!$A$1:$I$89,3,0)*VLOOKUP('Données projet'!$B$13,Paramètres!$A$1:$I$89,5,0)</f>
        <v>172.97280000000003</v>
      </c>
      <c r="CV48" s="14">
        <f t="shared" si="41"/>
        <v>43.75515863819728</v>
      </c>
      <c r="CW48" s="22">
        <f t="shared" si="13"/>
        <v>377.46786129486031</v>
      </c>
      <c r="CX48" s="62">
        <f t="shared" si="14"/>
        <v>670.80119462819357</v>
      </c>
      <c r="CY48" s="62">
        <f ca="1">AVERAGE(OFFSET($CX$3,0,0,'Données projet'!$E$13+1,1))-AVERAGE(OFFSET($H$3,0,0,'Données projet'!$E$13+1,1))</f>
        <v>354.24684313982857</v>
      </c>
      <c r="CZ48" s="62">
        <f t="shared" si="42"/>
        <v>322.65043486962185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26</v>
      </c>
      <c r="DC48" s="17">
        <f>IF(ISNA(VLOOKUP(A48,'Données projet'!$A$139:$I$159,5,0)),0%,VLOOKUP(A48,'Données projet'!$A$139:$I$159,5,0)*VLOOKUP('Données projet'!$B$13,Paramètres!$A$1:$I$89,7,0))</f>
        <v>0.129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8.1252002211495729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8.1252002211495729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142.53766800000008</v>
      </c>
      <c r="P49" s="14">
        <f t="shared" si="33"/>
        <v>36.877740410345027</v>
      </c>
      <c r="Q49" s="22">
        <f t="shared" si="53"/>
        <v>312.48183631468436</v>
      </c>
      <c r="R49" s="62">
        <f t="shared" si="0"/>
        <v>605.81516964801767</v>
      </c>
      <c r="S49" s="62">
        <f ca="1">AVERAGE(OFFSET($R$3,0,0,'Données projet'!$E$9+1,1))-AVERAGE(OFFSET($H$3,0,0,'Données projet'!$E$9+1,1))</f>
        <v>581.88778927327667</v>
      </c>
      <c r="T49" s="62">
        <f t="shared" si="34"/>
        <v>269.67340993773422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3.4338315909896666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3.4338315909896666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</v>
      </c>
      <c r="AI49" s="14">
        <f>IF('Données projet'!$A$62&gt;35,AI48+AH49-AQ48,IF(A49&lt;'Données projet'!$A$62,$AF$205^A49,IF(A49='Données projet'!$A$62,'Données projet'!$B$62,AI48+AH49-AQ48)))</f>
        <v>206.00000000000009</v>
      </c>
      <c r="AJ49" s="14">
        <f>AI49*VLOOKUP('Données projet'!$B$10,Paramètres!$A$1:$I$89,3,0)*VLOOKUP('Données projet'!$B$10,Paramètres!$A$1:$I$89,5,0)</f>
        <v>196.0296000000001</v>
      </c>
      <c r="AK49" s="14">
        <f t="shared" si="35"/>
        <v>48.870578290511943</v>
      </c>
      <c r="AL49" s="22">
        <f t="shared" si="4"/>
        <v>426.53447718930846</v>
      </c>
      <c r="AM49" s="62">
        <f t="shared" si="5"/>
        <v>719.86781052264178</v>
      </c>
      <c r="AN49" s="62">
        <f ca="1">AVERAGE(OFFSET($AM$3,0,0,'Données projet'!$E$10+1,1))-AVERAGE(OFFSET($H$3,0,0,'Données projet'!$E$10+1,1))</f>
        <v>444.81608506581125</v>
      </c>
      <c r="AO49" s="62">
        <f t="shared" si="36"/>
        <v>306.75289431725565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6.1728343462123831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6.1728343462123831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9.3712500000000034</v>
      </c>
      <c r="BD49" s="13">
        <f>IF('Données projet'!$A$88&gt;35,BD48+BC49-BL48,IF(A49&lt;'Données projet'!$A$88,$BA$205^A49,IF(A49='Données projet'!$A$88,'Données projet'!$B$88,BD48+BC49-BL48)))</f>
        <v>157.53500000000011</v>
      </c>
      <c r="BE49" s="14">
        <f>BD49*VLOOKUP('Données projet'!$B$11,Paramètres!$A$1:$I$89,3,0)*VLOOKUP('Données projet'!$B$11,Paramètres!$A$1:$I$89,5,0)</f>
        <v>169.57067400000011</v>
      </c>
      <c r="BF49" s="14">
        <f t="shared" si="37"/>
        <v>42.993854696897486</v>
      </c>
      <c r="BG49" s="22">
        <f t="shared" si="7"/>
        <v>370.21655414709659</v>
      </c>
      <c r="BH49" s="62">
        <f t="shared" si="8"/>
        <v>663.5498874804299</v>
      </c>
      <c r="BI49" s="62">
        <f ca="1">AVERAGE(OFFSET($BH$3,0,0,'Données projet'!$E$11+1,1))-AVERAGE(OFFSET($H$3,0,0,'Données projet'!$E$11+1,1))</f>
        <v>683.36974161977764</v>
      </c>
      <c r="BJ49" s="62">
        <f t="shared" si="38"/>
        <v>312.6921234697457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4.085075513418742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4.085075513418742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9.3712500000000034</v>
      </c>
      <c r="BY49" s="13">
        <f>IF('Données projet'!$A$114&gt;35,BY48+BX49-CG48,IF(A49&lt;'Données projet'!$A$114,$BV$205^A49,IF(A49='Données projet'!$A$114,'Données projet'!$B$114,BY48+BX49-CG48)))</f>
        <v>157.53500000000011</v>
      </c>
      <c r="BZ49" s="14">
        <f>BY49*VLOOKUP('Données projet'!$B$12,Paramètres!$A$1:$I$89,3,0)*VLOOKUP('Données projet'!$B$12,Paramètres!$A$1:$I$89,5,0)</f>
        <v>152.36785200000011</v>
      </c>
      <c r="CA49" s="14">
        <f t="shared" si="39"/>
        <v>39.116196995259784</v>
      </c>
      <c r="CB49" s="22">
        <f t="shared" si="10"/>
        <v>333.50138533341101</v>
      </c>
      <c r="CC49" s="62">
        <f t="shared" si="11"/>
        <v>626.83471866674427</v>
      </c>
      <c r="CD49" s="62">
        <f ca="1">AVERAGE(OFFSET($CC$3,0,0,'Données projet'!$E$12+1,1))-AVERAGE(OFFSET($H$3,0,0,'Données projet'!$E$12+1,1))</f>
        <v>618.83149423524605</v>
      </c>
      <c r="CE49" s="62">
        <f t="shared" si="40"/>
        <v>285.33582535802435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3.6706475627820585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3.6706475627820585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7.4</v>
      </c>
      <c r="CT49" s="13">
        <f>IF('Données projet'!$A$140&gt;35,CT48+CS49-DB48,IF(A49&lt;'Données projet'!$A$140,$CQ$205^A49,IF(A49='Données projet'!$A$140,'Données projet'!$B$140,CT48+CS49-DB48)))</f>
        <v>179.40000000000003</v>
      </c>
      <c r="CU49" s="18">
        <f>CT49*VLOOKUP('Données projet'!$B$13,Paramètres!$A$1:$I$89,3,0)*VLOOKUP('Données projet'!$B$13,Paramètres!$A$1:$I$89,5,0)</f>
        <v>156.72384000000005</v>
      </c>
      <c r="CV49" s="14">
        <f t="shared" si="41"/>
        <v>40.102680984620484</v>
      </c>
      <c r="CW49" s="22">
        <f t="shared" si="13"/>
        <v>342.80619071488076</v>
      </c>
      <c r="CX49" s="62">
        <f t="shared" si="14"/>
        <v>636.13952404821407</v>
      </c>
      <c r="CY49" s="62">
        <f ca="1">AVERAGE(OFFSET($CX$3,0,0,'Données projet'!$E$13+1,1))-AVERAGE(OFFSET($H$3,0,0,'Données projet'!$E$13+1,1))</f>
        <v>354.24684313982857</v>
      </c>
      <c r="CZ49" s="62">
        <f t="shared" si="42"/>
        <v>322.65043486962185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7.9658700006956122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7.9658700006956122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151.01677500000011</v>
      </c>
      <c r="P50" s="14">
        <f t="shared" si="33"/>
        <v>38.809560459830927</v>
      </c>
      <c r="Q50" s="22">
        <f t="shared" si="53"/>
        <v>330.61420092587235</v>
      </c>
      <c r="R50" s="62">
        <f t="shared" si="0"/>
        <v>623.94753425920567</v>
      </c>
      <c r="S50" s="62">
        <f ca="1">AVERAGE(OFFSET($R$3,0,0,'Données projet'!$E$9+1,1))-AVERAGE(OFFSET($H$3,0,0,'Données projet'!$E$9+1,1))</f>
        <v>581.88778927327667</v>
      </c>
      <c r="T50" s="62">
        <f t="shared" si="34"/>
        <v>269.67340993773422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3.3664962479208218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3.3664962479208218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</v>
      </c>
      <c r="AI50" s="14">
        <f>IF('Données projet'!$A$62&gt;35,AI49+AH50-AQ49,IF(A50&lt;'Données projet'!$A$62,$AF$205^A50,IF(A50='Données projet'!$A$62,'Données projet'!$B$62,AI49+AH50-AQ49)))</f>
        <v>215.00000000000009</v>
      </c>
      <c r="AJ50" s="14">
        <f>AI50*VLOOKUP('Données projet'!$B$10,Paramètres!$A$1:$I$89,3,0)*VLOOKUP('Données projet'!$B$10,Paramètres!$A$1:$I$89,5,0)</f>
        <v>204.59400000000011</v>
      </c>
      <c r="AK50" s="14">
        <f t="shared" si="35"/>
        <v>50.75245156043249</v>
      </c>
      <c r="AL50" s="22">
        <f t="shared" si="4"/>
        <v>444.72840313442015</v>
      </c>
      <c r="AM50" s="62">
        <f t="shared" si="5"/>
        <v>738.06173646775346</v>
      </c>
      <c r="AN50" s="62">
        <f ca="1">AVERAGE(OFFSET($AM$3,0,0,'Données projet'!$E$10+1,1))-AVERAGE(OFFSET($H$3,0,0,'Données projet'!$E$10+1,1))</f>
        <v>444.81608506581125</v>
      </c>
      <c r="AO50" s="62">
        <f t="shared" si="36"/>
        <v>306.75289431725565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6.0517888297403406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6.0517888297403406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9.3712500000000034</v>
      </c>
      <c r="BD50" s="13">
        <f>IF('Données projet'!$A$88&gt;35,BD49+BC50-BL49,IF(A50&lt;'Données projet'!$A$88,$BA$205^A50,IF(A50='Données projet'!$A$88,'Données projet'!$B$88,BD49+BC50-BL49)))</f>
        <v>166.90625000000011</v>
      </c>
      <c r="BE50" s="14">
        <f>BD50*VLOOKUP('Données projet'!$B$11,Paramètres!$A$1:$I$89,3,0)*VLOOKUP('Données projet'!$B$11,Paramètres!$A$1:$I$89,5,0)</f>
        <v>179.65788750000013</v>
      </c>
      <c r="BF50" s="14">
        <f t="shared" si="37"/>
        <v>45.246064012977243</v>
      </c>
      <c r="BG50" s="22">
        <f t="shared" si="7"/>
        <v>391.70771555176884</v>
      </c>
      <c r="BH50" s="62">
        <f t="shared" si="8"/>
        <v>685.0410488851021</v>
      </c>
      <c r="BI50" s="62">
        <f ca="1">AVERAGE(OFFSET($BH$3,0,0,'Données projet'!$E$11+1,1))-AVERAGE(OFFSET($H$3,0,0,'Données projet'!$E$11+1,1))</f>
        <v>683.36974161977764</v>
      </c>
      <c r="BJ50" s="62">
        <f t="shared" si="38"/>
        <v>312.6921234697457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4.004969674250634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4.004969674250634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9.3712500000000034</v>
      </c>
      <c r="BY50" s="13">
        <f>IF('Données projet'!$A$114&gt;35,BY49+BX50-CG49,IF(A50&lt;'Données projet'!$A$114,$BV$205^A50,IF(A50='Données projet'!$A$114,'Données projet'!$B$114,BY49+BX50-CG49)))</f>
        <v>166.90625000000011</v>
      </c>
      <c r="BZ50" s="14">
        <f>BY50*VLOOKUP('Données projet'!$B$12,Paramètres!$A$1:$I$89,3,0)*VLOOKUP('Données projet'!$B$12,Paramètres!$A$1:$I$89,5,0)</f>
        <v>161.43172500000011</v>
      </c>
      <c r="CA50" s="14">
        <f t="shared" si="39"/>
        <v>41.165277355776809</v>
      </c>
      <c r="CB50" s="22">
        <f t="shared" si="10"/>
        <v>352.85644576964478</v>
      </c>
      <c r="CC50" s="62">
        <f t="shared" si="11"/>
        <v>646.18977910297804</v>
      </c>
      <c r="CD50" s="62">
        <f ca="1">AVERAGE(OFFSET($CC$3,0,0,'Données projet'!$E$12+1,1))-AVERAGE(OFFSET($H$3,0,0,'Données projet'!$E$12+1,1))</f>
        <v>618.83149423524605</v>
      </c>
      <c r="CE50" s="62">
        <f t="shared" si="40"/>
        <v>285.33582535802435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3.598668402949845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3.598668402949845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7.4</v>
      </c>
      <c r="CT50" s="13">
        <f>IF('Données projet'!$A$140&gt;35,CT49+CS50-DB49,IF(A50&lt;'Données projet'!$A$140,$CQ$205^A50,IF(A50='Données projet'!$A$140,'Données projet'!$B$140,CT49+CS50-DB49)))</f>
        <v>186.80000000000004</v>
      </c>
      <c r="CU50" s="18">
        <f>CT50*VLOOKUP('Données projet'!$B$13,Paramètres!$A$1:$I$89,3,0)*VLOOKUP('Données projet'!$B$13,Paramètres!$A$1:$I$89,5,0)</f>
        <v>163.18848000000006</v>
      </c>
      <c r="CV50" s="14">
        <f t="shared" si="41"/>
        <v>41.560857991048017</v>
      </c>
      <c r="CW50" s="22">
        <f t="shared" si="13"/>
        <v>356.60509700107536</v>
      </c>
      <c r="CX50" s="62">
        <f t="shared" si="14"/>
        <v>649.93843033440862</v>
      </c>
      <c r="CY50" s="62">
        <f ca="1">AVERAGE(OFFSET($CX$3,0,0,'Données projet'!$E$13+1,1))-AVERAGE(OFFSET($H$3,0,0,'Données projet'!$E$13+1,1))</f>
        <v>354.24684313982857</v>
      </c>
      <c r="CZ50" s="62">
        <f t="shared" si="42"/>
        <v>322.65043486962185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7.8096641486829146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7.8096641486829146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159.49588200000008</v>
      </c>
      <c r="P51" s="14">
        <f t="shared" si="33"/>
        <v>40.728789309687656</v>
      </c>
      <c r="Q51" s="22">
        <f t="shared" si="53"/>
        <v>348.72463586437283</v>
      </c>
      <c r="R51" s="62">
        <f t="shared" si="0"/>
        <v>642.05796919770614</v>
      </c>
      <c r="S51" s="62">
        <f ca="1">AVERAGE(OFFSET($R$3,0,0,'Données projet'!$E$9+1,1))-AVERAGE(OFFSET($H$3,0,0,'Données projet'!$E$9+1,1))</f>
        <v>581.88778927327667</v>
      </c>
      <c r="T51" s="62">
        <f t="shared" si="34"/>
        <v>269.67340993773422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3.3004813098590531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3.3004813098590531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</v>
      </c>
      <c r="AI51" s="14">
        <f>IF('Données projet'!$A$62&gt;35,AI50+AH51-AQ50,IF(A51&lt;'Données projet'!$A$62,$AF$205^A51,IF(A51='Données projet'!$A$62,'Données projet'!$B$62,AI50+AH51-AQ50)))</f>
        <v>224.00000000000009</v>
      </c>
      <c r="AJ51" s="14">
        <f>AI51*VLOOKUP('Données projet'!$B$10,Paramètres!$A$1:$I$89,3,0)*VLOOKUP('Données projet'!$B$10,Paramètres!$A$1:$I$89,5,0)</f>
        <v>213.15840000000009</v>
      </c>
      <c r="AK51" s="14">
        <f t="shared" si="35"/>
        <v>52.625174774632413</v>
      </c>
      <c r="AL51" s="22">
        <f t="shared" si="4"/>
        <v>462.9063927324849</v>
      </c>
      <c r="AM51" s="62">
        <f t="shared" si="5"/>
        <v>756.23972606581822</v>
      </c>
      <c r="AN51" s="62">
        <f ca="1">AVERAGE(OFFSET($AM$3,0,0,'Données projet'!$E$10+1,1))-AVERAGE(OFFSET($H$3,0,0,'Données projet'!$E$10+1,1))</f>
        <v>444.81608506581125</v>
      </c>
      <c r="AO51" s="62">
        <f t="shared" si="36"/>
        <v>306.75289431725565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5.9331169420158405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5.9331169420158405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9.3712500000000034</v>
      </c>
      <c r="BD51" s="13">
        <f>IF('Données projet'!$A$88&gt;35,BD50+BC51-BL50,IF(A51&lt;'Données projet'!$A$88,$BA$205^A51,IF(A51='Données projet'!$A$88,'Données projet'!$B$88,BD50+BC51-BL50)))</f>
        <v>176.27750000000012</v>
      </c>
      <c r="BE51" s="14">
        <f>BD51*VLOOKUP('Données projet'!$B$11,Paramètres!$A$1:$I$89,3,0)*VLOOKUP('Données projet'!$B$11,Paramètres!$A$1:$I$89,5,0)</f>
        <v>189.74510100000012</v>
      </c>
      <c r="BF51" s="14">
        <f t="shared" si="37"/>
        <v>47.483593899100271</v>
      </c>
      <c r="BG51" s="22">
        <f t="shared" si="7"/>
        <v>413.17331028259986</v>
      </c>
      <c r="BH51" s="62">
        <f t="shared" si="8"/>
        <v>706.50664361593317</v>
      </c>
      <c r="BI51" s="62">
        <f ca="1">AVERAGE(OFFSET($BH$3,0,0,'Données projet'!$E$11+1,1))-AVERAGE(OFFSET($H$3,0,0,'Données projet'!$E$11+1,1))</f>
        <v>683.36974161977764</v>
      </c>
      <c r="BJ51" s="62">
        <f t="shared" si="38"/>
        <v>312.6921234697457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3.9264346617288748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3.9264346617288748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9.3712500000000034</v>
      </c>
      <c r="BY51" s="13">
        <f>IF('Données projet'!$A$114&gt;35,BY50+BX51-CG50,IF(A51&lt;'Données projet'!$A$114,$BV$205^A51,IF(A51='Données projet'!$A$114,'Données projet'!$B$114,BY50+BX51-CG50)))</f>
        <v>176.27750000000012</v>
      </c>
      <c r="BZ51" s="14">
        <f>BY51*VLOOKUP('Données projet'!$B$12,Paramètres!$A$1:$I$89,3,0)*VLOOKUP('Données projet'!$B$12,Paramètres!$A$1:$I$89,5,0)</f>
        <v>170.49559800000011</v>
      </c>
      <c r="CA51" s="14">
        <f t="shared" si="39"/>
        <v>43.201002238446733</v>
      </c>
      <c r="CB51" s="22">
        <f t="shared" si="10"/>
        <v>372.18824541529494</v>
      </c>
      <c r="CC51" s="62">
        <f t="shared" si="11"/>
        <v>665.52157874862826</v>
      </c>
      <c r="CD51" s="62">
        <f ca="1">AVERAGE(OFFSET($CC$3,0,0,'Données projet'!$E$12+1,1))-AVERAGE(OFFSET($H$3,0,0,'Données projet'!$E$12+1,1))</f>
        <v>618.83149423524605</v>
      </c>
      <c r="CE51" s="62">
        <f t="shared" si="40"/>
        <v>285.33582535802435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3.5281007105389888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3.5281007105389888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7.4</v>
      </c>
      <c r="CT51" s="13">
        <f>IF('Données projet'!$A$140&gt;35,CT50+CS51-DB50,IF(A51&lt;'Données projet'!$A$140,$CQ$205^A51,IF(A51='Données projet'!$A$140,'Données projet'!$B$140,CT50+CS51-DB50)))</f>
        <v>194.20000000000005</v>
      </c>
      <c r="CU51" s="18">
        <f>CT51*VLOOKUP('Données projet'!$B$13,Paramètres!$A$1:$I$89,3,0)*VLOOKUP('Données projet'!$B$13,Paramètres!$A$1:$I$89,5,0)</f>
        <v>169.65312000000006</v>
      </c>
      <c r="CV51" s="14">
        <f t="shared" si="41"/>
        <v>43.012324771430336</v>
      </c>
      <c r="CW51" s="22">
        <f t="shared" si="13"/>
        <v>370.39231631024131</v>
      </c>
      <c r="CX51" s="62">
        <f t="shared" si="14"/>
        <v>663.72564964357457</v>
      </c>
      <c r="CY51" s="62">
        <f ca="1">AVERAGE(OFFSET($CX$3,0,0,'Données projet'!$E$13+1,1))-AVERAGE(OFFSET($H$3,0,0,'Données projet'!$E$13+1,1))</f>
        <v>354.24684313982857</v>
      </c>
      <c r="CZ51" s="62">
        <f t="shared" si="42"/>
        <v>322.65043486962185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7.6565213981520239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7.6565213981520239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167.97498900000011</v>
      </c>
      <c r="P52" s="14">
        <f t="shared" si="33"/>
        <v>42.636172660412917</v>
      </c>
      <c r="Q52" s="22">
        <f t="shared" si="53"/>
        <v>366.81443989188602</v>
      </c>
      <c r="R52" s="62">
        <f t="shared" si="0"/>
        <v>660.14777322521934</v>
      </c>
      <c r="S52" s="62">
        <f ca="1">AVERAGE(OFFSET($R$3,0,0,'Données projet'!$E$9+1,1))-AVERAGE(OFFSET($H$3,0,0,'Données projet'!$E$9+1,1))</f>
        <v>581.88778927327667</v>
      </c>
      <c r="T52" s="62">
        <f t="shared" si="34"/>
        <v>269.67340993773422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3.2357608844675396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3.2357608844675396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</v>
      </c>
      <c r="AI52" s="14">
        <f>IF('Données projet'!$A$62&gt;35,AI51+AH52-AQ51,IF(A52&lt;'Données projet'!$A$62,$AF$205^A52,IF(A52='Données projet'!$A$62,'Données projet'!$B$62,AI51+AH52-AQ51)))</f>
        <v>233.00000000000009</v>
      </c>
      <c r="AJ52" s="14">
        <f>AI52*VLOOKUP('Données projet'!$B$10,Paramètres!$A$1:$I$89,3,0)*VLOOKUP('Données projet'!$B$10,Paramètres!$A$1:$I$89,5,0)</f>
        <v>221.72280000000009</v>
      </c>
      <c r="AK52" s="14">
        <f t="shared" si="35"/>
        <v>54.489157628530677</v>
      </c>
      <c r="AL52" s="22">
        <f t="shared" si="4"/>
        <v>481.06915953635774</v>
      </c>
      <c r="AM52" s="62">
        <f t="shared" si="5"/>
        <v>774.40249286969106</v>
      </c>
      <c r="AN52" s="62">
        <f ca="1">AVERAGE(OFFSET($AM$3,0,0,'Données projet'!$E$10+1,1))-AVERAGE(OFFSET($H$3,0,0,'Données projet'!$E$10+1,1))</f>
        <v>444.81608506581125</v>
      </c>
      <c r="AO52" s="62">
        <f t="shared" si="36"/>
        <v>306.75289431725565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5.8167721376269137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5.8167721376269137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9.3712500000000034</v>
      </c>
      <c r="BD52" s="13">
        <f>IF('Données projet'!$A$88&gt;35,BD51+BC52-BL51,IF(A52&lt;'Données projet'!$A$88,$BA$205^A52,IF(A52='Données projet'!$A$88,'Données projet'!$B$88,BD51+BC52-BL51)))</f>
        <v>185.64875000000012</v>
      </c>
      <c r="BE52" s="14">
        <f>BD52*VLOOKUP('Données projet'!$B$11,Paramètres!$A$1:$I$89,3,0)*VLOOKUP('Données projet'!$B$11,Paramètres!$A$1:$I$89,5,0)</f>
        <v>199.83231450000014</v>
      </c>
      <c r="BF52" s="14">
        <f t="shared" si="37"/>
        <v>49.707313728999587</v>
      </c>
      <c r="BG52" s="22">
        <f t="shared" si="7"/>
        <v>434.61485249884117</v>
      </c>
      <c r="BH52" s="62">
        <f t="shared" si="8"/>
        <v>727.94818583217443</v>
      </c>
      <c r="BI52" s="62">
        <f ca="1">AVERAGE(OFFSET($BH$3,0,0,'Données projet'!$E$11+1,1))-AVERAGE(OFFSET($H$3,0,0,'Données projet'!$E$11+1,1))</f>
        <v>683.36974161977764</v>
      </c>
      <c r="BJ52" s="62">
        <f t="shared" si="38"/>
        <v>312.6921234697457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3.8494396729010396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3.8494396729010396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9.3712500000000034</v>
      </c>
      <c r="BY52" s="13">
        <f>IF('Données projet'!$A$114&gt;35,BY51+BX52-CG51,IF(A52&lt;'Données projet'!$A$114,$BV$205^A52,IF(A52='Données projet'!$A$114,'Données projet'!$B$114,BY51+BX52-CG51)))</f>
        <v>185.64875000000012</v>
      </c>
      <c r="BZ52" s="14">
        <f>BY52*VLOOKUP('Données projet'!$B$12,Paramètres!$A$1:$I$89,3,0)*VLOOKUP('Données projet'!$B$12,Paramètres!$A$1:$I$89,5,0)</f>
        <v>179.55947100000012</v>
      </c>
      <c r="CA52" s="14">
        <f t="shared" si="39"/>
        <v>45.224162607337405</v>
      </c>
      <c r="CB52" s="22">
        <f t="shared" si="10"/>
        <v>391.49816186611287</v>
      </c>
      <c r="CC52" s="62">
        <f t="shared" si="11"/>
        <v>684.83149519944618</v>
      </c>
      <c r="CD52" s="62">
        <f ca="1">AVERAGE(OFFSET($CC$3,0,0,'Données projet'!$E$12+1,1))-AVERAGE(OFFSET($H$3,0,0,'Données projet'!$E$12+1,1))</f>
        <v>618.83149423524605</v>
      </c>
      <c r="CE52" s="62">
        <f t="shared" si="40"/>
        <v>285.33582535802435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3.4589168075342673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3.4589168075342673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7.4</v>
      </c>
      <c r="CT52" s="13">
        <f>IF('Données projet'!$A$140&gt;35,CT51+CS52-DB51,IF(A52&lt;'Données projet'!$A$140,$CQ$205^A52,IF(A52='Données projet'!$A$140,'Données projet'!$B$140,CT51+CS52-DB51)))</f>
        <v>201.60000000000005</v>
      </c>
      <c r="CU52" s="18">
        <f>CT52*VLOOKUP('Données projet'!$B$13,Paramètres!$A$1:$I$89,3,0)*VLOOKUP('Données projet'!$B$13,Paramètres!$A$1:$I$89,5,0)</f>
        <v>176.11776000000006</v>
      </c>
      <c r="CV52" s="14">
        <f t="shared" si="41"/>
        <v>44.457366290237246</v>
      </c>
      <c r="CW52" s="22">
        <f t="shared" si="13"/>
        <v>384.16834495549665</v>
      </c>
      <c r="CX52" s="62">
        <f t="shared" si="14"/>
        <v>677.50167828882991</v>
      </c>
      <c r="CY52" s="62">
        <f ca="1">AVERAGE(OFFSET($CX$3,0,0,'Données projet'!$E$13+1,1))-AVERAGE(OFFSET($H$3,0,0,'Données projet'!$E$13+1,1))</f>
        <v>354.24684313982857</v>
      </c>
      <c r="CZ52" s="62">
        <f t="shared" si="42"/>
        <v>322.65043486962185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7.5063816835511901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7.5063816835511901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176.45409600000011</v>
      </c>
      <c r="P53" s="14">
        <f t="shared" si="33"/>
        <v>44.532376676436577</v>
      </c>
      <c r="Q53" s="22">
        <f t="shared" si="53"/>
        <v>384.88477324479385</v>
      </c>
      <c r="R53" s="62">
        <f t="shared" si="0"/>
        <v>678.21810657812716</v>
      </c>
      <c r="S53" s="62">
        <f ca="1">AVERAGE(OFFSET($R$3,0,0,'Données projet'!$E$9+1,1))-AVERAGE(OFFSET($H$3,0,0,'Données projet'!$E$9+1,1))</f>
        <v>581.88778927327667</v>
      </c>
      <c r="T53" s="62">
        <f t="shared" si="34"/>
        <v>269.67340993773422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8.6000000000000007E-2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6.2328921337587886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6.2328921337587886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242</v>
      </c>
      <c r="AG53" s="13">
        <f>VLOOKUP(A53,'Données projet'!$A$61:$I$81,9,0)</f>
        <v>9</v>
      </c>
      <c r="AH53" s="13">
        <f t="array" ref="AH53">INDEX(AG:AG,MIN(IF(ISNUMBER(AG53:AG249),ROW(AG53:AG249),"")))</f>
        <v>9</v>
      </c>
      <c r="AI53" s="14">
        <f>IF('Données projet'!$A$62&gt;35,AI52+AH53-AQ52,IF(A53&lt;'Données projet'!$A$62,$AF$205^A53,IF(A53='Données projet'!$A$62,'Données projet'!$B$62,AI52+AH53-AQ52)))</f>
        <v>242.00000000000009</v>
      </c>
      <c r="AJ53" s="14">
        <f>AI53*VLOOKUP('Données projet'!$B$10,Paramètres!$A$1:$I$89,3,0)*VLOOKUP('Données projet'!$B$10,Paramètres!$A$1:$I$89,5,0)</f>
        <v>230.2872000000001</v>
      </c>
      <c r="AK53" s="14">
        <f t="shared" si="35"/>
        <v>56.344776374960006</v>
      </c>
      <c r="AL53" s="22">
        <f t="shared" si="4"/>
        <v>499.21735885305549</v>
      </c>
      <c r="AM53" s="62">
        <f t="shared" si="5"/>
        <v>792.5506921863888</v>
      </c>
      <c r="AN53" s="62">
        <f ca="1">AVERAGE(OFFSET($AM$3,0,0,'Données projet'!$E$10+1,1))-AVERAGE(OFFSET($H$3,0,0,'Données projet'!$E$10+1,1))</f>
        <v>444.81608506581125</v>
      </c>
      <c r="AO53" s="62">
        <f t="shared" si="36"/>
        <v>306.75289431725565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30</v>
      </c>
      <c r="AR53" s="17">
        <f>IF(ISNA(VLOOKUP(A53,'Données projet'!$A$61:$I$81,5,0)),0%,VLOOKUP(A53,'Données projet'!$A$61:$I$81,5,0)*VLOOKUP('Données projet'!$B$10,Paramètres!$A$1:$I$89,7,0))</f>
        <v>0.129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9.7738157068316873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9.7738157068316873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195.02</v>
      </c>
      <c r="BB53" s="13">
        <f>VLOOKUP(A53,'Données projet'!$A$87:$I$107,9,0)</f>
        <v>9.3712500000000034</v>
      </c>
      <c r="BC53" s="13">
        <f t="array" ref="BC53">INDEX(BB:BB,MIN(IF(ISNUMBER(BB53:BB249),ROW(BB53:BB249),"")))</f>
        <v>9.3712500000000034</v>
      </c>
      <c r="BD53" s="13">
        <f>IF('Données projet'!$A$88&gt;35,BD52+BC53-BL52,IF(A53&lt;'Données projet'!$A$88,$BA$205^A53,IF(A53='Données projet'!$A$88,'Données projet'!$B$88,BD52+BC53-BL52)))</f>
        <v>195.02000000000012</v>
      </c>
      <c r="BE53" s="14">
        <f>BD53*VLOOKUP('Données projet'!$B$11,Paramètres!$A$1:$I$89,3,0)*VLOOKUP('Données projet'!$B$11,Paramètres!$A$1:$I$89,5,0)</f>
        <v>209.91952800000013</v>
      </c>
      <c r="BF53" s="14">
        <f t="shared" si="37"/>
        <v>51.918000149410624</v>
      </c>
      <c r="BG53" s="22">
        <f t="shared" si="7"/>
        <v>456.03369486022365</v>
      </c>
      <c r="BH53" s="62">
        <f t="shared" si="8"/>
        <v>749.36702819355696</v>
      </c>
      <c r="BI53" s="62">
        <f ca="1">AVERAGE(OFFSET($BH$3,0,0,'Données projet'!$E$11+1,1))-AVERAGE(OFFSET($H$3,0,0,'Données projet'!$E$11+1,1))</f>
        <v>683.36974161977764</v>
      </c>
      <c r="BJ53" s="62">
        <f t="shared" si="38"/>
        <v>312.6921234697457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35.58</v>
      </c>
      <c r="BM53" s="17">
        <f>IF(ISNA(VLOOKUP(A53,'Données projet'!$A$87:$I$107,5,0)),0%,VLOOKUP(A53,'Données projet'!$A$87:$I$107,5,0)*VLOOKUP('Données projet'!$B$11,Paramètres!$A$1:$I$89,7,0))</f>
        <v>8.6000000000000007E-2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7.4149923660233874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7.4149923660233874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195.02</v>
      </c>
      <c r="BW53" s="13">
        <f>VLOOKUP(A53,'Données projet'!$A$113:$I$133,9,0)</f>
        <v>9.3712500000000034</v>
      </c>
      <c r="BX53" s="13">
        <f t="array" ref="BX53">INDEX(BW:BW,MIN(IF(ISNUMBER(BW53:BW249),ROW(BW53:BW249),"")))</f>
        <v>9.3712500000000034</v>
      </c>
      <c r="BY53" s="13">
        <f>IF('Données projet'!$A$114&gt;35,BY52+BX53-CG52,IF(A53&lt;'Données projet'!$A$114,$BV$205^A53,IF(A53='Données projet'!$A$114,'Données projet'!$B$114,BY52+BX53-CG52)))</f>
        <v>195.02000000000012</v>
      </c>
      <c r="BZ53" s="14">
        <f>BY53*VLOOKUP('Données projet'!$B$12,Paramètres!$A$1:$I$89,3,0)*VLOOKUP('Données projet'!$B$12,Paramètres!$A$1:$I$89,5,0)</f>
        <v>188.62334400000012</v>
      </c>
      <c r="CA53" s="14">
        <f t="shared" si="39"/>
        <v>47.235465062657511</v>
      </c>
      <c r="CB53" s="22">
        <f t="shared" si="10"/>
        <v>410.78742578412863</v>
      </c>
      <c r="CC53" s="62">
        <f t="shared" si="11"/>
        <v>704.12075911746194</v>
      </c>
      <c r="CD53" s="62">
        <f ca="1">AVERAGE(OFFSET($CC$3,0,0,'Données projet'!$E$12+1,1))-AVERAGE(OFFSET($H$3,0,0,'Données projet'!$E$12+1,1))</f>
        <v>618.83149423524605</v>
      </c>
      <c r="CE53" s="62">
        <f t="shared" si="40"/>
        <v>285.33582535802435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35.58</v>
      </c>
      <c r="CH53" s="17">
        <f>IF(ISNA(VLOOKUP(A53,'Données projet'!$A$113:$I$133,5,0)),0%,VLOOKUP(A53,'Données projet'!$A$113:$I$133,5,0)*VLOOKUP('Données projet'!$B$12,Paramètres!$A$1:$I$89,7,0))</f>
        <v>8.6000000000000007E-2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6.662746763673189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6.662746763673189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209</v>
      </c>
      <c r="CR53" s="13">
        <f>VLOOKUP(A53,'Données projet'!$A$139:$I$159,9,0)</f>
        <v>7.4</v>
      </c>
      <c r="CS53" s="13">
        <f t="array" ref="CS53">INDEX(CR:CR,MIN(IF(ISNUMBER(CR53:CR249),ROW(CR53:CR249),"")))</f>
        <v>7.4</v>
      </c>
      <c r="CT53" s="13">
        <f>IF('Données projet'!$A$140&gt;35,CT52+CS53-DB52,IF(A53&lt;'Données projet'!$A$140,$CQ$205^A53,IF(A53='Données projet'!$A$140,'Données projet'!$B$140,CT52+CS53-DB52)))</f>
        <v>209.00000000000006</v>
      </c>
      <c r="CU53" s="18">
        <f>CT53*VLOOKUP('Données projet'!$B$13,Paramètres!$A$1:$I$89,3,0)*VLOOKUP('Données projet'!$B$13,Paramètres!$A$1:$I$89,5,0)</f>
        <v>182.58240000000009</v>
      </c>
      <c r="CV53" s="14">
        <f t="shared" si="41"/>
        <v>45.896245406460288</v>
      </c>
      <c r="CW53" s="22">
        <f t="shared" si="13"/>
        <v>397.93364074958509</v>
      </c>
      <c r="CX53" s="62">
        <f t="shared" si="14"/>
        <v>691.26697408291841</v>
      </c>
      <c r="CY53" s="62">
        <f ca="1">AVERAGE(OFFSET($CX$3,0,0,'Données projet'!$E$13+1,1))-AVERAGE(OFFSET($H$3,0,0,'Données projet'!$E$13+1,1))</f>
        <v>354.24684313982857</v>
      </c>
      <c r="CZ53" s="62">
        <f t="shared" si="42"/>
        <v>322.65043486962185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24</v>
      </c>
      <c r="DC53" s="17">
        <f>IF(ISNA(VLOOKUP(A53,'Données projet'!$A$139:$I$159,5,0)),0%,VLOOKUP(A53,'Données projet'!$A$139:$I$159,5,0)*VLOOKUP('Données projet'!$B$13,Paramètres!$A$1:$I$89,7,0))</f>
        <v>0.17200000000000001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11.345756393633115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11.345756393633115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152.90554500000013</v>
      </c>
      <c r="P54" s="14">
        <f t="shared" si="33"/>
        <v>39.238142074568863</v>
      </c>
      <c r="Q54" s="22">
        <f t="shared" si="53"/>
        <v>334.65025498820768</v>
      </c>
      <c r="R54" s="62">
        <f t="shared" si="0"/>
        <v>627.98358832154099</v>
      </c>
      <c r="S54" s="62">
        <f ca="1">AVERAGE(OFFSET($R$3,0,0,'Données projet'!$E$9+1,1))-AVERAGE(OFFSET($H$3,0,0,'Données projet'!$E$9+1,1))</f>
        <v>581.88778927327667</v>
      </c>
      <c r="T54" s="62">
        <f t="shared" si="34"/>
        <v>269.67340993773422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6.1106689207045948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6.1106689207045948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220.60000000000008</v>
      </c>
      <c r="AJ54" s="14">
        <f>AI54*VLOOKUP('Données projet'!$B$10,Paramètres!$A$1:$I$89,3,0)*VLOOKUP('Données projet'!$B$10,Paramètres!$A$1:$I$89,5,0)</f>
        <v>209.9229600000001</v>
      </c>
      <c r="AK54" s="14">
        <f t="shared" si="35"/>
        <v>51.918750160504374</v>
      </c>
      <c r="AL54" s="22">
        <f t="shared" si="4"/>
        <v>456.04097852954527</v>
      </c>
      <c r="AM54" s="62">
        <f t="shared" si="5"/>
        <v>749.37431186287859</v>
      </c>
      <c r="AN54" s="62">
        <f ca="1">AVERAGE(OFFSET($AM$3,0,0,'Données projet'!$E$10+1,1))-AVERAGE(OFFSET($H$3,0,0,'Données projet'!$E$10+1,1))</f>
        <v>444.81608506581125</v>
      </c>
      <c r="AO54" s="62">
        <f t="shared" si="36"/>
        <v>306.75289431725565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9.5821571422596552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9.5821571422596552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9.5537500000000009</v>
      </c>
      <c r="BD54" s="13">
        <f>IF('Données projet'!$A$88&gt;35,BD53+BC54-BL53,IF(A54&lt;'Données projet'!$A$88,$BA$205^A54,IF(A54='Données projet'!$A$88,'Données projet'!$B$88,BD53+BC54-BL53)))</f>
        <v>168.99375000000015</v>
      </c>
      <c r="BE54" s="14">
        <f>BD54*VLOOKUP('Données projet'!$B$11,Paramètres!$A$1:$I$89,3,0)*VLOOKUP('Données projet'!$B$11,Paramètres!$A$1:$I$89,5,0)</f>
        <v>181.90487250000015</v>
      </c>
      <c r="BF54" s="14">
        <f t="shared" si="37"/>
        <v>45.745725203298825</v>
      </c>
      <c r="BG54" s="22">
        <f t="shared" si="7"/>
        <v>396.49145766657904</v>
      </c>
      <c r="BH54" s="62">
        <f t="shared" si="8"/>
        <v>689.82479099991235</v>
      </c>
      <c r="BI54" s="62">
        <f ca="1">AVERAGE(OFFSET($BH$3,0,0,'Données projet'!$E$11+1,1))-AVERAGE(OFFSET($H$3,0,0,'Données projet'!$E$11+1,1))</f>
        <v>683.36974161977764</v>
      </c>
      <c r="BJ54" s="62">
        <f t="shared" si="38"/>
        <v>312.6921234697457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7.2695888884244324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7.2695888884244324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9.5537500000000009</v>
      </c>
      <c r="BY54" s="13">
        <f>IF('Données projet'!$A$114&gt;35,BY53+BX54-CG53,IF(A54&lt;'Données projet'!$A$114,$BV$205^A54,IF(A54='Données projet'!$A$114,'Données projet'!$B$114,BY53+BX54-CG53)))</f>
        <v>168.99375000000015</v>
      </c>
      <c r="BZ54" s="14">
        <f>BY54*VLOOKUP('Données projet'!$B$12,Paramètres!$A$1:$I$89,3,0)*VLOOKUP('Données projet'!$B$12,Paramètres!$A$1:$I$89,5,0)</f>
        <v>163.45075500000016</v>
      </c>
      <c r="CA54" s="14">
        <f t="shared" si="39"/>
        <v>41.619873615853834</v>
      </c>
      <c r="CB54" s="22">
        <f t="shared" si="10"/>
        <v>357.16467817261235</v>
      </c>
      <c r="CC54" s="62">
        <f t="shared" si="11"/>
        <v>650.49801150594567</v>
      </c>
      <c r="CD54" s="62">
        <f ca="1">AVERAGE(OFFSET($CC$3,0,0,'Données projet'!$E$12+1,1))-AVERAGE(OFFSET($H$3,0,0,'Données projet'!$E$12+1,1))</f>
        <v>618.83149423524605</v>
      </c>
      <c r="CE54" s="62">
        <f t="shared" si="40"/>
        <v>285.33582535802435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6.5320943635118089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6.5320943635118089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6.6</v>
      </c>
      <c r="CT54" s="13">
        <f>IF('Données projet'!$A$140&gt;35,CT53+CS54-DB53,IF(A54&lt;'Données projet'!$A$140,$CQ$205^A54,IF(A54='Données projet'!$A$140,'Données projet'!$B$140,CT53+CS54-DB53)))</f>
        <v>191.60000000000005</v>
      </c>
      <c r="CU54" s="18">
        <f>CT54*VLOOKUP('Données projet'!$B$13,Paramètres!$A$1:$I$89,3,0)*VLOOKUP('Données projet'!$B$13,Paramètres!$A$1:$I$89,5,0)</f>
        <v>167.38176000000007</v>
      </c>
      <c r="CV54" s="14">
        <f t="shared" si="41"/>
        <v>42.503096259839239</v>
      </c>
      <c r="CW54" s="22">
        <f t="shared" si="13"/>
        <v>365.5494579858867</v>
      </c>
      <c r="CX54" s="62">
        <f t="shared" si="14"/>
        <v>658.88279131922002</v>
      </c>
      <c r="CY54" s="62">
        <f ca="1">AVERAGE(OFFSET($CX$3,0,0,'Données projet'!$E$13+1,1))-AVERAGE(OFFSET($H$3,0,0,'Données projet'!$E$13+1,1))</f>
        <v>354.24684313982857</v>
      </c>
      <c r="CZ54" s="62">
        <f t="shared" si="42"/>
        <v>322.65043486962185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11.123273030982054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11.123273030982054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161.54977800000012</v>
      </c>
      <c r="P55" s="14">
        <f t="shared" si="33"/>
        <v>41.191875810979205</v>
      </c>
      <c r="Q55" s="22">
        <f t="shared" si="53"/>
        <v>353.10838038745561</v>
      </c>
      <c r="R55" s="62">
        <f t="shared" si="0"/>
        <v>646.44171372078893</v>
      </c>
      <c r="S55" s="62">
        <f ca="1">AVERAGE(OFFSET($R$3,0,0,'Données projet'!$E$9+1,1))-AVERAGE(OFFSET($H$3,0,0,'Données projet'!$E$9+1,1))</f>
        <v>581.88778927327667</v>
      </c>
      <c r="T55" s="62">
        <f t="shared" si="34"/>
        <v>269.67340993773422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5.9908424303095948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5.9908424303095948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229.20000000000007</v>
      </c>
      <c r="AJ55" s="14">
        <f>AI55*VLOOKUP('Données projet'!$B$10,Paramètres!$A$1:$I$89,3,0)*VLOOKUP('Données projet'!$B$10,Paramètres!$A$1:$I$89,5,0)</f>
        <v>218.10672000000008</v>
      </c>
      <c r="AK55" s="14">
        <f t="shared" si="35"/>
        <v>53.703183903018903</v>
      </c>
      <c r="AL55" s="22">
        <f t="shared" si="4"/>
        <v>473.40224929775815</v>
      </c>
      <c r="AM55" s="62">
        <f t="shared" si="5"/>
        <v>766.73558263109146</v>
      </c>
      <c r="AN55" s="62">
        <f ca="1">AVERAGE(OFFSET($AM$3,0,0,'Données projet'!$E$10+1,1))-AVERAGE(OFFSET($H$3,0,0,'Données projet'!$E$10+1,1))</f>
        <v>444.81608506581125</v>
      </c>
      <c r="AO55" s="62">
        <f t="shared" si="36"/>
        <v>306.75289431725565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9.3942568852387005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9.3942568852387005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9.5537500000000009</v>
      </c>
      <c r="BD55" s="13">
        <f>IF('Données projet'!$A$88&gt;35,BD54+BC55-BL54,IF(A55&lt;'Données projet'!$A$88,$BA$205^A55,IF(A55='Données projet'!$A$88,'Données projet'!$B$88,BD54+BC55-BL54)))</f>
        <v>178.54750000000016</v>
      </c>
      <c r="BE55" s="14">
        <f>BD55*VLOOKUP('Données projet'!$B$11,Paramètres!$A$1:$I$89,3,0)*VLOOKUP('Données projet'!$B$11,Paramètres!$A$1:$I$89,5,0)</f>
        <v>192.18852900000016</v>
      </c>
      <c r="BF55" s="14">
        <f t="shared" si="37"/>
        <v>48.023482556243664</v>
      </c>
      <c r="BG55" s="22">
        <f t="shared" si="7"/>
        <v>418.36925346045797</v>
      </c>
      <c r="BH55" s="62">
        <f t="shared" si="8"/>
        <v>711.70258679379128</v>
      </c>
      <c r="BI55" s="62">
        <f ca="1">AVERAGE(OFFSET($BH$3,0,0,'Données projet'!$E$11+1,1))-AVERAGE(OFFSET($H$3,0,0,'Données projet'!$E$11+1,1))</f>
        <v>683.36974161977764</v>
      </c>
      <c r="BJ55" s="62">
        <f t="shared" si="38"/>
        <v>312.6921234697457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7.1270366843338291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7.1270366843338291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9.5537500000000009</v>
      </c>
      <c r="BY55" s="13">
        <f>IF('Données projet'!$A$114&gt;35,BY54+BX55-CG54,IF(A55&lt;'Données projet'!$A$114,$BV$205^A55,IF(A55='Données projet'!$A$114,'Données projet'!$B$114,BY54+BX55-CG54)))</f>
        <v>178.54750000000016</v>
      </c>
      <c r="BZ55" s="14">
        <f>BY55*VLOOKUP('Données projet'!$B$12,Paramètres!$A$1:$I$89,3,0)*VLOOKUP('Données projet'!$B$12,Paramètres!$A$1:$I$89,5,0)</f>
        <v>172.69114200000016</v>
      </c>
      <c r="CA55" s="14">
        <f t="shared" si="39"/>
        <v>43.69219781086543</v>
      </c>
      <c r="CB55" s="22">
        <f t="shared" si="10"/>
        <v>376.86765017059088</v>
      </c>
      <c r="CC55" s="62">
        <f t="shared" si="11"/>
        <v>670.20098350392414</v>
      </c>
      <c r="CD55" s="62">
        <f ca="1">AVERAGE(OFFSET($CC$3,0,0,'Données projet'!$E$12+1,1))-AVERAGE(OFFSET($H$3,0,0,'Données projet'!$E$12+1,1))</f>
        <v>618.83149423524605</v>
      </c>
      <c r="CE55" s="62">
        <f t="shared" si="40"/>
        <v>285.33582535802435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6.4040039772274984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6.4040039772274984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6.6</v>
      </c>
      <c r="CT55" s="13">
        <f>IF('Données projet'!$A$140&gt;35,CT54+CS55-DB54,IF(A55&lt;'Données projet'!$A$140,$CQ$205^A55,IF(A55='Données projet'!$A$140,'Données projet'!$B$140,CT54+CS55-DB54)))</f>
        <v>198.20000000000005</v>
      </c>
      <c r="CU55" s="18">
        <f>CT55*VLOOKUP('Données projet'!$B$13,Paramètres!$A$1:$I$89,3,0)*VLOOKUP('Données projet'!$B$13,Paramètres!$A$1:$I$89,5,0)</f>
        <v>173.14752000000007</v>
      </c>
      <c r="CV55" s="14">
        <f t="shared" si="41"/>
        <v>43.794208927254068</v>
      </c>
      <c r="CW55" s="22">
        <f t="shared" si="13"/>
        <v>377.84017788163425</v>
      </c>
      <c r="CX55" s="62">
        <f t="shared" si="14"/>
        <v>671.17351121496756</v>
      </c>
      <c r="CY55" s="62">
        <f ca="1">AVERAGE(OFFSET($CX$3,0,0,'Données projet'!$E$13+1,1))-AVERAGE(OFFSET($H$3,0,0,'Données projet'!$E$13+1,1))</f>
        <v>354.24684313982857</v>
      </c>
      <c r="CZ55" s="62">
        <f t="shared" si="42"/>
        <v>322.65043486962185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10.905152431371128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10.905152431371128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170.19401100000013</v>
      </c>
      <c r="P56" s="14">
        <f t="shared" si="33"/>
        <v>43.133472710542861</v>
      </c>
      <c r="Q56" s="22">
        <f t="shared" si="53"/>
        <v>371.54536746252899</v>
      </c>
      <c r="R56" s="62">
        <f t="shared" si="0"/>
        <v>664.8787007958623</v>
      </c>
      <c r="S56" s="62">
        <f ca="1">AVERAGE(OFFSET($R$3,0,0,'Données projet'!$E$9+1,1))-AVERAGE(OFFSET($H$3,0,0,'Données projet'!$E$9+1,1))</f>
        <v>581.88778927327667</v>
      </c>
      <c r="T56" s="62">
        <f t="shared" si="34"/>
        <v>269.67340993773422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5.8733656643042984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5.8733656643042984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237.80000000000007</v>
      </c>
      <c r="AJ56" s="14">
        <f>AI56*VLOOKUP('Données projet'!$B$10,Paramètres!$A$1:$I$89,3,0)*VLOOKUP('Données projet'!$B$10,Paramètres!$A$1:$I$89,5,0)</f>
        <v>226.29048000000009</v>
      </c>
      <c r="AK56" s="14">
        <f t="shared" si="35"/>
        <v>55.479839127853573</v>
      </c>
      <c r="AL56" s="22">
        <f t="shared" si="4"/>
        <v>490.74997248101175</v>
      </c>
      <c r="AM56" s="62">
        <f t="shared" si="5"/>
        <v>784.08330581434507</v>
      </c>
      <c r="AN56" s="62">
        <f ca="1">AVERAGE(OFFSET($AM$3,0,0,'Données projet'!$E$10+1,1))-AVERAGE(OFFSET($H$3,0,0,'Données projet'!$E$10+1,1))</f>
        <v>444.81608506581125</v>
      </c>
      <c r="AO56" s="62">
        <f t="shared" si="36"/>
        <v>306.75289431725565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9.2100412376500866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9.2100412376500866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9.5537500000000009</v>
      </c>
      <c r="BD56" s="13">
        <f>IF('Données projet'!$A$88&gt;35,BD55+BC56-BL55,IF(A56&lt;'Données projet'!$A$88,$BA$205^A56,IF(A56='Données projet'!$A$88,'Données projet'!$B$88,BD55+BC56-BL55)))</f>
        <v>188.10125000000016</v>
      </c>
      <c r="BE56" s="14">
        <f>BD56*VLOOKUP('Données projet'!$B$11,Paramètres!$A$1:$I$89,3,0)*VLOOKUP('Données projet'!$B$11,Paramètres!$A$1:$I$89,5,0)</f>
        <v>202.47218550000019</v>
      </c>
      <c r="BF56" s="14">
        <f t="shared" si="37"/>
        <v>50.287090197355241</v>
      </c>
      <c r="BG56" s="22">
        <f t="shared" si="7"/>
        <v>440.22240517289401</v>
      </c>
      <c r="BH56" s="62">
        <f t="shared" si="8"/>
        <v>733.55573850622727</v>
      </c>
      <c r="BI56" s="62">
        <f ca="1">AVERAGE(OFFSET($BH$3,0,0,'Données projet'!$E$11+1,1))-AVERAGE(OFFSET($H$3,0,0,'Données projet'!$E$11+1,1))</f>
        <v>683.36974161977764</v>
      </c>
      <c r="BJ56" s="62">
        <f t="shared" si="38"/>
        <v>312.6921234697457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6.9872798420171831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6.9872798420171831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9.5537500000000009</v>
      </c>
      <c r="BY56" s="13">
        <f>IF('Données projet'!$A$114&gt;35,BY55+BX56-CG55,IF(A56&lt;'Données projet'!$A$114,$BV$205^A56,IF(A56='Données projet'!$A$114,'Données projet'!$B$114,BY55+BX56-CG55)))</f>
        <v>188.10125000000016</v>
      </c>
      <c r="BZ56" s="14">
        <f>BY56*VLOOKUP('Données projet'!$B$12,Paramètres!$A$1:$I$89,3,0)*VLOOKUP('Données projet'!$B$12,Paramètres!$A$1:$I$89,5,0)</f>
        <v>181.93152900000015</v>
      </c>
      <c r="CA56" s="14">
        <f t="shared" si="39"/>
        <v>45.751648470358951</v>
      </c>
      <c r="CB56" s="22">
        <f t="shared" si="10"/>
        <v>396.54820076087543</v>
      </c>
      <c r="CC56" s="62">
        <f t="shared" si="11"/>
        <v>689.88153409420875</v>
      </c>
      <c r="CD56" s="62">
        <f ca="1">AVERAGE(OFFSET($CC$3,0,0,'Données projet'!$E$12+1,1))-AVERAGE(OFFSET($H$3,0,0,'Données projet'!$E$12+1,1))</f>
        <v>618.83149423524605</v>
      </c>
      <c r="CE56" s="62">
        <f t="shared" si="40"/>
        <v>285.33582535802435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6.2784253652908024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6.2784253652908024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6.6</v>
      </c>
      <c r="CT56" s="13">
        <f>IF('Données projet'!$A$140&gt;35,CT55+CS56-DB55,IF(A56&lt;'Données projet'!$A$140,$CQ$205^A56,IF(A56='Données projet'!$A$140,'Données projet'!$B$140,CT55+CS56-DB55)))</f>
        <v>204.80000000000004</v>
      </c>
      <c r="CU56" s="18">
        <f>CT56*VLOOKUP('Données projet'!$B$13,Paramètres!$A$1:$I$89,3,0)*VLOOKUP('Données projet'!$B$13,Paramètres!$A$1:$I$89,5,0)</f>
        <v>178.91328000000004</v>
      </c>
      <c r="CV56" s="14">
        <f t="shared" si="41"/>
        <v>45.080325843494848</v>
      </c>
      <c r="CW56" s="22">
        <f t="shared" si="13"/>
        <v>390.12219684408689</v>
      </c>
      <c r="CX56" s="62">
        <f t="shared" si="14"/>
        <v>683.4555301774202</v>
      </c>
      <c r="CY56" s="62">
        <f ca="1">AVERAGE(OFFSET($CX$3,0,0,'Données projet'!$E$13+1,1))-AVERAGE(OFFSET($H$3,0,0,'Données projet'!$E$13+1,1))</f>
        <v>354.24684313982857</v>
      </c>
      <c r="CZ56" s="62">
        <f t="shared" si="42"/>
        <v>322.65043486962185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10.691309043678144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10.691309043678144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178.83824400000015</v>
      </c>
      <c r="P57" s="14">
        <f t="shared" si="33"/>
        <v>45.06361953668285</v>
      </c>
      <c r="Q57" s="22">
        <f t="shared" si="53"/>
        <v>389.96241232638954</v>
      </c>
      <c r="R57" s="62">
        <f t="shared" si="0"/>
        <v>683.2957456597228</v>
      </c>
      <c r="S57" s="62">
        <f ca="1">AVERAGE(OFFSET($R$3,0,0,'Données projet'!$E$9+1,1))-AVERAGE(OFFSET($H$3,0,0,'Données projet'!$E$9+1,1))</f>
        <v>581.88778927327667</v>
      </c>
      <c r="T57" s="62">
        <f t="shared" si="34"/>
        <v>269.67340993773422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5.7581925460266135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5.7581925460266135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246.40000000000006</v>
      </c>
      <c r="AJ57" s="14">
        <f>AI57*VLOOKUP('Données projet'!$B$10,Paramètres!$A$1:$I$89,3,0)*VLOOKUP('Données projet'!$B$10,Paramètres!$A$1:$I$89,5,0)</f>
        <v>234.47424000000007</v>
      </c>
      <c r="AK57" s="14">
        <f t="shared" si="35"/>
        <v>57.249029367164617</v>
      </c>
      <c r="AL57" s="22">
        <f t="shared" si="4"/>
        <v>508.08469414781183</v>
      </c>
      <c r="AM57" s="62">
        <f t="shared" si="5"/>
        <v>801.41802748114515</v>
      </c>
      <c r="AN57" s="62">
        <f ca="1">AVERAGE(OFFSET($AM$3,0,0,'Données projet'!$E$10+1,1))-AVERAGE(OFFSET($H$3,0,0,'Données projet'!$E$10+1,1))</f>
        <v>444.81608506581125</v>
      </c>
      <c r="AO57" s="62">
        <f t="shared" si="36"/>
        <v>306.75289431725565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9.0294379465502352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9.0294379465502352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9.5537500000000009</v>
      </c>
      <c r="BD57" s="13">
        <f>IF('Données projet'!$A$88&gt;35,BD56+BC57-BL56,IF(A57&lt;'Données projet'!$A$88,$BA$205^A57,IF(A57='Données projet'!$A$88,'Données projet'!$B$88,BD56+BC57-BL56)))</f>
        <v>197.65500000000017</v>
      </c>
      <c r="BE57" s="14">
        <f>BD57*VLOOKUP('Données projet'!$B$11,Paramètres!$A$1:$I$89,3,0)*VLOOKUP('Données projet'!$B$11,Paramètres!$A$1:$I$89,5,0)</f>
        <v>212.75584200000017</v>
      </c>
      <c r="BF57" s="14">
        <f t="shared" si="37"/>
        <v>52.537348788672297</v>
      </c>
      <c r="BG57" s="22">
        <f t="shared" si="7"/>
        <v>462.05230729027113</v>
      </c>
      <c r="BH57" s="62">
        <f t="shared" si="8"/>
        <v>755.38564062360444</v>
      </c>
      <c r="BI57" s="62">
        <f ca="1">AVERAGE(OFFSET($BH$3,0,0,'Données projet'!$E$11+1,1))-AVERAGE(OFFSET($H$3,0,0,'Données projet'!$E$11+1,1))</f>
        <v>683.36974161977764</v>
      </c>
      <c r="BJ57" s="62">
        <f t="shared" si="38"/>
        <v>312.6921234697457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6.8502635461351105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6.8502635461351105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9.5537500000000009</v>
      </c>
      <c r="BY57" s="13">
        <f>IF('Données projet'!$A$114&gt;35,BY56+BX57-CG56,IF(A57&lt;'Données projet'!$A$114,$BV$205^A57,IF(A57='Données projet'!$A$114,'Données projet'!$B$114,BY56+BX57-CG56)))</f>
        <v>197.65500000000017</v>
      </c>
      <c r="BZ57" s="14">
        <f>BY57*VLOOKUP('Données projet'!$B$12,Paramètres!$A$1:$I$89,3,0)*VLOOKUP('Données projet'!$B$12,Paramètres!$A$1:$I$89,5,0)</f>
        <v>191.17191600000018</v>
      </c>
      <c r="CA57" s="14">
        <f t="shared" si="39"/>
        <v>47.798954043882908</v>
      </c>
      <c r="CB57" s="22">
        <f t="shared" si="10"/>
        <v>416.20759865976305</v>
      </c>
      <c r="CC57" s="62">
        <f t="shared" si="11"/>
        <v>709.54093199309636</v>
      </c>
      <c r="CD57" s="62">
        <f ca="1">AVERAGE(OFFSET($CC$3,0,0,'Données projet'!$E$12+1,1))-AVERAGE(OFFSET($H$3,0,0,'Données projet'!$E$12+1,1))</f>
        <v>618.83149423524605</v>
      </c>
      <c r="CE57" s="62">
        <f t="shared" si="40"/>
        <v>285.33582535802435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6.1553092733387951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6.1553092733387951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6.6</v>
      </c>
      <c r="CT57" s="13">
        <f>IF('Données projet'!$A$140&gt;35,CT56+CS57-DB56,IF(A57&lt;'Données projet'!$A$140,$CQ$205^A57,IF(A57='Données projet'!$A$140,'Données projet'!$B$140,CT56+CS57-DB56)))</f>
        <v>211.40000000000003</v>
      </c>
      <c r="CU57" s="18">
        <f>CT57*VLOOKUP('Données projet'!$B$13,Paramètres!$A$1:$I$89,3,0)*VLOOKUP('Données projet'!$B$13,Paramètres!$A$1:$I$89,5,0)</f>
        <v>184.67904000000004</v>
      </c>
      <c r="CV57" s="14">
        <f t="shared" si="41"/>
        <v>46.361626470742223</v>
      </c>
      <c r="CW57" s="22">
        <f t="shared" si="13"/>
        <v>402.39582743654279</v>
      </c>
      <c r="CX57" s="62">
        <f t="shared" si="14"/>
        <v>695.7291607698761</v>
      </c>
      <c r="CY57" s="62">
        <f ca="1">AVERAGE(OFFSET($CX$3,0,0,'Données projet'!$E$13+1,1))-AVERAGE(OFFSET($H$3,0,0,'Données projet'!$E$13+1,1))</f>
        <v>354.24684313982857</v>
      </c>
      <c r="CZ57" s="62">
        <f t="shared" si="42"/>
        <v>322.65043486962185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10.481658994386231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10.481658994386231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187.48247700000016</v>
      </c>
      <c r="P58" s="14">
        <f t="shared" si="33"/>
        <v>46.982932911694917</v>
      </c>
      <c r="Q58" s="22">
        <f t="shared" si="53"/>
        <v>408.3605889295356</v>
      </c>
      <c r="R58" s="62">
        <f t="shared" si="0"/>
        <v>701.69392226286891</v>
      </c>
      <c r="S58" s="62">
        <f ca="1">AVERAGE(OFFSET($R$3,0,0,'Données projet'!$E$9+1,1))-AVERAGE(OFFSET($H$3,0,0,'Données projet'!$E$9+1,1))</f>
        <v>581.88778927327667</v>
      </c>
      <c r="T58" s="62">
        <f t="shared" si="34"/>
        <v>269.67340993773422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5.6452779023496884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5.6452779023496884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255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255.00000000000006</v>
      </c>
      <c r="AJ58" s="14">
        <f>AI58*VLOOKUP('Données projet'!$B$10,Paramètres!$A$1:$I$89,3,0)*VLOOKUP('Données projet'!$B$10,Paramètres!$A$1:$I$89,5,0)</f>
        <v>242.65800000000007</v>
      </c>
      <c r="AK58" s="14">
        <f t="shared" si="35"/>
        <v>59.011045025839607</v>
      </c>
      <c r="AL58" s="22">
        <f t="shared" si="4"/>
        <v>525.40692008667077</v>
      </c>
      <c r="AM58" s="62">
        <f t="shared" si="5"/>
        <v>818.74025342000414</v>
      </c>
      <c r="AN58" s="62">
        <f ca="1">AVERAGE(OFFSET($AM$3,0,0,'Données projet'!$E$10+1,1))-AVERAGE(OFFSET($H$3,0,0,'Données projet'!$E$10+1,1))</f>
        <v>444.81608506581125</v>
      </c>
      <c r="AO58" s="62">
        <f t="shared" si="36"/>
        <v>306.75289431725565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30</v>
      </c>
      <c r="AR58" s="17">
        <f>IF(ISNA(VLOOKUP(A58,'Données projet'!$A$61:$I$81,5,0)),0%,VLOOKUP(A58,'Données projet'!$A$61:$I$81,5,0)*VLOOKUP('Données projet'!$B$10,Paramètres!$A$1:$I$89,7,0))</f>
        <v>0.17200000000000001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14.280518739755665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14.280518739755665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9.5537500000000009</v>
      </c>
      <c r="BD58" s="13">
        <f>IF('Données projet'!$A$88&gt;35,BD57+BC58-BL57,IF(A58&lt;'Données projet'!$A$88,$BA$205^A58,IF(A58='Données projet'!$A$88,'Données projet'!$B$88,BD57+BC58-BL57)))</f>
        <v>207.20875000000018</v>
      </c>
      <c r="BE58" s="14">
        <f>BD58*VLOOKUP('Données projet'!$B$11,Paramètres!$A$1:$I$89,3,0)*VLOOKUP('Données projet'!$B$11,Paramètres!$A$1:$I$89,5,0)</f>
        <v>223.03949850000021</v>
      </c>
      <c r="BF58" s="14">
        <f t="shared" si="37"/>
        <v>54.774977218312529</v>
      </c>
      <c r="BG58" s="22">
        <f t="shared" si="7"/>
        <v>483.86021187606133</v>
      </c>
      <c r="BH58" s="62">
        <f t="shared" si="8"/>
        <v>777.19354520939464</v>
      </c>
      <c r="BI58" s="62">
        <f ca="1">AVERAGE(OFFSET($BH$3,0,0,'Données projet'!$E$11+1,1))-AVERAGE(OFFSET($H$3,0,0,'Données projet'!$E$11+1,1))</f>
        <v>683.36974161977764</v>
      </c>
      <c r="BJ58" s="62">
        <f t="shared" si="38"/>
        <v>312.6921234697457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6.7159340562435963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6.7159340562435963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9.5537500000000009</v>
      </c>
      <c r="BY58" s="13">
        <f>IF('Données projet'!$A$114&gt;35,BY57+BX58-CG57,IF(A58&lt;'Données projet'!$A$114,$BV$205^A58,IF(A58='Données projet'!$A$114,'Données projet'!$B$114,BY57+BX58-CG57)))</f>
        <v>207.20875000000018</v>
      </c>
      <c r="BZ58" s="14">
        <f>BY58*VLOOKUP('Données projet'!$B$12,Paramètres!$A$1:$I$89,3,0)*VLOOKUP('Données projet'!$B$12,Paramètres!$A$1:$I$89,5,0)</f>
        <v>200.41230300000018</v>
      </c>
      <c r="CA58" s="14">
        <f t="shared" si="39"/>
        <v>49.834768582334036</v>
      </c>
      <c r="CB58" s="22">
        <f t="shared" si="10"/>
        <v>435.84698300589872</v>
      </c>
      <c r="CC58" s="62">
        <f t="shared" si="11"/>
        <v>729.18031633923204</v>
      </c>
      <c r="CD58" s="62">
        <f ca="1">AVERAGE(OFFSET($CC$3,0,0,'Données projet'!$E$12+1,1))-AVERAGE(OFFSET($H$3,0,0,'Données projet'!$E$12+1,1))</f>
        <v>618.83149423524605</v>
      </c>
      <c r="CE58" s="62">
        <f t="shared" si="40"/>
        <v>285.33582535802435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6.0346074128565652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6.0346074128565652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6.6</v>
      </c>
      <c r="CS58" s="13">
        <f t="array" ref="CS58">INDEX(CR:CR,MIN(IF(ISNUMBER(CR58:CR254),ROW(CR58:CR254),"")))</f>
        <v>6.6</v>
      </c>
      <c r="CT58" s="13">
        <f>IF('Données projet'!$A$140&gt;35,CT57+CS58-DB57,IF(A58&lt;'Données projet'!$A$140,$CQ$205^A58,IF(A58='Données projet'!$A$140,'Données projet'!$B$140,CT57+CS58-DB57)))</f>
        <v>218.00000000000003</v>
      </c>
      <c r="CU58" s="18">
        <f>CT58*VLOOKUP('Données projet'!$B$13,Paramètres!$A$1:$I$89,3,0)*VLOOKUP('Données projet'!$B$13,Paramètres!$A$1:$I$89,5,0)</f>
        <v>190.44480000000004</v>
      </c>
      <c r="CV58" s="14">
        <f t="shared" si="41"/>
        <v>47.638278428909231</v>
      </c>
      <c r="CW58" s="22">
        <f t="shared" si="13"/>
        <v>414.66136159701699</v>
      </c>
      <c r="CX58" s="62">
        <f t="shared" si="14"/>
        <v>707.99469493035031</v>
      </c>
      <c r="CY58" s="62">
        <f ca="1">AVERAGE(OFFSET($CX$3,0,0,'Données projet'!$E$13+1,1))-AVERAGE(OFFSET($H$3,0,0,'Données projet'!$E$13+1,1))</f>
        <v>354.24684313982857</v>
      </c>
      <c r="CZ58" s="62">
        <f t="shared" si="42"/>
        <v>322.65043486962185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23</v>
      </c>
      <c r="DC58" s="17">
        <f>IF(ISNA(VLOOKUP(A58,'Données projet'!$A$139:$I$159,5,0)),0%,VLOOKUP(A58,'Données projet'!$A$139:$I$159,5,0)*VLOOKUP('Données projet'!$B$13,Paramètres!$A$1:$I$89,7,0))</f>
        <v>0.17200000000000001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14.096583236290334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14.096583236290334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196.12671000000017</v>
      </c>
      <c r="P59" s="14">
        <f t="shared" si="33"/>
        <v>48.891969383051702</v>
      </c>
      <c r="Q59" s="22">
        <f t="shared" si="53"/>
        <v>426.74086659214868</v>
      </c>
      <c r="R59" s="62">
        <f t="shared" si="0"/>
        <v>720.07419992548193</v>
      </c>
      <c r="S59" s="62">
        <f ca="1">AVERAGE(OFFSET($R$3,0,0,'Données projet'!$E$9+1,1))-AVERAGE(OFFSET($H$3,0,0,'Données projet'!$E$9+1,1))</f>
        <v>581.88778927327667</v>
      </c>
      <c r="T59" s="62">
        <f t="shared" si="34"/>
        <v>269.67340993773422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5.5345774459641355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5.5345774459641355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8.1999999999999993</v>
      </c>
      <c r="AI59" s="14">
        <f>IF('Données projet'!$A$62&gt;35,AI58+AH59-AQ58,IF(A59&lt;'Données projet'!$A$62,$AF$205^A59,IF(A59='Données projet'!$A$62,'Données projet'!$B$62,AI58+AH59-AQ58)))</f>
        <v>233.20000000000005</v>
      </c>
      <c r="AJ59" s="14">
        <f>AI59*VLOOKUP('Données projet'!$B$10,Paramètres!$A$1:$I$89,3,0)*VLOOKUP('Données projet'!$B$10,Paramètres!$A$1:$I$89,5,0)</f>
        <v>221.91312000000008</v>
      </c>
      <c r="AK59" s="14">
        <f t="shared" si="35"/>
        <v>54.530483135126254</v>
      </c>
      <c r="AL59" s="22">
        <f t="shared" si="4"/>
        <v>481.47260879367838</v>
      </c>
      <c r="AM59" s="62">
        <f t="shared" si="5"/>
        <v>774.80594212701169</v>
      </c>
      <c r="AN59" s="62">
        <f ca="1">AVERAGE(OFFSET($AM$3,0,0,'Données projet'!$E$10+1,1))-AVERAGE(OFFSET($H$3,0,0,'Données projet'!$E$10+1,1))</f>
        <v>444.81608506581125</v>
      </c>
      <c r="AO59" s="62">
        <f t="shared" si="36"/>
        <v>306.75289431725565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14.000486477525422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14.000486477525422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9.5537500000000009</v>
      </c>
      <c r="BD59" s="13">
        <f>IF('Données projet'!$A$88&gt;35,BD58+BC59-BL58,IF(A59&lt;'Données projet'!$A$88,$BA$205^A59,IF(A59='Données projet'!$A$88,'Données projet'!$B$88,BD58+BC59-BL58)))</f>
        <v>216.76250000000019</v>
      </c>
      <c r="BE59" s="14">
        <f>BD59*VLOOKUP('Données projet'!$B$11,Paramètres!$A$1:$I$89,3,0)*VLOOKUP('Données projet'!$B$11,Paramètres!$A$1:$I$89,5,0)</f>
        <v>233.32315500000018</v>
      </c>
      <c r="BF59" s="14">
        <f t="shared" si="37"/>
        <v>57.000624336257076</v>
      </c>
      <c r="BG59" s="22">
        <f t="shared" si="7"/>
        <v>505.64724901064801</v>
      </c>
      <c r="BH59" s="62">
        <f t="shared" si="8"/>
        <v>798.98058234398127</v>
      </c>
      <c r="BI59" s="62">
        <f ca="1">AVERAGE(OFFSET($BH$3,0,0,'Données projet'!$E$11+1,1))-AVERAGE(OFFSET($H$3,0,0,'Données projet'!$E$11+1,1))</f>
        <v>683.36974161977764</v>
      </c>
      <c r="BJ59" s="62">
        <f t="shared" si="38"/>
        <v>312.6921234697457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6.5842386857159561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6.5842386857159561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9.5537500000000009</v>
      </c>
      <c r="BY59" s="13">
        <f>IF('Données projet'!$A$114&gt;35,BY58+BX59-CG58,IF(A59&lt;'Données projet'!$A$114,$BV$205^A59,IF(A59='Données projet'!$A$114,'Données projet'!$B$114,BY58+BX59-CG58)))</f>
        <v>216.76250000000019</v>
      </c>
      <c r="BZ59" s="14">
        <f>BY59*VLOOKUP('Données projet'!$B$12,Paramètres!$A$1:$I$89,3,0)*VLOOKUP('Données projet'!$B$12,Paramètres!$A$1:$I$89,5,0)</f>
        <v>209.65269000000021</v>
      </c>
      <c r="CA59" s="14">
        <f t="shared" si="39"/>
        <v>51.859682415280766</v>
      </c>
      <c r="CB59" s="22">
        <f t="shared" si="10"/>
        <v>455.46738195661436</v>
      </c>
      <c r="CC59" s="62">
        <f t="shared" si="11"/>
        <v>748.80071528994768</v>
      </c>
      <c r="CD59" s="62">
        <f ca="1">AVERAGE(OFFSET($CC$3,0,0,'Données projet'!$E$12+1,1))-AVERAGE(OFFSET($H$3,0,0,'Données projet'!$E$12+1,1))</f>
        <v>618.83149423524605</v>
      </c>
      <c r="CE59" s="62">
        <f t="shared" si="40"/>
        <v>285.33582535802435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5.9162724422375259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5.9162724422375259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</v>
      </c>
      <c r="CT59" s="13">
        <f>IF('Données projet'!$A$140&gt;35,CT58+CS59-DB58,IF(A59&lt;'Données projet'!$A$140,$CQ$205^A59,IF(A59='Données projet'!$A$140,'Données projet'!$B$140,CT58+CS59-DB58)))</f>
        <v>201.00000000000003</v>
      </c>
      <c r="CU59" s="18">
        <f>CT59*VLOOKUP('Données projet'!$B$13,Paramètres!$A$1:$I$89,3,0)*VLOOKUP('Données projet'!$B$13,Paramètres!$A$1:$I$89,5,0)</f>
        <v>175.59360000000007</v>
      </c>
      <c r="CV59" s="14">
        <f t="shared" si="41"/>
        <v>44.340433728638573</v>
      </c>
      <c r="CW59" s="22">
        <f t="shared" si="13"/>
        <v>383.05177541071225</v>
      </c>
      <c r="CX59" s="62">
        <f t="shared" si="14"/>
        <v>676.38510874404551</v>
      </c>
      <c r="CY59" s="62">
        <f ca="1">AVERAGE(OFFSET($CX$3,0,0,'Données projet'!$E$13+1,1))-AVERAGE(OFFSET($H$3,0,0,'Données projet'!$E$13+1,1))</f>
        <v>354.24684313982857</v>
      </c>
      <c r="CZ59" s="62">
        <f t="shared" si="42"/>
        <v>322.65043486962185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13.820157837093467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13.820157837093467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204.77094300000016</v>
      </c>
      <c r="P60" s="14">
        <f t="shared" si="33"/>
        <v>50.791233664926693</v>
      </c>
      <c r="Q60" s="22">
        <f t="shared" si="53"/>
        <v>445.10412435808092</v>
      </c>
      <c r="R60" s="62">
        <f t="shared" si="0"/>
        <v>738.43745769141424</v>
      </c>
      <c r="S60" s="62">
        <f ca="1">AVERAGE(OFFSET($R$3,0,0,'Données projet'!$E$9+1,1))-AVERAGE(OFFSET($H$3,0,0,'Données projet'!$E$9+1,1))</f>
        <v>581.88778927327667</v>
      </c>
      <c r="T60" s="62">
        <f t="shared" si="34"/>
        <v>269.67340993773422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5.4260477580076927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5.4260477580076927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8.1999999999999993</v>
      </c>
      <c r="AI60" s="14">
        <f>IF('Données projet'!$A$62&gt;35,AI59+AH60-AQ59,IF(A60&lt;'Données projet'!$A$62,$AF$205^A60,IF(A60='Données projet'!$A$62,'Données projet'!$B$62,AI59+AH60-AQ59)))</f>
        <v>241.40000000000003</v>
      </c>
      <c r="AJ60" s="14">
        <f>AI60*VLOOKUP('Données projet'!$B$10,Paramètres!$A$1:$I$89,3,0)*VLOOKUP('Données projet'!$B$10,Paramètres!$A$1:$I$89,5,0)</f>
        <v>229.71624000000003</v>
      </c>
      <c r="AK60" s="14">
        <f t="shared" si="35"/>
        <v>56.22132157725693</v>
      </c>
      <c r="AL60" s="22">
        <f t="shared" si="4"/>
        <v>498.00791974705584</v>
      </c>
      <c r="AM60" s="62">
        <f t="shared" si="5"/>
        <v>791.34125308038915</v>
      </c>
      <c r="AN60" s="62">
        <f ca="1">AVERAGE(OFFSET($AM$3,0,0,'Données projet'!$E$10+1,1))-AVERAGE(OFFSET($H$3,0,0,'Données projet'!$E$10+1,1))</f>
        <v>444.81608506581125</v>
      </c>
      <c r="AO60" s="62">
        <f t="shared" si="36"/>
        <v>306.75289431725565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13.725945477154699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13.725945477154699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9.5537500000000009</v>
      </c>
      <c r="BD60" s="13">
        <f>IF('Données projet'!$A$88&gt;35,BD59+BC60-BL59,IF(A60&lt;'Données projet'!$A$88,$BA$205^A60,IF(A60='Données projet'!$A$88,'Données projet'!$B$88,BD59+BC60-BL59)))</f>
        <v>226.3162500000002</v>
      </c>
      <c r="BE60" s="14">
        <f>BD60*VLOOKUP('Données projet'!$B$11,Paramètres!$A$1:$I$89,3,0)*VLOOKUP('Données projet'!$B$11,Paramètres!$A$1:$I$89,5,0)</f>
        <v>243.60681150000022</v>
      </c>
      <c r="BF60" s="14">
        <f t="shared" si="37"/>
        <v>59.214878562718148</v>
      </c>
      <c r="BG60" s="22">
        <f t="shared" si="7"/>
        <v>527.41444352590111</v>
      </c>
      <c r="BH60" s="62">
        <f t="shared" si="8"/>
        <v>820.74777685923436</v>
      </c>
      <c r="BI60" s="62">
        <f ca="1">AVERAGE(OFFSET($BH$3,0,0,'Données projet'!$E$11+1,1))-AVERAGE(OFFSET($H$3,0,0,'Données projet'!$E$11+1,1))</f>
        <v>683.36974161977764</v>
      </c>
      <c r="BJ60" s="62">
        <f t="shared" si="38"/>
        <v>312.6921234697457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6.4551257810781184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6.4551257810781184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9.5537500000000009</v>
      </c>
      <c r="BY60" s="13">
        <f>IF('Données projet'!$A$114&gt;35,BY59+BX60-CG59,IF(A60&lt;'Données projet'!$A$114,$BV$205^A60,IF(A60='Données projet'!$A$114,'Données projet'!$B$114,BY59+BX60-CG59)))</f>
        <v>226.3162500000002</v>
      </c>
      <c r="BZ60" s="14">
        <f>BY60*VLOOKUP('Données projet'!$B$12,Paramètres!$A$1:$I$89,3,0)*VLOOKUP('Données projet'!$B$12,Paramètres!$A$1:$I$89,5,0)</f>
        <v>218.8930770000002</v>
      </c>
      <c r="CA60" s="14">
        <f t="shared" si="39"/>
        <v>53.874230892742354</v>
      </c>
      <c r="CB60" s="22">
        <f t="shared" si="10"/>
        <v>475.06972791319322</v>
      </c>
      <c r="CC60" s="62">
        <f t="shared" si="11"/>
        <v>768.40306124652648</v>
      </c>
      <c r="CD60" s="62">
        <f ca="1">AVERAGE(OFFSET($CC$3,0,0,'Données projet'!$E$12+1,1))-AVERAGE(OFFSET($H$3,0,0,'Données projet'!$E$12+1,1))</f>
        <v>618.83149423524605</v>
      </c>
      <c r="CE60" s="62">
        <f t="shared" si="40"/>
        <v>285.33582535802435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5.8002579482151209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5.8002579482151209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</v>
      </c>
      <c r="CT60" s="13">
        <f>IF('Données projet'!$A$140&gt;35,CT59+CS60-DB59,IF(A60&lt;'Données projet'!$A$140,$CQ$205^A60,IF(A60='Données projet'!$A$140,'Données projet'!$B$140,CT59+CS60-DB59)))</f>
        <v>207.00000000000003</v>
      </c>
      <c r="CU60" s="18">
        <f>CT60*VLOOKUP('Données projet'!$B$13,Paramètres!$A$1:$I$89,3,0)*VLOOKUP('Données projet'!$B$13,Paramètres!$A$1:$I$89,5,0)</f>
        <v>180.83520000000004</v>
      </c>
      <c r="CV60" s="14">
        <f t="shared" si="41"/>
        <v>45.507952685945142</v>
      </c>
      <c r="CW60" s="22">
        <f t="shared" si="13"/>
        <v>394.21432426135453</v>
      </c>
      <c r="CX60" s="62">
        <f t="shared" si="14"/>
        <v>687.54765759468785</v>
      </c>
      <c r="CY60" s="62">
        <f ca="1">AVERAGE(OFFSET($CX$3,0,0,'Données projet'!$E$13+1,1))-AVERAGE(OFFSET($H$3,0,0,'Données projet'!$E$13+1,1))</f>
        <v>354.24684313982857</v>
      </c>
      <c r="CZ60" s="62">
        <f t="shared" si="42"/>
        <v>322.65043486962185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13.549152971372004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13.549152971372004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213.41517600000017</v>
      </c>
      <c r="P61" s="14">
        <f t="shared" si="33"/>
        <v>52.681185448853228</v>
      </c>
      <c r="Q61" s="22">
        <f t="shared" si="53"/>
        <v>463.45116285675294</v>
      </c>
      <c r="R61" s="62">
        <f t="shared" si="0"/>
        <v>756.7844961900862</v>
      </c>
      <c r="S61" s="62">
        <f ca="1">AVERAGE(OFFSET($R$3,0,0,'Données projet'!$E$9+1,1))-AVERAGE(OFFSET($H$3,0,0,'Données projet'!$E$9+1,1))</f>
        <v>581.88778927327667</v>
      </c>
      <c r="T61" s="62">
        <f t="shared" si="34"/>
        <v>269.67340993773422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8.6000000000000007E-2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9.1845134385305762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9.1845134385305762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8.1999999999999993</v>
      </c>
      <c r="AI61" s="14">
        <f>IF('Données projet'!$A$62&gt;35,AI60+AH61-AQ60,IF(A61&lt;'Données projet'!$A$62,$AF$205^A61,IF(A61='Données projet'!$A$62,'Données projet'!$B$62,AI60+AH61-AQ60)))</f>
        <v>249.60000000000002</v>
      </c>
      <c r="AJ61" s="14">
        <f>AI61*VLOOKUP('Données projet'!$B$10,Paramètres!$A$1:$I$89,3,0)*VLOOKUP('Données projet'!$B$10,Paramètres!$A$1:$I$89,5,0)</f>
        <v>237.51936000000001</v>
      </c>
      <c r="AK61" s="14">
        <f t="shared" si="35"/>
        <v>57.905486397207483</v>
      </c>
      <c r="AL61" s="22">
        <f t="shared" si="4"/>
        <v>514.53160747513641</v>
      </c>
      <c r="AM61" s="62">
        <f t="shared" si="5"/>
        <v>807.86494080846978</v>
      </c>
      <c r="AN61" s="62">
        <f ca="1">AVERAGE(OFFSET($AM$3,0,0,'Données projet'!$E$10+1,1))-AVERAGE(OFFSET($H$3,0,0,'Données projet'!$E$10+1,1))</f>
        <v>444.81608506581125</v>
      </c>
      <c r="AO61" s="62">
        <f t="shared" si="36"/>
        <v>306.75289431725565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13.456788058347771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13.456788058347771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235.87</v>
      </c>
      <c r="BB61" s="13">
        <f>VLOOKUP(A61,'Données projet'!$A$87:$I$107,9,0)</f>
        <v>9.5537500000000009</v>
      </c>
      <c r="BC61" s="13">
        <f t="array" ref="BC61">INDEX(BB:BB,MIN(IF(ISNUMBER(BB61:BB257),ROW(BB61:BB257),"")))</f>
        <v>9.5537500000000009</v>
      </c>
      <c r="BD61" s="13">
        <f>IF('Données projet'!$A$88&gt;35,BD60+BC61-BL60,IF(A61&lt;'Données projet'!$A$88,$BA$205^A61,IF(A61='Données projet'!$A$88,'Données projet'!$B$88,BD60+BC61-BL60)))</f>
        <v>235.8700000000002</v>
      </c>
      <c r="BE61" s="14">
        <f>BD61*VLOOKUP('Données projet'!$B$11,Paramètres!$A$1:$I$89,3,0)*VLOOKUP('Données projet'!$B$11,Paramètres!$A$1:$I$89,5,0)</f>
        <v>253.8904680000002</v>
      </c>
      <c r="BF61" s="14">
        <f t="shared" si="37"/>
        <v>61.418275828334977</v>
      </c>
      <c r="BG61" s="22">
        <f t="shared" si="7"/>
        <v>549.16272883435045</v>
      </c>
      <c r="BH61" s="62">
        <f t="shared" si="8"/>
        <v>842.4960621676837</v>
      </c>
      <c r="BI61" s="62">
        <f ca="1">AVERAGE(OFFSET($BH$3,0,0,'Données projet'!$E$11+1,1))-AVERAGE(OFFSET($H$3,0,0,'Données projet'!$E$11+1,1))</f>
        <v>683.36974161977764</v>
      </c>
      <c r="BJ61" s="62">
        <f t="shared" si="38"/>
        <v>312.6921234697457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44.93</v>
      </c>
      <c r="BM61" s="17">
        <f>IF(ISNA(VLOOKUP(A61,'Données projet'!$A$87:$I$107,5,0)),0%,VLOOKUP(A61,'Données projet'!$A$87:$I$107,5,0)*VLOOKUP('Données projet'!$B$11,Paramètres!$A$1:$I$89,7,0))</f>
        <v>8.6000000000000007E-2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10.926403918251893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10.926403918251893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235.87</v>
      </c>
      <c r="BW61" s="13">
        <f>VLOOKUP(A61,'Données projet'!$A$113:$I$133,9,0)</f>
        <v>9.5537500000000009</v>
      </c>
      <c r="BX61" s="13">
        <f t="array" ref="BX61">INDEX(BW:BW,MIN(IF(ISNUMBER(BW61:BW257),ROW(BW61:BW257),"")))</f>
        <v>9.5537500000000009</v>
      </c>
      <c r="BY61" s="13">
        <f>IF('Données projet'!$A$114&gt;35,BY60+BX61-CG60,IF(A61&lt;'Données projet'!$A$114,$BV$205^A61,IF(A61='Données projet'!$A$114,'Données projet'!$B$114,BY60+BX61-CG60)))</f>
        <v>235.8700000000002</v>
      </c>
      <c r="BZ61" s="14">
        <f>BY61*VLOOKUP('Données projet'!$B$12,Paramètres!$A$1:$I$89,3,0)*VLOOKUP('Données projet'!$B$12,Paramètres!$A$1:$I$89,5,0)</f>
        <v>228.1334640000002</v>
      </c>
      <c r="CA61" s="14">
        <f t="shared" si="39"/>
        <v>55.87890160925069</v>
      </c>
      <c r="CB61" s="22">
        <f t="shared" si="10"/>
        <v>494.6548701027786</v>
      </c>
      <c r="CC61" s="62">
        <f t="shared" si="11"/>
        <v>787.98820343611192</v>
      </c>
      <c r="CD61" s="62">
        <f ca="1">AVERAGE(OFFSET($CC$3,0,0,'Données projet'!$E$12+1,1))-AVERAGE(OFFSET($H$3,0,0,'Données projet'!$E$12+1,1))</f>
        <v>618.83149423524605</v>
      </c>
      <c r="CE61" s="62">
        <f t="shared" si="40"/>
        <v>285.33582535802435</v>
      </c>
      <c r="CF61" s="16">
        <f>IF(ISNA(VLOOKUP(A61,'Données projet'!$A$113:$I$133,3,0)),0,VLOOKUP(A61,'Données projet'!$A$113:$I$133,3,0))</f>
        <v>3</v>
      </c>
      <c r="CG61" s="16">
        <f>IF(ISNA(VLOOKUP(A61,'Données projet'!$A$113:$I$133,4,0)),0,VLOOKUP(A61,'Données projet'!$A$113:$I$133,4,0))</f>
        <v>44.93</v>
      </c>
      <c r="CH61" s="17">
        <f>IF(ISNA(VLOOKUP(A61,'Données projet'!$A$113:$I$133,5,0)),0%,VLOOKUP(A61,'Données projet'!$A$113:$I$133,5,0)*VLOOKUP('Données projet'!$B$12,Paramètres!$A$1:$I$89,7,0))</f>
        <v>8.6000000000000007E-2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9.8179281584292362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9.8179281584292362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</v>
      </c>
      <c r="CT61" s="13">
        <f>IF('Données projet'!$A$140&gt;35,CT60+CS61-DB60,IF(A61&lt;'Données projet'!$A$140,$CQ$205^A61,IF(A61='Données projet'!$A$140,'Données projet'!$B$140,CT60+CS61-DB60)))</f>
        <v>213.00000000000003</v>
      </c>
      <c r="CU61" s="18">
        <f>CT61*VLOOKUP('Données projet'!$B$13,Paramètres!$A$1:$I$89,3,0)*VLOOKUP('Données projet'!$B$13,Paramètres!$A$1:$I$89,5,0)</f>
        <v>186.07680000000005</v>
      </c>
      <c r="CV61" s="14">
        <f t="shared" si="41"/>
        <v>46.671538591528673</v>
      </c>
      <c r="CW61" s="22">
        <f t="shared" si="13"/>
        <v>405.37002304691242</v>
      </c>
      <c r="CX61" s="62">
        <f t="shared" si="14"/>
        <v>698.70335638024574</v>
      </c>
      <c r="CY61" s="62">
        <f ca="1">AVERAGE(OFFSET($CX$3,0,0,'Données projet'!$E$13+1,1))-AVERAGE(OFFSET($H$3,0,0,'Données projet'!$E$13+1,1))</f>
        <v>354.24684313982857</v>
      </c>
      <c r="CZ61" s="62">
        <f t="shared" si="42"/>
        <v>322.65043486962185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13.283462345770694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13.283462345770694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181.13417400000017</v>
      </c>
      <c r="P62" s="14">
        <f t="shared" si="33"/>
        <v>45.574426667354729</v>
      </c>
      <c r="Q62" s="22">
        <f t="shared" si="53"/>
        <v>394.85081282897653</v>
      </c>
      <c r="R62" s="62">
        <f t="shared" si="0"/>
        <v>688.18414616230984</v>
      </c>
      <c r="S62" s="62">
        <f ca="1">AVERAGE(OFFSET($R$3,0,0,'Données projet'!$E$9+1,1))-AVERAGE(OFFSET($H$3,0,0,'Données projet'!$E$9+1,1))</f>
        <v>581.88778927327667</v>
      </c>
      <c r="T62" s="62">
        <f t="shared" si="34"/>
        <v>269.67340993773422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9.0044107320010376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9.0044107320010376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8.1999999999999993</v>
      </c>
      <c r="AI62" s="14">
        <f>IF('Données projet'!$A$62&gt;35,AI61+AH62-AQ61,IF(A62&lt;'Données projet'!$A$62,$AF$205^A62,IF(A62='Données projet'!$A$62,'Données projet'!$B$62,AI61+AH62-AQ61)))</f>
        <v>257.8</v>
      </c>
      <c r="AJ62" s="14">
        <f>AI62*VLOOKUP('Données projet'!$B$10,Paramètres!$A$1:$I$89,3,0)*VLOOKUP('Données projet'!$B$10,Paramètres!$A$1:$I$89,5,0)</f>
        <v>245.32248000000001</v>
      </c>
      <c r="AK62" s="14">
        <f t="shared" si="35"/>
        <v>59.583221982635983</v>
      </c>
      <c r="AL62" s="22">
        <f t="shared" si="4"/>
        <v>531.04409761975774</v>
      </c>
      <c r="AM62" s="62">
        <f t="shared" si="5"/>
        <v>824.37743095309111</v>
      </c>
      <c r="AN62" s="62">
        <f ca="1">AVERAGE(OFFSET($AM$3,0,0,'Données projet'!$E$10+1,1))-AVERAGE(OFFSET($H$3,0,0,'Données projet'!$E$10+1,1))</f>
        <v>444.81608506581125</v>
      </c>
      <c r="AO62" s="62">
        <f t="shared" si="36"/>
        <v>306.75289431725565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13.192908652353831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13.192908652353831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9.2524999999999977</v>
      </c>
      <c r="BD62" s="13">
        <f>IF('Données projet'!$A$88&gt;35,BD61+BC62-BL61,IF(A62&lt;'Données projet'!$A$88,$BA$205^A62,IF(A62='Données projet'!$A$88,'Données projet'!$B$88,BD61+BC62-BL61)))</f>
        <v>200.19250000000019</v>
      </c>
      <c r="BE62" s="14">
        <f>BD62*VLOOKUP('Données projet'!$B$11,Paramètres!$A$1:$I$89,3,0)*VLOOKUP('Données projet'!$B$11,Paramètres!$A$1:$I$89,5,0)</f>
        <v>215.48720700000018</v>
      </c>
      <c r="BF62" s="14">
        <f t="shared" si="37"/>
        <v>53.13287246528256</v>
      </c>
      <c r="BG62" s="22">
        <f t="shared" si="7"/>
        <v>467.8466384020341</v>
      </c>
      <c r="BH62" s="62">
        <f t="shared" si="8"/>
        <v>761.17997173536742</v>
      </c>
      <c r="BI62" s="62">
        <f ca="1">AVERAGE(OFFSET($BH$3,0,0,'Données projet'!$E$11+1,1))-AVERAGE(OFFSET($H$3,0,0,'Données projet'!$E$11+1,1))</f>
        <v>683.36974161977764</v>
      </c>
      <c r="BJ62" s="62">
        <f t="shared" si="38"/>
        <v>312.6921234697457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10.712143801863304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10.712143801863304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9.2524999999999977</v>
      </c>
      <c r="BY62" s="13">
        <f>IF('Données projet'!$A$114&gt;35,BY61+BX62-CG61,IF(A62&lt;'Données projet'!$A$114,$BV$205^A62,IF(A62='Données projet'!$A$114,'Données projet'!$B$114,BY61+BX62-CG61)))</f>
        <v>200.19250000000019</v>
      </c>
      <c r="BZ62" s="14">
        <f>BY62*VLOOKUP('Données projet'!$B$12,Paramètres!$A$1:$I$89,3,0)*VLOOKUP('Données projet'!$B$12,Paramètres!$A$1:$I$89,5,0)</f>
        <v>193.62618600000019</v>
      </c>
      <c r="CA62" s="14">
        <f t="shared" si="39"/>
        <v>48.340766859082926</v>
      </c>
      <c r="CB62" s="22">
        <f t="shared" si="10"/>
        <v>421.42577622956969</v>
      </c>
      <c r="CC62" s="62">
        <f t="shared" si="11"/>
        <v>714.75910956290295</v>
      </c>
      <c r="CD62" s="62">
        <f ca="1">AVERAGE(OFFSET($CC$3,0,0,'Données projet'!$E$12+1,1))-AVERAGE(OFFSET($H$3,0,0,'Données projet'!$E$12+1,1))</f>
        <v>618.83149423524605</v>
      </c>
      <c r="CE62" s="62">
        <f t="shared" si="40"/>
        <v>285.33582535802435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9.6254045755873161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9.6254045755873161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</v>
      </c>
      <c r="CT62" s="13">
        <f>IF('Données projet'!$A$140&gt;35,CT61+CS62-DB61,IF(A62&lt;'Données projet'!$A$140,$CQ$205^A62,IF(A62='Données projet'!$A$140,'Données projet'!$B$140,CT61+CS62-DB61)))</f>
        <v>219.00000000000003</v>
      </c>
      <c r="CU62" s="18">
        <f>CT62*VLOOKUP('Données projet'!$B$13,Paramètres!$A$1:$I$89,3,0)*VLOOKUP('Données projet'!$B$13,Paramètres!$A$1:$I$89,5,0)</f>
        <v>191.31840000000005</v>
      </c>
      <c r="CV62" s="14">
        <f t="shared" si="41"/>
        <v>47.831314962098396</v>
      </c>
      <c r="CW62" s="22">
        <f t="shared" si="13"/>
        <v>416.51908689232141</v>
      </c>
      <c r="CX62" s="62">
        <f t="shared" si="14"/>
        <v>709.85242022565467</v>
      </c>
      <c r="CY62" s="62">
        <f ca="1">AVERAGE(OFFSET($CX$3,0,0,'Données projet'!$E$13+1,1))-AVERAGE(OFFSET($H$3,0,0,'Données projet'!$E$13+1,1))</f>
        <v>354.24684313982857</v>
      </c>
      <c r="CZ62" s="62">
        <f t="shared" si="42"/>
        <v>322.65043486962185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13.022981751282144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13.022981751282144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189.50583600000016</v>
      </c>
      <c r="P63" s="14">
        <f t="shared" si="33"/>
        <v>47.430683653447495</v>
      </c>
      <c r="Q63" s="22">
        <f t="shared" si="53"/>
        <v>412.6644383964213</v>
      </c>
      <c r="R63" s="62">
        <f t="shared" si="0"/>
        <v>705.99777172975462</v>
      </c>
      <c r="S63" s="62">
        <f ca="1">AVERAGE(OFFSET($R$3,0,0,'Données projet'!$E$9+1,1))-AVERAGE(OFFSET($H$3,0,0,'Données projet'!$E$9+1,1))</f>
        <v>581.88778927327667</v>
      </c>
      <c r="T63" s="62">
        <f t="shared" si="34"/>
        <v>269.67340993773422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8.8278397296947393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8.8278397296947393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266</v>
      </c>
      <c r="AG63" s="13">
        <f>VLOOKUP(A63,'Données projet'!$A$61:$I$81,9,0)</f>
        <v>8.1999999999999993</v>
      </c>
      <c r="AH63" s="13">
        <f t="array" ref="AH63">INDEX(AG:AG,MIN(IF(ISNUMBER(AG63:AG259),ROW(AG63:AG259),"")))</f>
        <v>8.1999999999999993</v>
      </c>
      <c r="AI63" s="14">
        <f>IF('Données projet'!$A$62&gt;35,AI62+AH63-AQ62,IF(A63&lt;'Données projet'!$A$62,$AF$205^A63,IF(A63='Données projet'!$A$62,'Données projet'!$B$62,AI62+AH63-AQ62)))</f>
        <v>266</v>
      </c>
      <c r="AJ63" s="14">
        <f>AI63*VLOOKUP('Données projet'!$B$10,Paramètres!$A$1:$I$89,3,0)*VLOOKUP('Données projet'!$B$10,Paramètres!$A$1:$I$89,5,0)</f>
        <v>253.12559999999999</v>
      </c>
      <c r="AK63" s="14">
        <f t="shared" si="35"/>
        <v>61.254756291614335</v>
      </c>
      <c r="AL63" s="22">
        <f t="shared" si="4"/>
        <v>547.54578720789482</v>
      </c>
      <c r="AM63" s="62">
        <f t="shared" si="5"/>
        <v>840.87912054122808</v>
      </c>
      <c r="AN63" s="62">
        <f ca="1">AVERAGE(OFFSET($AM$3,0,0,'Données projet'!$E$10+1,1))-AVERAGE(OFFSET($H$3,0,0,'Données projet'!$E$10+1,1))</f>
        <v>444.81608506581125</v>
      </c>
      <c r="AO63" s="62">
        <f t="shared" si="36"/>
        <v>306.75289431725565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31</v>
      </c>
      <c r="AR63" s="17">
        <f>IF(ISNA(VLOOKUP(A63,'Données projet'!$A$61:$I$81,5,0)),0%,VLOOKUP(A63,'Données projet'!$A$61:$I$81,5,0)*VLOOKUP('Données projet'!$B$10,Paramètres!$A$1:$I$89,7,0))</f>
        <v>0.17200000000000001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18.543284409948964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18.543284409948964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9.2524999999999977</v>
      </c>
      <c r="BD63" s="13">
        <f>IF('Données projet'!$A$88&gt;35,BD62+BC63-BL62,IF(A63&lt;'Données projet'!$A$88,$BA$205^A63,IF(A63='Données projet'!$A$88,'Données projet'!$B$88,BD62+BC63-BL62)))</f>
        <v>209.44500000000019</v>
      </c>
      <c r="BE63" s="14">
        <f>BD63*VLOOKUP('Données projet'!$B$11,Paramètres!$A$1:$I$89,3,0)*VLOOKUP('Données projet'!$B$11,Paramètres!$A$1:$I$89,5,0)</f>
        <v>225.44659800000019</v>
      </c>
      <c r="BF63" s="14">
        <f t="shared" si="37"/>
        <v>55.296986704716424</v>
      </c>
      <c r="BG63" s="22">
        <f t="shared" si="7"/>
        <v>488.96174336071476</v>
      </c>
      <c r="BH63" s="62">
        <f t="shared" si="8"/>
        <v>782.29507669404802</v>
      </c>
      <c r="BI63" s="62">
        <f ca="1">AVERAGE(OFFSET($BH$3,0,0,'Données projet'!$E$11+1,1))-AVERAGE(OFFSET($H$3,0,0,'Données projet'!$E$11+1,1))</f>
        <v>683.36974161977764</v>
      </c>
      <c r="BJ63" s="62">
        <f t="shared" si="38"/>
        <v>312.6921234697457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10.502085195671329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10.502085195671329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9.2524999999999977</v>
      </c>
      <c r="BY63" s="13">
        <f>IF('Données projet'!$A$114&gt;35,BY62+BX63-CG62,IF(A63&lt;'Données projet'!$A$114,$BV$205^A63,IF(A63='Données projet'!$A$114,'Données projet'!$B$114,BY62+BX63-CG62)))</f>
        <v>209.44500000000019</v>
      </c>
      <c r="BZ63" s="14">
        <f>BY63*VLOOKUP('Données projet'!$B$12,Paramètres!$A$1:$I$89,3,0)*VLOOKUP('Données projet'!$B$12,Paramètres!$A$1:$I$89,5,0)</f>
        <v>202.57520400000018</v>
      </c>
      <c r="CA63" s="14">
        <f t="shared" si="39"/>
        <v>50.309697523865829</v>
      </c>
      <c r="CB63" s="22">
        <f t="shared" si="10"/>
        <v>440.44120348739995</v>
      </c>
      <c r="CC63" s="62">
        <f t="shared" si="11"/>
        <v>733.77453682073326</v>
      </c>
      <c r="CD63" s="62">
        <f ca="1">AVERAGE(OFFSET($CC$3,0,0,'Données projet'!$E$12+1,1))-AVERAGE(OFFSET($H$3,0,0,'Données projet'!$E$12+1,1))</f>
        <v>618.83149423524605</v>
      </c>
      <c r="CE63" s="62">
        <f t="shared" si="40"/>
        <v>285.33582535802435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9.4366562627771344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9.4366562627771344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225</v>
      </c>
      <c r="CR63" s="13">
        <f>VLOOKUP(A63,'Données projet'!$A$139:$I$159,9,0)</f>
        <v>6</v>
      </c>
      <c r="CS63" s="13">
        <f t="array" ref="CS63">INDEX(CR:CR,MIN(IF(ISNUMBER(CR63:CR259),ROW(CR63:CR259),"")))</f>
        <v>6</v>
      </c>
      <c r="CT63" s="13">
        <f>IF('Données projet'!$A$140&gt;35,CT62+CS63-DB62,IF(A63&lt;'Données projet'!$A$140,$CQ$205^A63,IF(A63='Données projet'!$A$140,'Données projet'!$B$140,CT62+CS63-DB62)))</f>
        <v>225.00000000000003</v>
      </c>
      <c r="CU63" s="18">
        <f>CT63*VLOOKUP('Données projet'!$B$13,Paramètres!$A$1:$I$89,3,0)*VLOOKUP('Données projet'!$B$13,Paramètres!$A$1:$I$89,5,0)</f>
        <v>196.56000000000006</v>
      </c>
      <c r="CV63" s="14">
        <f t="shared" si="41"/>
        <v>48.987398161128134</v>
      </c>
      <c r="CW63" s="22">
        <f t="shared" si="13"/>
        <v>427.66171846396492</v>
      </c>
      <c r="CX63" s="62">
        <f t="shared" si="14"/>
        <v>720.99505179729817</v>
      </c>
      <c r="CY63" s="62">
        <f ca="1">AVERAGE(OFFSET($CX$3,0,0,'Données projet'!$E$13+1,1))-AVERAGE(OFFSET($H$3,0,0,'Données projet'!$E$13+1,1))</f>
        <v>354.24684313982857</v>
      </c>
      <c r="CZ63" s="62">
        <f t="shared" si="42"/>
        <v>322.65043486962185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0.215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17.127920262247375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17.127920262247375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197.87749800000014</v>
      </c>
      <c r="P64" s="14">
        <f t="shared" si="33"/>
        <v>49.277416774103372</v>
      </c>
      <c r="Q64" s="22">
        <f t="shared" si="53"/>
        <v>430.46147656489694</v>
      </c>
      <c r="R64" s="62">
        <f t="shared" si="0"/>
        <v>723.79480989823026</v>
      </c>
      <c r="S64" s="62">
        <f ca="1">AVERAGE(OFFSET($R$3,0,0,'Données projet'!$E$9+1,1))-AVERAGE(OFFSET($H$3,0,0,'Données projet'!$E$9+1,1))</f>
        <v>581.88778927327667</v>
      </c>
      <c r="T64" s="62">
        <f t="shared" si="34"/>
        <v>269.67340993773422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8.6547311770459903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8.6547311770459903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</v>
      </c>
      <c r="AI64" s="14">
        <f>IF('Données projet'!$A$62&gt;35,AI63+AH64-AQ63,IF(A64&lt;'Données projet'!$A$62,$AF$205^A64,IF(A64='Données projet'!$A$62,'Données projet'!$B$62,AI63+AH64-AQ63)))</f>
        <v>243</v>
      </c>
      <c r="AJ64" s="14">
        <f>AI64*VLOOKUP('Données projet'!$B$10,Paramètres!$A$1:$I$89,3,0)*VLOOKUP('Données projet'!$B$10,Paramètres!$A$1:$I$89,5,0)</f>
        <v>231.2388</v>
      </c>
      <c r="AK64" s="14">
        <f t="shared" si="35"/>
        <v>56.55045525673966</v>
      </c>
      <c r="AL64" s="22">
        <f t="shared" si="4"/>
        <v>501.23295290548816</v>
      </c>
      <c r="AM64" s="62">
        <f t="shared" si="5"/>
        <v>794.56628623882148</v>
      </c>
      <c r="AN64" s="62">
        <f ca="1">AVERAGE(OFFSET($AM$3,0,0,'Données projet'!$E$10+1,1))-AVERAGE(OFFSET($H$3,0,0,'Données projet'!$E$10+1,1))</f>
        <v>444.81608506581125</v>
      </c>
      <c r="AO64" s="62">
        <f t="shared" si="36"/>
        <v>306.75289431725565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18.179661912956558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18.179661912956558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9.2524999999999977</v>
      </c>
      <c r="BD64" s="13">
        <f>IF('Données projet'!$A$88&gt;35,BD63+BC64-BL63,IF(A64&lt;'Données projet'!$A$88,$BA$205^A64,IF(A64='Données projet'!$A$88,'Données projet'!$B$88,BD63+BC64-BL63)))</f>
        <v>218.69750000000019</v>
      </c>
      <c r="BE64" s="14">
        <f>BD64*VLOOKUP('Données projet'!$B$11,Paramètres!$A$1:$I$89,3,0)*VLOOKUP('Données projet'!$B$11,Paramètres!$A$1:$I$89,5,0)</f>
        <v>235.40598900000018</v>
      </c>
      <c r="BF64" s="14">
        <f t="shared" si="37"/>
        <v>57.449997560857497</v>
      </c>
      <c r="BG64" s="22">
        <f t="shared" si="7"/>
        <v>510.05750992682715</v>
      </c>
      <c r="BH64" s="62">
        <f t="shared" si="8"/>
        <v>803.39084326016041</v>
      </c>
      <c r="BI64" s="62">
        <f ca="1">AVERAGE(OFFSET($BH$3,0,0,'Données projet'!$E$11+1,1))-AVERAGE(OFFSET($H$3,0,0,'Données projet'!$E$11+1,1))</f>
        <v>683.36974161977764</v>
      </c>
      <c r="BJ64" s="62">
        <f t="shared" si="38"/>
        <v>312.6921234697457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10.29614571062368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10.29614571062368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9.2524999999999977</v>
      </c>
      <c r="BY64" s="13">
        <f>IF('Données projet'!$A$114&gt;35,BY63+BX64-CG63,IF(A64&lt;'Données projet'!$A$114,$BV$205^A64,IF(A64='Données projet'!$A$114,'Données projet'!$B$114,BY63+BX64-CG63)))</f>
        <v>218.69750000000019</v>
      </c>
      <c r="BZ64" s="14">
        <f>BY64*VLOOKUP('Données projet'!$B$12,Paramètres!$A$1:$I$89,3,0)*VLOOKUP('Données projet'!$B$12,Paramètres!$A$1:$I$89,5,0)</f>
        <v>211.52422200000021</v>
      </c>
      <c r="CA64" s="14">
        <f t="shared" si="39"/>
        <v>52.268526230328021</v>
      </c>
      <c r="CB64" s="22">
        <f t="shared" si="10"/>
        <v>459.43903650115499</v>
      </c>
      <c r="CC64" s="62">
        <f t="shared" si="11"/>
        <v>752.77236983448825</v>
      </c>
      <c r="CD64" s="62">
        <f ca="1">AVERAGE(OFFSET($CC$3,0,0,'Données projet'!$E$12+1,1))-AVERAGE(OFFSET($H$3,0,0,'Données projet'!$E$12+1,1))</f>
        <v>618.83149423524605</v>
      </c>
      <c r="CE64" s="62">
        <f t="shared" si="40"/>
        <v>285.33582535802435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9.2516091892560581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9.2516091892560581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5.6</v>
      </c>
      <c r="CT64" s="13">
        <f>IF('Données projet'!$A$140&gt;35,CT63+CS64-DB63,IF(A64&lt;'Données projet'!$A$140,$CQ$205^A64,IF(A64='Données projet'!$A$140,'Données projet'!$B$140,CT63+CS64-DB63)))</f>
        <v>209.60000000000002</v>
      </c>
      <c r="CU64" s="18">
        <f>CT64*VLOOKUP('Données projet'!$B$13,Paramètres!$A$1:$I$89,3,0)*VLOOKUP('Données projet'!$B$13,Paramètres!$A$1:$I$89,5,0)</f>
        <v>183.10656000000003</v>
      </c>
      <c r="CV64" s="14">
        <f t="shared" si="41"/>
        <v>46.012648718992089</v>
      </c>
      <c r="CW64" s="22">
        <f t="shared" si="13"/>
        <v>399.04928851891128</v>
      </c>
      <c r="CX64" s="62">
        <f t="shared" si="14"/>
        <v>692.3826218522446</v>
      </c>
      <c r="CY64" s="62">
        <f ca="1">AVERAGE(OFFSET($CX$3,0,0,'Données projet'!$E$13+1,1))-AVERAGE(OFFSET($H$3,0,0,'Données projet'!$E$13+1,1))</f>
        <v>354.24684313982857</v>
      </c>
      <c r="CZ64" s="62">
        <f t="shared" si="42"/>
        <v>322.65043486962185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16.79205219290451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16.79205219290451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206.24916000000016</v>
      </c>
      <c r="P65" s="14">
        <f t="shared" si="33"/>
        <v>51.115075026737237</v>
      </c>
      <c r="Q65" s="22">
        <f t="shared" si="53"/>
        <v>448.24270933823431</v>
      </c>
      <c r="R65" s="62">
        <f t="shared" si="0"/>
        <v>741.57604267156762</v>
      </c>
      <c r="S65" s="62">
        <f ca="1">AVERAGE(OFFSET($R$3,0,0,'Données projet'!$E$9+1,1))-AVERAGE(OFFSET($H$3,0,0,'Données projet'!$E$9+1,1))</f>
        <v>581.88778927327667</v>
      </c>
      <c r="T65" s="62">
        <f t="shared" si="34"/>
        <v>269.67340993773422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8.4850171775288921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8.4850171775288921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</v>
      </c>
      <c r="AI65" s="14">
        <f>IF('Données projet'!$A$62&gt;35,AI64+AH65-AQ64,IF(A65&lt;'Données projet'!$A$62,$AF$205^A65,IF(A65='Données projet'!$A$62,'Données projet'!$B$62,AI64+AH65-AQ64)))</f>
        <v>251</v>
      </c>
      <c r="AJ65" s="14">
        <f>AI65*VLOOKUP('Données projet'!$B$10,Paramètres!$A$1:$I$89,3,0)*VLOOKUP('Données projet'!$B$10,Paramètres!$A$1:$I$89,5,0)</f>
        <v>238.85159999999999</v>
      </c>
      <c r="AK65" s="14">
        <f t="shared" si="35"/>
        <v>58.192377695429009</v>
      </c>
      <c r="AL65" s="22">
        <f t="shared" si="4"/>
        <v>517.3515944862055</v>
      </c>
      <c r="AM65" s="62">
        <f t="shared" si="5"/>
        <v>810.68492781953887</v>
      </c>
      <c r="AN65" s="62">
        <f ca="1">AVERAGE(OFFSET($AM$3,0,0,'Données projet'!$E$10+1,1))-AVERAGE(OFFSET($H$3,0,0,'Données projet'!$E$10+1,1))</f>
        <v>444.81608506581125</v>
      </c>
      <c r="AO65" s="62">
        <f t="shared" si="36"/>
        <v>306.75289431725565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17.823169831342348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17.823169831342348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9.2524999999999977</v>
      </c>
      <c r="BD65" s="13">
        <f>IF('Données projet'!$A$88&gt;35,BD64+BC65-BL64,IF(A65&lt;'Données projet'!$A$88,$BA$205^A65,IF(A65='Données projet'!$A$88,'Données projet'!$B$88,BD64+BC65-BL64)))</f>
        <v>227.95000000000019</v>
      </c>
      <c r="BE65" s="14">
        <f>BD65*VLOOKUP('Données projet'!$B$11,Paramètres!$A$1:$I$89,3,0)*VLOOKUP('Données projet'!$B$11,Paramètres!$A$1:$I$89,5,0)</f>
        <v>245.36538000000021</v>
      </c>
      <c r="BF65" s="14">
        <f t="shared" si="37"/>
        <v>59.592428496624137</v>
      </c>
      <c r="BG65" s="22">
        <f t="shared" si="7"/>
        <v>531.13484979828741</v>
      </c>
      <c r="BH65" s="62">
        <f t="shared" si="8"/>
        <v>824.46818313162066</v>
      </c>
      <c r="BI65" s="62">
        <f ca="1">AVERAGE(OFFSET($BH$3,0,0,'Données projet'!$E$11+1,1))-AVERAGE(OFFSET($H$3,0,0,'Données projet'!$E$11+1,1))</f>
        <v>683.36974161977764</v>
      </c>
      <c r="BJ65" s="62">
        <f t="shared" si="38"/>
        <v>312.6921234697457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10.094244573267131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10.094244573267131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9.2524999999999977</v>
      </c>
      <c r="BY65" s="13">
        <f>IF('Données projet'!$A$114&gt;35,BY64+BX65-CG64,IF(A65&lt;'Données projet'!$A$114,$BV$205^A65,IF(A65='Données projet'!$A$114,'Données projet'!$B$114,BY64+BX65-CG64)))</f>
        <v>227.95000000000019</v>
      </c>
      <c r="BZ65" s="14">
        <f>BY65*VLOOKUP('Données projet'!$B$12,Paramètres!$A$1:$I$89,3,0)*VLOOKUP('Données projet'!$B$12,Paramètres!$A$1:$I$89,5,0)</f>
        <v>220.4732400000002</v>
      </c>
      <c r="CA65" s="14">
        <f t="shared" si="39"/>
        <v>54.2177292297565</v>
      </c>
      <c r="CB65" s="22">
        <f t="shared" si="10"/>
        <v>478.42010474182621</v>
      </c>
      <c r="CC65" s="62">
        <f t="shared" si="11"/>
        <v>771.75343807515947</v>
      </c>
      <c r="CD65" s="62">
        <f ca="1">AVERAGE(OFFSET($CC$3,0,0,'Données projet'!$E$12+1,1))-AVERAGE(OFFSET($H$3,0,0,'Données projet'!$E$12+1,1))</f>
        <v>618.83149423524605</v>
      </c>
      <c r="CE65" s="62">
        <f t="shared" si="40"/>
        <v>285.33582535802435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9.0701907759791602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9.0701907759791602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5.6</v>
      </c>
      <c r="CT65" s="13">
        <f>IF('Données projet'!$A$140&gt;35,CT64+CS65-DB64,IF(A65&lt;'Données projet'!$A$140,$CQ$205^A65,IF(A65='Données projet'!$A$140,'Données projet'!$B$140,CT64+CS65-DB64)))</f>
        <v>215.20000000000002</v>
      </c>
      <c r="CU65" s="18">
        <f>CT65*VLOOKUP('Données projet'!$B$13,Paramètres!$A$1:$I$89,3,0)*VLOOKUP('Données projet'!$B$13,Paramètres!$A$1:$I$89,5,0)</f>
        <v>187.99872000000002</v>
      </c>
      <c r="CV65" s="14">
        <f t="shared" si="41"/>
        <v>47.097225953569499</v>
      </c>
      <c r="CW65" s="22">
        <f t="shared" si="13"/>
        <v>409.45877253580028</v>
      </c>
      <c r="CX65" s="62">
        <f t="shared" si="14"/>
        <v>702.79210586913359</v>
      </c>
      <c r="CY65" s="62">
        <f ca="1">AVERAGE(OFFSET($CX$3,0,0,'Données projet'!$E$13+1,1))-AVERAGE(OFFSET($H$3,0,0,'Données projet'!$E$13+1,1))</f>
        <v>354.24684313982857</v>
      </c>
      <c r="CZ65" s="62">
        <f t="shared" si="42"/>
        <v>322.65043486962185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16.462770291542164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16.462770291542164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214.62082200000015</v>
      </c>
      <c r="P66" s="14">
        <f t="shared" si="33"/>
        <v>52.944068896315315</v>
      </c>
      <c r="Q66" s="22">
        <f t="shared" si="53"/>
        <v>466.0088516444161</v>
      </c>
      <c r="R66" s="62">
        <f t="shared" si="0"/>
        <v>759.34218497774941</v>
      </c>
      <c r="S66" s="62">
        <f ca="1">AVERAGE(OFFSET($R$3,0,0,'Données projet'!$E$9+1,1))-AVERAGE(OFFSET($H$3,0,0,'Données projet'!$E$9+1,1))</f>
        <v>581.88778927327667</v>
      </c>
      <c r="T66" s="62">
        <f t="shared" si="34"/>
        <v>269.67340993773422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8.3186311660270054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8.3186311660270054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</v>
      </c>
      <c r="AI66" s="14">
        <f>IF('Données projet'!$A$62&gt;35,AI65+AH66-AQ65,IF(A66&lt;'Données projet'!$A$62,$AF$205^A66,IF(A66='Données projet'!$A$62,'Données projet'!$B$62,AI65+AH66-AQ65)))</f>
        <v>259</v>
      </c>
      <c r="AJ66" s="14">
        <f>AI66*VLOOKUP('Données projet'!$B$10,Paramètres!$A$1:$I$89,3,0)*VLOOKUP('Données projet'!$B$10,Paramètres!$A$1:$I$89,5,0)</f>
        <v>246.46440000000001</v>
      </c>
      <c r="AK66" s="14">
        <f t="shared" si="35"/>
        <v>59.828218865086768</v>
      </c>
      <c r="AL66" s="22">
        <f t="shared" si="4"/>
        <v>533.45964452335932</v>
      </c>
      <c r="AM66" s="62">
        <f t="shared" si="5"/>
        <v>826.79297785669269</v>
      </c>
      <c r="AN66" s="62">
        <f ca="1">AVERAGE(OFFSET($AM$3,0,0,'Données projet'!$E$10+1,1))-AVERAGE(OFFSET($H$3,0,0,'Données projet'!$E$10+1,1))</f>
        <v>444.81608506581125</v>
      </c>
      <c r="AO66" s="62">
        <f t="shared" si="36"/>
        <v>306.75289431725565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17.473668342009894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17.473668342009894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9.2524999999999977</v>
      </c>
      <c r="BD66" s="13">
        <f>IF('Données projet'!$A$88&gt;35,BD65+BC66-BL65,IF(A66&lt;'Données projet'!$A$88,$BA$205^A66,IF(A66='Données projet'!$A$88,'Données projet'!$B$88,BD65+BC66-BL65)))</f>
        <v>237.20250000000019</v>
      </c>
      <c r="BE66" s="14">
        <f>BD66*VLOOKUP('Données projet'!$B$11,Paramètres!$A$1:$I$89,3,0)*VLOOKUP('Données projet'!$B$11,Paramètres!$A$1:$I$89,5,0)</f>
        <v>255.3247710000002</v>
      </c>
      <c r="BF66" s="14">
        <f t="shared" si="37"/>
        <v>61.724758075257945</v>
      </c>
      <c r="BG66" s="22">
        <f t="shared" si="7"/>
        <v>552.19459647274118</v>
      </c>
      <c r="BH66" s="62">
        <f t="shared" si="8"/>
        <v>845.52792980607455</v>
      </c>
      <c r="BI66" s="62">
        <f ca="1">AVERAGE(OFFSET($BH$3,0,0,'Données projet'!$E$11+1,1))-AVERAGE(OFFSET($H$3,0,0,'Données projet'!$E$11+1,1))</f>
        <v>683.36974161977764</v>
      </c>
      <c r="BJ66" s="62">
        <f t="shared" si="38"/>
        <v>312.6921234697457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9.8963025940666114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9.8963025940666114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9.2524999999999977</v>
      </c>
      <c r="BY66" s="13">
        <f>IF('Données projet'!$A$114&gt;35,BY65+BX66-CG65,IF(A66&lt;'Données projet'!$A$114,$BV$205^A66,IF(A66='Données projet'!$A$114,'Données projet'!$B$114,BY65+BX66-CG65)))</f>
        <v>237.20250000000019</v>
      </c>
      <c r="BZ66" s="14">
        <f>BY66*VLOOKUP('Données projet'!$B$12,Paramètres!$A$1:$I$89,3,0)*VLOOKUP('Données projet'!$B$12,Paramètres!$A$1:$I$89,5,0)</f>
        <v>229.4222580000002</v>
      </c>
      <c r="CA66" s="14">
        <f t="shared" si="39"/>
        <v>56.157741923307334</v>
      </c>
      <c r="CB66" s="22">
        <f t="shared" si="10"/>
        <v>497.38516653309392</v>
      </c>
      <c r="CC66" s="62">
        <f t="shared" si="11"/>
        <v>790.71849986642724</v>
      </c>
      <c r="CD66" s="62">
        <f ca="1">AVERAGE(OFFSET($CC$3,0,0,'Données projet'!$E$12+1,1))-AVERAGE(OFFSET($H$3,0,0,'Données projet'!$E$12+1,1))</f>
        <v>618.83149423524605</v>
      </c>
      <c r="CE66" s="62">
        <f t="shared" si="40"/>
        <v>285.33582535802435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8.8923298671323163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8.8923298671323163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5.6</v>
      </c>
      <c r="CT66" s="13">
        <f>IF('Données projet'!$A$140&gt;35,CT65+CS66-DB65,IF(A66&lt;'Données projet'!$A$140,$CQ$205^A66,IF(A66='Données projet'!$A$140,'Données projet'!$B$140,CT65+CS66-DB65)))</f>
        <v>220.8</v>
      </c>
      <c r="CU66" s="18">
        <f>CT66*VLOOKUP('Données projet'!$B$13,Paramètres!$A$1:$I$89,3,0)*VLOOKUP('Données projet'!$B$13,Paramètres!$A$1:$I$89,5,0)</f>
        <v>192.89088000000004</v>
      </c>
      <c r="CV66" s="14">
        <f t="shared" si="41"/>
        <v>48.178522586846704</v>
      </c>
      <c r="CW66" s="22">
        <f t="shared" si="13"/>
        <v>419.86254283875809</v>
      </c>
      <c r="CX66" s="62">
        <f t="shared" si="14"/>
        <v>713.1958761720914</v>
      </c>
      <c r="CY66" s="62">
        <f ca="1">AVERAGE(OFFSET($CX$3,0,0,'Données projet'!$E$13+1,1))-AVERAGE(OFFSET($H$3,0,0,'Données projet'!$E$13+1,1))</f>
        <v>354.24684313982857</v>
      </c>
      <c r="CZ66" s="62">
        <f t="shared" si="42"/>
        <v>322.65043486962185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16.139945407423404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16.139945407423404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222.99248400000016</v>
      </c>
      <c r="P67" s="14">
        <f t="shared" si="33"/>
        <v>54.764775031234961</v>
      </c>
      <c r="Q67" s="22">
        <f t="shared" ref="Q67:Q98" si="54">(O67+P67)*0.475*44/12</f>
        <v>483.76055947940108</v>
      </c>
      <c r="R67" s="62">
        <f t="shared" ref="R67:R130" si="55">Q67+(I67+J67)*44/12</f>
        <v>777.09389281273434</v>
      </c>
      <c r="S67" s="62">
        <f ca="1">AVERAGE(OFFSET($R$3,0,0,'Données projet'!$E$9+1,1))-AVERAGE(OFFSET($H$3,0,0,'Données projet'!$E$9+1,1))</f>
        <v>581.88778927327667</v>
      </c>
      <c r="T67" s="62">
        <f t="shared" si="34"/>
        <v>269.67340993773422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8.1555078827252245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8.1555078827252245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</v>
      </c>
      <c r="AI67" s="14">
        <f>IF('Données projet'!$A$62&gt;35,AI66+AH67-AQ66,IF(A67&lt;'Données projet'!$A$62,$AF$205^A67,IF(A67='Données projet'!$A$62,'Données projet'!$B$62,AI66+AH67-AQ66)))</f>
        <v>267</v>
      </c>
      <c r="AJ67" s="14">
        <f>AI67*VLOOKUP('Données projet'!$B$10,Paramètres!$A$1:$I$89,3,0)*VLOOKUP('Données projet'!$B$10,Paramètres!$A$1:$I$89,5,0)</f>
        <v>254.0772</v>
      </c>
      <c r="AK67" s="14">
        <f t="shared" si="35"/>
        <v>61.458188159552755</v>
      </c>
      <c r="AL67" s="22">
        <f t="shared" si="4"/>
        <v>549.55746771122097</v>
      </c>
      <c r="AM67" s="62">
        <f t="shared" si="5"/>
        <v>842.89080104455434</v>
      </c>
      <c r="AN67" s="62">
        <f ca="1">AVERAGE(OFFSET($AM$3,0,0,'Données projet'!$E$10+1,1))-AVERAGE(OFFSET($H$3,0,0,'Données projet'!$E$10+1,1))</f>
        <v>444.81608506581125</v>
      </c>
      <c r="AO67" s="62">
        <f t="shared" si="36"/>
        <v>306.75289431725565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17.131020363708391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17.131020363708391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9.2524999999999977</v>
      </c>
      <c r="BD67" s="13">
        <f>IF('Données projet'!$A$88&gt;35,BD66+BC67-BL66,IF(A67&lt;'Données projet'!$A$88,$BA$205^A67,IF(A67='Données projet'!$A$88,'Données projet'!$B$88,BD66+BC67-BL66)))</f>
        <v>246.45500000000018</v>
      </c>
      <c r="BE67" s="14">
        <f>BD67*VLOOKUP('Données projet'!$B$11,Paramètres!$A$1:$I$89,3,0)*VLOOKUP('Données projet'!$B$11,Paramètres!$A$1:$I$89,5,0)</f>
        <v>265.28416200000015</v>
      </c>
      <c r="BF67" s="14">
        <f t="shared" si="37"/>
        <v>63.847425411690686</v>
      </c>
      <c r="BG67" s="22">
        <f t="shared" si="7"/>
        <v>573.23751474202811</v>
      </c>
      <c r="BH67" s="62">
        <f t="shared" si="8"/>
        <v>866.57084807536148</v>
      </c>
      <c r="BI67" s="62">
        <f ca="1">AVERAGE(OFFSET($BH$3,0,0,'Données projet'!$E$11+1,1))-AVERAGE(OFFSET($H$3,0,0,'Données projet'!$E$11+1,1))</f>
        <v>683.36974161977764</v>
      </c>
      <c r="BJ67" s="62">
        <f t="shared" si="38"/>
        <v>312.6921234697457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9.7022421363455269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9.7022421363455269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9.2524999999999977</v>
      </c>
      <c r="BY67" s="13">
        <f>IF('Données projet'!$A$114&gt;35,BY66+BX67-CG66,IF(A67&lt;'Données projet'!$A$114,$BV$205^A67,IF(A67='Données projet'!$A$114,'Données projet'!$B$114,BY66+BX67-CG66)))</f>
        <v>246.45500000000018</v>
      </c>
      <c r="BZ67" s="14">
        <f>BY67*VLOOKUP('Données projet'!$B$12,Paramètres!$A$1:$I$89,3,0)*VLOOKUP('Données projet'!$B$12,Paramètres!$A$1:$I$89,5,0)</f>
        <v>238.37127600000017</v>
      </c>
      <c r="CA67" s="14">
        <f t="shared" si="39"/>
        <v>58.088963821708049</v>
      </c>
      <c r="CB67" s="22">
        <f t="shared" si="10"/>
        <v>516.33491768947522</v>
      </c>
      <c r="CC67" s="62">
        <f t="shared" si="11"/>
        <v>809.66825102280859</v>
      </c>
      <c r="CD67" s="62">
        <f ca="1">AVERAGE(OFFSET($CC$3,0,0,'Données projet'!$E$12+1,1))-AVERAGE(OFFSET($H$3,0,0,'Données projet'!$E$12+1,1))</f>
        <v>618.83149423524605</v>
      </c>
      <c r="CE67" s="62">
        <f t="shared" si="40"/>
        <v>285.33582535802435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8.7179567022235158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8.7179567022235158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5.6</v>
      </c>
      <c r="CT67" s="13">
        <f>IF('Données projet'!$A$140&gt;35,CT66+CS67-DB66,IF(A67&lt;'Données projet'!$A$140,$CQ$205^A67,IF(A67='Données projet'!$A$140,'Données projet'!$B$140,CT66+CS67-DB66)))</f>
        <v>226.4</v>
      </c>
      <c r="CU67" s="18">
        <f>CT67*VLOOKUP('Données projet'!$B$13,Paramètres!$A$1:$I$89,3,0)*VLOOKUP('Données projet'!$B$13,Paramètres!$A$1:$I$89,5,0)</f>
        <v>197.78304000000003</v>
      </c>
      <c r="CV67" s="14">
        <f t="shared" si="41"/>
        <v>49.256631390532817</v>
      </c>
      <c r="CW67" s="22">
        <f t="shared" si="13"/>
        <v>430.26076100517804</v>
      </c>
      <c r="CX67" s="62">
        <f t="shared" si="14"/>
        <v>723.59409433851135</v>
      </c>
      <c r="CY67" s="62">
        <f ca="1">AVERAGE(OFFSET($CX$3,0,0,'Données projet'!$E$13+1,1))-AVERAGE(OFFSET($H$3,0,0,'Données projet'!$E$13+1,1))</f>
        <v>354.24684313982857</v>
      </c>
      <c r="CZ67" s="62">
        <f t="shared" si="42"/>
        <v>322.65043486962185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15.823450922378477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15.823450922378477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231.36414600000015</v>
      </c>
      <c r="P68" s="14">
        <f t="shared" si="33"/>
        <v>56.57754019728695</v>
      </c>
      <c r="Q68" s="22">
        <f t="shared" si="54"/>
        <v>501.49843679360833</v>
      </c>
      <c r="R68" s="62">
        <f t="shared" si="55"/>
        <v>794.83177012694159</v>
      </c>
      <c r="S68" s="62">
        <f ca="1">AVERAGE(OFFSET($R$3,0,0,'Données projet'!$E$9+1,1))-AVERAGE(OFFSET($H$3,0,0,'Données projet'!$E$9+1,1))</f>
        <v>581.88778927327667</v>
      </c>
      <c r="T68" s="62">
        <f t="shared" si="34"/>
        <v>269.67340993773422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7.9955833475136133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7.9955833475136133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275</v>
      </c>
      <c r="AG68" s="13">
        <f>VLOOKUP(A68,'Données projet'!$A$61:$I$81,9,0)</f>
        <v>8</v>
      </c>
      <c r="AH68" s="13">
        <f t="array" ref="AH68">INDEX(AG:AG,MIN(IF(ISNUMBER(AG68:AG264),ROW(AG68:AG264),"")))</f>
        <v>8</v>
      </c>
      <c r="AI68" s="14">
        <f>IF('Données projet'!$A$62&gt;35,AI67+AH68-AQ67,IF(A68&lt;'Données projet'!$A$62,$AF$205^A68,IF(A68='Données projet'!$A$62,'Données projet'!$B$62,AI67+AH68-AQ67)))</f>
        <v>275</v>
      </c>
      <c r="AJ68" s="14">
        <f>AI68*VLOOKUP('Données projet'!$B$10,Paramètres!$A$1:$I$89,3,0)*VLOOKUP('Données projet'!$B$10,Paramètres!$A$1:$I$89,5,0)</f>
        <v>261.69</v>
      </c>
      <c r="AK68" s="14">
        <f t="shared" si="35"/>
        <v>63.082481711546343</v>
      </c>
      <c r="AL68" s="22">
        <f t="shared" ref="AL68:AL131" si="58">(AJ68+AK68)*0.475*44/12</f>
        <v>565.64540564760989</v>
      </c>
      <c r="AM68" s="62">
        <f t="shared" ref="AM68:AM131" si="59">AL68+(AD68+AE68)*44/12</f>
        <v>858.97873898094326</v>
      </c>
      <c r="AN68" s="62">
        <f ca="1">AVERAGE(OFFSET($AM$3,0,0,'Données projet'!$E$10+1,1))-AVERAGE(OFFSET($H$3,0,0,'Données projet'!$E$10+1,1))</f>
        <v>444.81608506581125</v>
      </c>
      <c r="AO68" s="62">
        <f t="shared" si="36"/>
        <v>306.75289431725565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31</v>
      </c>
      <c r="AR68" s="17">
        <f>IF(ISNA(VLOOKUP(A68,'Données projet'!$A$61:$I$81,5,0)),0%,VLOOKUP(A68,'Données projet'!$A$61:$I$81,5,0)*VLOOKUP('Données projet'!$B$10,Paramètres!$A$1:$I$89,7,0))</f>
        <v>0.215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23.806442315001846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23.806442315001846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9.2524999999999977</v>
      </c>
      <c r="BD68" s="13">
        <f>IF('Données projet'!$A$88&gt;35,BD67+BC68-BL67,IF(A68&lt;'Données projet'!$A$88,$BA$205^A68,IF(A68='Données projet'!$A$88,'Données projet'!$B$88,BD67+BC68-BL67)))</f>
        <v>255.70750000000018</v>
      </c>
      <c r="BE68" s="14">
        <f>BD68*VLOOKUP('Données projet'!$B$11,Paramètres!$A$1:$I$89,3,0)*VLOOKUP('Données projet'!$B$11,Paramètres!$A$1:$I$89,5,0)</f>
        <v>275.24355300000019</v>
      </c>
      <c r="BF68" s="14">
        <f t="shared" si="37"/>
        <v>65.960834782265181</v>
      </c>
      <c r="BG68" s="22">
        <f t="shared" ref="BG68:BG131" si="61">(BE68+BF68)*0.475*44/12</f>
        <v>594.26430872077879</v>
      </c>
      <c r="BH68" s="62">
        <f t="shared" ref="BH68:BH131" si="62">BG68+(AY68+AZ68)*44/12</f>
        <v>887.59764205411216</v>
      </c>
      <c r="BI68" s="62">
        <f ca="1">AVERAGE(OFFSET($BH$3,0,0,'Données projet'!$E$11+1,1))-AVERAGE(OFFSET($H$3,0,0,'Données projet'!$E$11+1,1))</f>
        <v>683.36974161977764</v>
      </c>
      <c r="BJ68" s="62">
        <f t="shared" si="38"/>
        <v>312.6921234697457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9.5119870858351625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9.5119870858351625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9.2524999999999977</v>
      </c>
      <c r="BY68" s="13">
        <f>IF('Données projet'!$A$114&gt;35,BY67+BX68-CG67,IF(A68&lt;'Données projet'!$A$114,$BV$205^A68,IF(A68='Données projet'!$A$114,'Données projet'!$B$114,BY67+BX68-CG67)))</f>
        <v>255.70750000000018</v>
      </c>
      <c r="BZ68" s="14">
        <f>BY68*VLOOKUP('Données projet'!$B$12,Paramètres!$A$1:$I$89,3,0)*VLOOKUP('Données projet'!$B$12,Paramètres!$A$1:$I$89,5,0)</f>
        <v>247.32029400000016</v>
      </c>
      <c r="CA68" s="14">
        <f t="shared" si="39"/>
        <v>60.011762739223698</v>
      </c>
      <c r="CB68" s="22">
        <f t="shared" ref="CB68:CB131" si="64">(BZ68+CA68)*0.475*44/12</f>
        <v>535.26999882081486</v>
      </c>
      <c r="CC68" s="62">
        <f t="shared" ref="CC68:CC131" si="65">CB68+(BT68+BU68)*44/12</f>
        <v>828.60333215414812</v>
      </c>
      <c r="CD68" s="62">
        <f ca="1">AVERAGE(OFFSET($CC$3,0,0,'Données projet'!$E$12+1,1))-AVERAGE(OFFSET($H$3,0,0,'Données projet'!$E$12+1,1))</f>
        <v>618.83149423524605</v>
      </c>
      <c r="CE68" s="62">
        <f t="shared" si="40"/>
        <v>285.33582535802435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8.5470028887214493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8.5470028887214493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232</v>
      </c>
      <c r="CR68" s="13">
        <f>VLOOKUP(A68,'Données projet'!$A$139:$I$159,9,0)</f>
        <v>5.6</v>
      </c>
      <c r="CS68" s="13">
        <f t="array" ref="CS68">INDEX(CR:CR,MIN(IF(ISNUMBER(CR68:CR264),ROW(CR68:CR264),"")))</f>
        <v>5.6</v>
      </c>
      <c r="CT68" s="13">
        <f>IF('Données projet'!$A$140&gt;35,CT67+CS68-DB67,IF(A68&lt;'Données projet'!$A$140,$CQ$205^A68,IF(A68='Données projet'!$A$140,'Données projet'!$B$140,CT67+CS68-DB67)))</f>
        <v>232</v>
      </c>
      <c r="CU68" s="18">
        <f>CT68*VLOOKUP('Données projet'!$B$13,Paramètres!$A$1:$I$89,3,0)*VLOOKUP('Données projet'!$B$13,Paramètres!$A$1:$I$89,5,0)</f>
        <v>202.67520000000002</v>
      </c>
      <c r="CV68" s="14">
        <f t="shared" si="41"/>
        <v>50.331640285313689</v>
      </c>
      <c r="CW68" s="22">
        <f t="shared" ref="CW68:CW131" si="67">(CU68+CV68)*0.475*44/12</f>
        <v>440.653580163588</v>
      </c>
      <c r="CX68" s="62">
        <f t="shared" ref="CX68:CX131" si="68">CW68+(CO68+CP68)*44/12</f>
        <v>733.98691349692126</v>
      </c>
      <c r="CY68" s="62">
        <f ca="1">AVERAGE(OFFSET($CX$3,0,0,'Données projet'!$E$13+1,1))-AVERAGE(OFFSET($H$3,0,0,'Données projet'!$E$13+1,1))</f>
        <v>354.24684313982857</v>
      </c>
      <c r="CZ68" s="62">
        <f t="shared" si="42"/>
        <v>322.65043486962185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20</v>
      </c>
      <c r="DC68" s="17">
        <f>IF(ISNA(VLOOKUP(A68,'Données projet'!$A$139:$I$159,5,0)),0%,VLOOKUP(A68,'Données projet'!$A$139:$I$159,5,0)*VLOOKUP('Données projet'!$B$13,Paramètres!$A$1:$I$89,7,0))</f>
        <v>0.215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19.665840072450642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19.665840072450642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239.73580800000011</v>
      </c>
      <c r="P69" s="14">
        <f t="shared" ref="P69:P132" si="87">EXP(-1.0587+0.8836*LN(O69)+0.284)</f>
        <v>58.38268464325516</v>
      </c>
      <c r="Q69" s="22">
        <f t="shared" si="54"/>
        <v>519.22304135366949</v>
      </c>
      <c r="R69" s="62">
        <f t="shared" si="55"/>
        <v>812.55637468700274</v>
      </c>
      <c r="S69" s="62">
        <f ca="1">AVERAGE(OFFSET($R$3,0,0,'Données projet'!$E$9+1,1))-AVERAGE(OFFSET($H$3,0,0,'Données projet'!$E$9+1,1))</f>
        <v>581.88778927327667</v>
      </c>
      <c r="T69" s="62">
        <f t="shared" ref="T69:T132" si="88">$T$3</f>
        <v>269.67340993773422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0.129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14.278663085383233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14.278663085383233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7.6</v>
      </c>
      <c r="AI69" s="14">
        <f>IF('Données projet'!$A$62&gt;35,AI68+AH69-AQ68,IF(A69&lt;'Données projet'!$A$62,$AF$205^A69,IF(A69='Données projet'!$A$62,'Données projet'!$B$62,AI68+AH69-AQ68)))</f>
        <v>251.60000000000002</v>
      </c>
      <c r="AJ69" s="14">
        <f>AI69*VLOOKUP('Données projet'!$B$10,Paramètres!$A$1:$I$89,3,0)*VLOOKUP('Données projet'!$B$10,Paramètres!$A$1:$I$89,5,0)</f>
        <v>239.42256</v>
      </c>
      <c r="AK69" s="14">
        <f t="shared" ref="AK69:AK132" si="89">EXP(-1.0587+0.8836*LN(AJ69)+0.284)</f>
        <v>58.315274040589699</v>
      </c>
      <c r="AL69" s="22">
        <f t="shared" si="58"/>
        <v>518.56006095402699</v>
      </c>
      <c r="AM69" s="62">
        <f t="shared" si="59"/>
        <v>811.89339428736025</v>
      </c>
      <c r="AN69" s="62">
        <f ca="1">AVERAGE(OFFSET($AM$3,0,0,'Données projet'!$E$10+1,1))-AVERAGE(OFFSET($H$3,0,0,'Données projet'!$E$10+1,1))</f>
        <v>444.81608506581125</v>
      </c>
      <c r="AO69" s="62">
        <f t="shared" ref="AO69:AO132" si="90">$AO$3</f>
        <v>306.75289431725565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23.339612501700692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23.339612501700692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264.95999999999998</v>
      </c>
      <c r="BB69" s="13">
        <f>VLOOKUP(A69,'Données projet'!$A$87:$I$107,9,0)</f>
        <v>9.2524999999999977</v>
      </c>
      <c r="BC69" s="13">
        <f t="array" ref="BC69">INDEX(BB:BB,MIN(IF(ISNUMBER(BB69:BB265),ROW(BB69:BB265),"")))</f>
        <v>9.2524999999999977</v>
      </c>
      <c r="BD69" s="13">
        <f>IF('Données projet'!$A$88&gt;35,BD68+BC69-BL68,IF(A69&lt;'Données projet'!$A$88,$BA$205^A69,IF(A69='Données projet'!$A$88,'Données projet'!$B$88,BD68+BC69-BL68)))</f>
        <v>264.96000000000015</v>
      </c>
      <c r="BE69" s="14">
        <f>BD69*VLOOKUP('Données projet'!$B$11,Paramètres!$A$1:$I$89,3,0)*VLOOKUP('Données projet'!$B$11,Paramètres!$A$1:$I$89,5,0)</f>
        <v>285.20294400000017</v>
      </c>
      <c r="BF69" s="14">
        <f t="shared" ref="BF69:BF132" si="91">EXP(-1.0587+0.8836*LN(BE69)+0.284)</f>
        <v>68.06535954851401</v>
      </c>
      <c r="BG69" s="22">
        <f t="shared" si="61"/>
        <v>615.27562868032874</v>
      </c>
      <c r="BH69" s="62">
        <f t="shared" si="62"/>
        <v>908.60896201366199</v>
      </c>
      <c r="BI69" s="62">
        <f ca="1">AVERAGE(OFFSET($BH$3,0,0,'Données projet'!$E$11+1,1))-AVERAGE(OFFSET($H$3,0,0,'Données projet'!$E$11+1,1))</f>
        <v>683.36974161977764</v>
      </c>
      <c r="BJ69" s="62">
        <f t="shared" ref="BJ69:BJ132" si="92">$BJ$3</f>
        <v>312.6921234697457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49.91</v>
      </c>
      <c r="BM69" s="17">
        <f>IF(ISNA(VLOOKUP(A69,'Données projet'!$A$87:$I$107,5,0)),0%,VLOOKUP(A69,'Données projet'!$A$87:$I$107,5,0)*VLOOKUP('Données projet'!$B$11,Paramètres!$A$1:$I$89,7,0))</f>
        <v>0.129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16.986685394680055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16.986685394680055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264.95999999999998</v>
      </c>
      <c r="BW69" s="13">
        <f>VLOOKUP(A69,'Données projet'!$A$113:$I$133,9,0)</f>
        <v>9.2524999999999977</v>
      </c>
      <c r="BX69" s="13">
        <f t="array" ref="BX69">INDEX(BW:BW,MIN(IF(ISNUMBER(BW69:BW265),ROW(BW69:BW265),"")))</f>
        <v>9.2524999999999977</v>
      </c>
      <c r="BY69" s="13">
        <f>IF('Données projet'!$A$114&gt;35,BY68+BX69-CG68,IF(A69&lt;'Données projet'!$A$114,$BV$205^A69,IF(A69='Données projet'!$A$114,'Données projet'!$B$114,BY68+BX69-CG68)))</f>
        <v>264.96000000000015</v>
      </c>
      <c r="BZ69" s="14">
        <f>BY69*VLOOKUP('Données projet'!$B$12,Paramètres!$A$1:$I$89,3,0)*VLOOKUP('Données projet'!$B$12,Paramètres!$A$1:$I$89,5,0)</f>
        <v>256.26931200000018</v>
      </c>
      <c r="CA69" s="14">
        <f t="shared" ref="CA69:CA132" si="93">EXP(-1.0587+0.8836*LN(BZ69)+0.284)</f>
        <v>61.926478363546003</v>
      </c>
      <c r="CB69" s="22">
        <f t="shared" si="64"/>
        <v>554.19100154984289</v>
      </c>
      <c r="CC69" s="62">
        <f t="shared" si="65"/>
        <v>847.52433488317615</v>
      </c>
      <c r="CD69" s="62">
        <f ca="1">AVERAGE(OFFSET($CC$3,0,0,'Données projet'!$E$12+1,1))-AVERAGE(OFFSET($H$3,0,0,'Données projet'!$E$12+1,1))</f>
        <v>618.83149423524605</v>
      </c>
      <c r="CE69" s="62">
        <f t="shared" ref="CE69:CE132" si="94">$CE$3</f>
        <v>285.33582535802435</v>
      </c>
      <c r="CF69" s="16">
        <f>IF(ISNA(VLOOKUP(A69,'Données projet'!$A$113:$I$133,3,0)),0,VLOOKUP(A69,'Données projet'!$A$113:$I$133,3,0))</f>
        <v>4</v>
      </c>
      <c r="CG69" s="16">
        <f>IF(ISNA(VLOOKUP(A69,'Données projet'!$A$113:$I$133,4,0)),0,VLOOKUP(A69,'Données projet'!$A$113:$I$133,4,0))</f>
        <v>49.91</v>
      </c>
      <c r="CH69" s="17">
        <f>IF(ISNA(VLOOKUP(A69,'Données projet'!$A$113:$I$133,5,0)),0%,VLOOKUP(A69,'Données projet'!$A$113:$I$133,5,0)*VLOOKUP('Données projet'!$B$12,Paramètres!$A$1:$I$89,7,0))</f>
        <v>0.129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15.263398470582075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15.263398470582075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217</v>
      </c>
      <c r="CU69" s="18">
        <f>CT69*VLOOKUP('Données projet'!$B$13,Paramètres!$A$1:$I$89,3,0)*VLOOKUP('Données projet'!$B$13,Paramètres!$A$1:$I$89,5,0)</f>
        <v>189.57120000000003</v>
      </c>
      <c r="CV69" s="14">
        <f t="shared" ref="CV69:CV132" si="95">EXP(-1.0587+0.8836*LN(CU69)+0.284)</f>
        <v>47.44513879693244</v>
      </c>
      <c r="CW69" s="22">
        <f t="shared" si="67"/>
        <v>412.8034567379907</v>
      </c>
      <c r="CX69" s="62">
        <f t="shared" si="68"/>
        <v>706.13679007132396</v>
      </c>
      <c r="CY69" s="62">
        <f ca="1">AVERAGE(OFFSET($CX$3,0,0,'Données projet'!$E$13+1,1))-AVERAGE(OFFSET($H$3,0,0,'Données projet'!$E$13+1,1))</f>
        <v>354.24684313982857</v>
      </c>
      <c r="CZ69" s="62">
        <f t="shared" ref="CZ69:CZ132" si="96">$CZ$3</f>
        <v>322.65043486962185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19.280204943607924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19.280204943607924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202.59942300000012</v>
      </c>
      <c r="P70" s="14">
        <f t="shared" si="87"/>
        <v>50.315012169520465</v>
      </c>
      <c r="Q70" s="22">
        <f t="shared" si="54"/>
        <v>440.49264125358167</v>
      </c>
      <c r="R70" s="62">
        <f t="shared" si="55"/>
        <v>733.82597458691498</v>
      </c>
      <c r="S70" s="62">
        <f ca="1">AVERAGE(OFFSET($R$3,0,0,'Données projet'!$E$9+1,1))-AVERAGE(OFFSET($H$3,0,0,'Données projet'!$E$9+1,1))</f>
        <v>581.88778927327667</v>
      </c>
      <c r="T70" s="62">
        <f t="shared" si="88"/>
        <v>269.67340993773422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13.998667211403395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13.998667211403395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7.6</v>
      </c>
      <c r="AI70" s="14">
        <f>IF('Données projet'!$A$62&gt;35,AI69+AH70-AQ69,IF(A70&lt;'Données projet'!$A$62,$AF$205^A70,IF(A70='Données projet'!$A$62,'Données projet'!$B$62,AI69+AH70-AQ69)))</f>
        <v>259.20000000000005</v>
      </c>
      <c r="AJ70" s="14">
        <f>AI70*VLOOKUP('Données projet'!$B$10,Paramètres!$A$1:$I$89,3,0)*VLOOKUP('Données projet'!$B$10,Paramètres!$A$1:$I$89,5,0)</f>
        <v>246.65472000000005</v>
      </c>
      <c r="AK70" s="14">
        <f t="shared" si="89"/>
        <v>59.869038818016229</v>
      </c>
      <c r="AL70" s="22">
        <f t="shared" si="58"/>
        <v>533.86221327471173</v>
      </c>
      <c r="AM70" s="62">
        <f t="shared" si="59"/>
        <v>827.19554660804511</v>
      </c>
      <c r="AN70" s="62">
        <f ca="1">AVERAGE(OFFSET($AM$3,0,0,'Données projet'!$E$10+1,1))-AVERAGE(OFFSET($H$3,0,0,'Données projet'!$E$10+1,1))</f>
        <v>444.81608506581125</v>
      </c>
      <c r="AO70" s="62">
        <f t="shared" si="90"/>
        <v>306.75289431725565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22.881936936300303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22.881936936300303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8.8662500000000044</v>
      </c>
      <c r="BD70" s="13">
        <f>IF('Données projet'!$A$88&gt;35,BD69+BC70-BL69,IF(A70&lt;'Données projet'!$A$88,$BA$205^A70,IF(A70='Données projet'!$A$88,'Données projet'!$B$88,BD69+BC70-BL69)))</f>
        <v>223.91625000000013</v>
      </c>
      <c r="BE70" s="14">
        <f>BD70*VLOOKUP('Données projet'!$B$11,Paramètres!$A$1:$I$89,3,0)*VLOOKUP('Données projet'!$B$11,Paramètres!$A$1:$I$89,5,0)</f>
        <v>241.02345150000011</v>
      </c>
      <c r="BF70" s="14">
        <f t="shared" si="91"/>
        <v>58.659676493686526</v>
      </c>
      <c r="BG70" s="22">
        <f t="shared" si="61"/>
        <v>521.94811458900415</v>
      </c>
      <c r="BH70" s="62">
        <f t="shared" si="62"/>
        <v>815.28144792233752</v>
      </c>
      <c r="BI70" s="62">
        <f ca="1">AVERAGE(OFFSET($BH$3,0,0,'Données projet'!$E$11+1,1))-AVERAGE(OFFSET($H$3,0,0,'Données projet'!$E$11+1,1))</f>
        <v>683.36974161977764</v>
      </c>
      <c r="BJ70" s="62">
        <f t="shared" si="92"/>
        <v>312.6921234697457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16.65358685494542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16.65358685494542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8.8662500000000044</v>
      </c>
      <c r="BY70" s="13">
        <f>IF('Données projet'!$A$114&gt;35,BY69+BX70-CG69,IF(A70&lt;'Données projet'!$A$114,$BV$205^A70,IF(A70='Données projet'!$A$114,'Données projet'!$B$114,BY69+BX70-CG69)))</f>
        <v>223.91625000000013</v>
      </c>
      <c r="BZ70" s="14">
        <f>BY70*VLOOKUP('Données projet'!$B$12,Paramètres!$A$1:$I$89,3,0)*VLOOKUP('Données projet'!$B$12,Paramètres!$A$1:$I$89,5,0)</f>
        <v>216.57179700000012</v>
      </c>
      <c r="CA70" s="14">
        <f t="shared" si="93"/>
        <v>53.369103039994094</v>
      </c>
      <c r="CB70" s="22">
        <f t="shared" si="64"/>
        <v>470.14706756965666</v>
      </c>
      <c r="CC70" s="62">
        <f t="shared" si="65"/>
        <v>763.48040090298991</v>
      </c>
      <c r="CD70" s="62">
        <f ca="1">AVERAGE(OFFSET($CC$3,0,0,'Données projet'!$E$12+1,1))-AVERAGE(OFFSET($H$3,0,0,'Données projet'!$E$12+1,1))</f>
        <v>618.83149423524605</v>
      </c>
      <c r="CE70" s="62">
        <f t="shared" si="94"/>
        <v>285.33582535802435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14.964092536327765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14.964092536327765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222</v>
      </c>
      <c r="CU70" s="18">
        <f>CT70*VLOOKUP('Données projet'!$B$13,Paramètres!$A$1:$I$89,3,0)*VLOOKUP('Données projet'!$B$13,Paramètres!$A$1:$I$89,5,0)</f>
        <v>193.93920000000003</v>
      </c>
      <c r="CV70" s="14">
        <f t="shared" si="95"/>
        <v>48.409811198069384</v>
      </c>
      <c r="CW70" s="22">
        <f t="shared" si="67"/>
        <v>422.09119450330417</v>
      </c>
      <c r="CX70" s="62">
        <f t="shared" si="68"/>
        <v>715.42452783663748</v>
      </c>
      <c r="CY70" s="62">
        <f ca="1">AVERAGE(OFFSET($CX$3,0,0,'Données projet'!$E$13+1,1))-AVERAGE(OFFSET($H$3,0,0,'Données projet'!$E$13+1,1))</f>
        <v>354.24684313982857</v>
      </c>
      <c r="CZ70" s="62">
        <f t="shared" si="96"/>
        <v>322.65043486962185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18.902131884427607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18.902131884427607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210.62160600000013</v>
      </c>
      <c r="P71" s="14">
        <f t="shared" si="87"/>
        <v>52.071398873356536</v>
      </c>
      <c r="Q71" s="22">
        <f t="shared" si="54"/>
        <v>457.5236501544295</v>
      </c>
      <c r="R71" s="62">
        <f t="shared" si="55"/>
        <v>750.85698348776282</v>
      </c>
      <c r="S71" s="62">
        <f ca="1">AVERAGE(OFFSET($R$3,0,0,'Données projet'!$E$9+1,1))-AVERAGE(OFFSET($H$3,0,0,'Données projet'!$E$9+1,1))</f>
        <v>581.88778927327667</v>
      </c>
      <c r="T71" s="62">
        <f t="shared" si="88"/>
        <v>269.67340993773422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13.724161885731682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13.724161885731682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7.6</v>
      </c>
      <c r="AI71" s="14">
        <f>IF('Données projet'!$A$62&gt;35,AI70+AH71-AQ70,IF(A71&lt;'Données projet'!$A$62,$AF$205^A71,IF(A71='Données projet'!$A$62,'Données projet'!$B$62,AI70+AH71-AQ70)))</f>
        <v>266.80000000000007</v>
      </c>
      <c r="AJ71" s="14">
        <f>AI71*VLOOKUP('Données projet'!$B$10,Paramètres!$A$1:$I$89,3,0)*VLOOKUP('Données projet'!$B$10,Paramètres!$A$1:$I$89,5,0)</f>
        <v>253.88688000000008</v>
      </c>
      <c r="AK71" s="14">
        <f t="shared" si="89"/>
        <v>61.417508891277024</v>
      </c>
      <c r="AL71" s="22">
        <f t="shared" si="58"/>
        <v>549.15514398564085</v>
      </c>
      <c r="AM71" s="62">
        <f t="shared" si="59"/>
        <v>842.48847731897422</v>
      </c>
      <c r="AN71" s="62">
        <f ca="1">AVERAGE(OFFSET($AM$3,0,0,'Données projet'!$E$10+1,1))-AVERAGE(OFFSET($H$3,0,0,'Données projet'!$E$10+1,1))</f>
        <v>444.81608506581125</v>
      </c>
      <c r="AO71" s="62">
        <f t="shared" si="90"/>
        <v>306.75289431725565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22.433236109582886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22.433236109582886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8.8662500000000044</v>
      </c>
      <c r="BD71" s="13">
        <f>IF('Données projet'!$A$88&gt;35,BD70+BC71-BL70,IF(A71&lt;'Données projet'!$A$88,$BA$205^A71,IF(A71='Données projet'!$A$88,'Données projet'!$B$88,BD70+BC71-BL70)))</f>
        <v>232.78250000000014</v>
      </c>
      <c r="BE71" s="14">
        <f>BD71*VLOOKUP('Données projet'!$B$11,Paramètres!$A$1:$I$89,3,0)*VLOOKUP('Données projet'!$B$11,Paramètres!$A$1:$I$89,5,0)</f>
        <v>250.56708300000014</v>
      </c>
      <c r="BF71" s="14">
        <f t="shared" si="91"/>
        <v>60.707357124225084</v>
      </c>
      <c r="BG71" s="22">
        <f t="shared" si="61"/>
        <v>542.13631654969231</v>
      </c>
      <c r="BH71" s="62">
        <f t="shared" si="62"/>
        <v>835.46964988302557</v>
      </c>
      <c r="BI71" s="62">
        <f ca="1">AVERAGE(OFFSET($BH$3,0,0,'Données projet'!$E$11+1,1))-AVERAGE(OFFSET($H$3,0,0,'Données projet'!$E$11+1,1))</f>
        <v>683.36974161977764</v>
      </c>
      <c r="BJ71" s="62">
        <f t="shared" si="92"/>
        <v>312.6921234697457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16.327020174404932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16.327020174404932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8.8662500000000044</v>
      </c>
      <c r="BY71" s="13">
        <f>IF('Données projet'!$A$114&gt;35,BY70+BX71-CG70,IF(A71&lt;'Données projet'!$A$114,$BV$205^A71,IF(A71='Données projet'!$A$114,'Données projet'!$B$114,BY70+BX71-CG70)))</f>
        <v>232.78250000000014</v>
      </c>
      <c r="BZ71" s="14">
        <f>BY71*VLOOKUP('Données projet'!$B$12,Paramètres!$A$1:$I$89,3,0)*VLOOKUP('Données projet'!$B$12,Paramètres!$A$1:$I$89,5,0)</f>
        <v>225.14723400000014</v>
      </c>
      <c r="CA71" s="14">
        <f t="shared" si="93"/>
        <v>55.232101356665147</v>
      </c>
      <c r="CB71" s="22">
        <f t="shared" si="64"/>
        <v>488.32734241285874</v>
      </c>
      <c r="CC71" s="62">
        <f t="shared" si="65"/>
        <v>781.66067574619206</v>
      </c>
      <c r="CD71" s="62">
        <f ca="1">AVERAGE(OFFSET($CC$3,0,0,'Données projet'!$E$12+1,1))-AVERAGE(OFFSET($H$3,0,0,'Données projet'!$E$12+1,1))</f>
        <v>618.83149423524605</v>
      </c>
      <c r="CE71" s="62">
        <f t="shared" si="94"/>
        <v>285.33582535802435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14.67065580888559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14.67065580888559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227</v>
      </c>
      <c r="CU71" s="18">
        <f>CT71*VLOOKUP('Données projet'!$B$13,Paramètres!$A$1:$I$89,3,0)*VLOOKUP('Données projet'!$B$13,Paramètres!$A$1:$I$89,5,0)</f>
        <v>198.30720000000002</v>
      </c>
      <c r="CV71" s="14">
        <f t="shared" si="95"/>
        <v>49.371957679623371</v>
      </c>
      <c r="CW71" s="22">
        <f t="shared" si="67"/>
        <v>431.37453295867743</v>
      </c>
      <c r="CX71" s="62">
        <f t="shared" si="68"/>
        <v>724.70786629201075</v>
      </c>
      <c r="CY71" s="62">
        <f ca="1">AVERAGE(OFFSET($CX$3,0,0,'Données projet'!$E$13+1,1))-AVERAGE(OFFSET($H$3,0,0,'Données projet'!$E$13+1,1))</f>
        <v>354.24684313982857</v>
      </c>
      <c r="CZ71" s="62">
        <f t="shared" si="96"/>
        <v>322.65043486962185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18.531472607336021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18.531472607336021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218.64378900000014</v>
      </c>
      <c r="P72" s="14">
        <f t="shared" si="87"/>
        <v>53.820013961218514</v>
      </c>
      <c r="Q72" s="22">
        <f t="shared" si="54"/>
        <v>474.54112349078923</v>
      </c>
      <c r="R72" s="62">
        <f t="shared" si="55"/>
        <v>767.87445682412249</v>
      </c>
      <c r="S72" s="62">
        <f ca="1">AVERAGE(OFFSET($R$3,0,0,'Données projet'!$E$9+1,1))-AVERAGE(OFFSET($H$3,0,0,'Données projet'!$E$9+1,1))</f>
        <v>581.88778927327667</v>
      </c>
      <c r="T72" s="62">
        <f t="shared" si="88"/>
        <v>269.67340993773422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13.455039442064676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13.455039442064676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7.6</v>
      </c>
      <c r="AI72" s="14">
        <f>IF('Données projet'!$A$62&gt;35,AI71+AH72-AQ71,IF(A72&lt;'Données projet'!$A$62,$AF$205^A72,IF(A72='Données projet'!$A$62,'Données projet'!$B$62,AI71+AH72-AQ71)))</f>
        <v>274.40000000000009</v>
      </c>
      <c r="AJ72" s="14">
        <f>AI72*VLOOKUP('Données projet'!$B$10,Paramètres!$A$1:$I$89,3,0)*VLOOKUP('Données projet'!$B$10,Paramètres!$A$1:$I$89,5,0)</f>
        <v>261.1190400000001</v>
      </c>
      <c r="AK72" s="14">
        <f t="shared" si="89"/>
        <v>62.960852407139683</v>
      </c>
      <c r="AL72" s="22">
        <f t="shared" si="58"/>
        <v>564.43914594243518</v>
      </c>
      <c r="AM72" s="62">
        <f t="shared" si="59"/>
        <v>857.77247927576855</v>
      </c>
      <c r="AN72" s="62">
        <f ca="1">AVERAGE(OFFSET($AM$3,0,0,'Données projet'!$E$10+1,1))-AVERAGE(OFFSET($H$3,0,0,'Données projet'!$E$10+1,1))</f>
        <v>444.81608506581125</v>
      </c>
      <c r="AO72" s="62">
        <f t="shared" si="90"/>
        <v>306.75289431725565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21.993334032396916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21.993334032396916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8.8662500000000044</v>
      </c>
      <c r="BD72" s="13">
        <f>IF('Données projet'!$A$88&gt;35,BD71+BC72-BL71,IF(A72&lt;'Données projet'!$A$88,$BA$205^A72,IF(A72='Données projet'!$A$88,'Données projet'!$B$88,BD71+BC72-BL71)))</f>
        <v>241.64875000000015</v>
      </c>
      <c r="BE72" s="14">
        <f>BD72*VLOOKUP('Données projet'!$B$11,Paramètres!$A$1:$I$89,3,0)*VLOOKUP('Données projet'!$B$11,Paramètres!$A$1:$I$89,5,0)</f>
        <v>260.11071450000014</v>
      </c>
      <c r="BF72" s="14">
        <f t="shared" si="91"/>
        <v>62.745977228705485</v>
      </c>
      <c r="BG72" s="22">
        <f t="shared" si="61"/>
        <v>562.30873809416232</v>
      </c>
      <c r="BH72" s="62">
        <f t="shared" si="62"/>
        <v>855.64207142749569</v>
      </c>
      <c r="BI72" s="62">
        <f ca="1">AVERAGE(OFFSET($BH$3,0,0,'Données projet'!$E$11+1,1))-AVERAGE(OFFSET($H$3,0,0,'Données projet'!$E$11+1,1))</f>
        <v>683.36974161977764</v>
      </c>
      <c r="BJ72" s="62">
        <f t="shared" si="92"/>
        <v>312.6921234697457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16.006857267283838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16.006857267283838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8.8662500000000044</v>
      </c>
      <c r="BY72" s="13">
        <f>IF('Données projet'!$A$114&gt;35,BY71+BX72-CG71,IF(A72&lt;'Données projet'!$A$114,$BV$205^A72,IF(A72='Données projet'!$A$114,'Données projet'!$B$114,BY71+BX72-CG71)))</f>
        <v>241.64875000000015</v>
      </c>
      <c r="BZ72" s="14">
        <f>BY72*VLOOKUP('Données projet'!$B$12,Paramètres!$A$1:$I$89,3,0)*VLOOKUP('Données projet'!$B$12,Paramètres!$A$1:$I$89,5,0)</f>
        <v>233.72267100000013</v>
      </c>
      <c r="CA72" s="14">
        <f t="shared" si="93"/>
        <v>57.086856324963186</v>
      </c>
      <c r="CB72" s="22">
        <f t="shared" si="64"/>
        <v>506.49326009097769</v>
      </c>
      <c r="CC72" s="62">
        <f t="shared" si="65"/>
        <v>799.826593424311</v>
      </c>
      <c r="CD72" s="62">
        <f ca="1">AVERAGE(OFFSET($CC$3,0,0,'Données projet'!$E$12+1,1))-AVERAGE(OFFSET($H$3,0,0,'Données projet'!$E$12+1,1))</f>
        <v>618.83149423524605</v>
      </c>
      <c r="CE72" s="62">
        <f t="shared" si="94"/>
        <v>285.33582535802435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14.382973196689823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14.382973196689823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232</v>
      </c>
      <c r="CU72" s="18">
        <f>CT72*VLOOKUP('Données projet'!$B$13,Paramètres!$A$1:$I$89,3,0)*VLOOKUP('Données projet'!$B$13,Paramètres!$A$1:$I$89,5,0)</f>
        <v>202.67520000000002</v>
      </c>
      <c r="CV72" s="14">
        <f t="shared" si="95"/>
        <v>50.331640285313689</v>
      </c>
      <c r="CW72" s="22">
        <f t="shared" si="67"/>
        <v>440.653580163588</v>
      </c>
      <c r="CX72" s="62">
        <f t="shared" si="68"/>
        <v>733.98691349692126</v>
      </c>
      <c r="CY72" s="62">
        <f ca="1">AVERAGE(OFFSET($CX$3,0,0,'Données projet'!$E$13+1,1))-AVERAGE(OFFSET($H$3,0,0,'Données projet'!$E$13+1,1))</f>
        <v>354.24684313982857</v>
      </c>
      <c r="CZ72" s="62">
        <f t="shared" si="96"/>
        <v>322.65043486962185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18.168081732588366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18.168081732588366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226.66597200000012</v>
      </c>
      <c r="P73" s="14">
        <f t="shared" si="87"/>
        <v>55.561175235972904</v>
      </c>
      <c r="Q73" s="22">
        <f t="shared" si="54"/>
        <v>491.54561476931968</v>
      </c>
      <c r="R73" s="62">
        <f t="shared" si="55"/>
        <v>784.878948102653</v>
      </c>
      <c r="S73" s="62">
        <f ca="1">AVERAGE(OFFSET($R$3,0,0,'Données projet'!$E$9+1,1))-AVERAGE(OFFSET($H$3,0,0,'Données projet'!$E$9+1,1))</f>
        <v>581.88778927327667</v>
      </c>
      <c r="T73" s="62">
        <f t="shared" si="88"/>
        <v>269.67340993773422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13.191194325369496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13.191194325369496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282</v>
      </c>
      <c r="AG73" s="13">
        <f>VLOOKUP(A73,'Données projet'!$A$61:$I$81,9,0)</f>
        <v>7.6</v>
      </c>
      <c r="AH73" s="13">
        <f t="array" ref="AH73">INDEX(AG:AG,MIN(IF(ISNUMBER(AG73:AG269),ROW(AG73:AG269),"")))</f>
        <v>7.6</v>
      </c>
      <c r="AI73" s="14">
        <f>IF('Données projet'!$A$62&gt;35,AI72+AH73-AQ72,IF(A73&lt;'Données projet'!$A$62,$AF$205^A73,IF(A73='Données projet'!$A$62,'Données projet'!$B$62,AI72+AH73-AQ72)))</f>
        <v>282.00000000000011</v>
      </c>
      <c r="AJ73" s="14">
        <f>AI73*VLOOKUP('Données projet'!$B$10,Paramètres!$A$1:$I$89,3,0)*VLOOKUP('Données projet'!$B$10,Paramètres!$A$1:$I$89,5,0)</f>
        <v>268.35120000000012</v>
      </c>
      <c r="AK73" s="14">
        <f t="shared" si="89"/>
        <v>64.499227668096125</v>
      </c>
      <c r="AL73" s="22">
        <f t="shared" si="58"/>
        <v>579.71449485526762</v>
      </c>
      <c r="AM73" s="62">
        <f t="shared" si="59"/>
        <v>873.04782818860099</v>
      </c>
      <c r="AN73" s="62">
        <f ca="1">AVERAGE(OFFSET($AM$3,0,0,'Données projet'!$E$10+1,1))-AVERAGE(OFFSET($H$3,0,0,'Données projet'!$E$10+1,1))</f>
        <v>444.81608506581125</v>
      </c>
      <c r="AO73" s="62">
        <f t="shared" si="90"/>
        <v>306.75289431725565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31</v>
      </c>
      <c r="AR73" s="17">
        <f>IF(ISNA(VLOOKUP(A73,'Données projet'!$A$61:$I$81,5,0)),0%,VLOOKUP(A73,'Données projet'!$A$61:$I$81,5,0)*VLOOKUP('Données projet'!$B$10,Paramètres!$A$1:$I$89,7,0))</f>
        <v>0.215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28.573408978365887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28.573408978365887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8.8662500000000044</v>
      </c>
      <c r="BD73" s="13">
        <f>IF('Données projet'!$A$88&gt;35,BD72+BC73-BL72,IF(A73&lt;'Données projet'!$A$88,$BA$205^A73,IF(A73='Données projet'!$A$88,'Données projet'!$B$88,BD72+BC73-BL72)))</f>
        <v>250.51500000000016</v>
      </c>
      <c r="BE73" s="14">
        <f>BD73*VLOOKUP('Données projet'!$B$11,Paramètres!$A$1:$I$89,3,0)*VLOOKUP('Données projet'!$B$11,Paramètres!$A$1:$I$89,5,0)</f>
        <v>269.65434600000015</v>
      </c>
      <c r="BF73" s="14">
        <f t="shared" si="91"/>
        <v>64.775907317091679</v>
      </c>
      <c r="BG73" s="22">
        <f t="shared" si="61"/>
        <v>582.46602452726813</v>
      </c>
      <c r="BH73" s="62">
        <f t="shared" si="62"/>
        <v>875.7993578606015</v>
      </c>
      <c r="BI73" s="62">
        <f ca="1">AVERAGE(OFFSET($BH$3,0,0,'Données projet'!$E$11+1,1))-AVERAGE(OFFSET($H$3,0,0,'Données projet'!$E$11+1,1))</f>
        <v>683.36974161977764</v>
      </c>
      <c r="BJ73" s="62">
        <f t="shared" si="92"/>
        <v>312.6921234697457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15.692972559491297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15.692972559491297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8.8662500000000044</v>
      </c>
      <c r="BY73" s="13">
        <f>IF('Données projet'!$A$114&gt;35,BY72+BX73-CG72,IF(A73&lt;'Données projet'!$A$114,$BV$205^A73,IF(A73='Données projet'!$A$114,'Données projet'!$B$114,BY72+BX73-CG72)))</f>
        <v>250.51500000000016</v>
      </c>
      <c r="BZ73" s="14">
        <f>BY73*VLOOKUP('Données projet'!$B$12,Paramètres!$A$1:$I$89,3,0)*VLOOKUP('Données projet'!$B$12,Paramètres!$A$1:$I$89,5,0)</f>
        <v>242.29810800000013</v>
      </c>
      <c r="CA73" s="14">
        <f t="shared" si="93"/>
        <v>58.933705038196834</v>
      </c>
      <c r="CB73" s="22">
        <f t="shared" si="64"/>
        <v>524.64540770819303</v>
      </c>
      <c r="CC73" s="62">
        <f t="shared" si="65"/>
        <v>817.97874104152629</v>
      </c>
      <c r="CD73" s="62">
        <f ca="1">AVERAGE(OFFSET($CC$3,0,0,'Données projet'!$E$12+1,1))-AVERAGE(OFFSET($H$3,0,0,'Données projet'!$E$12+1,1))</f>
        <v>618.83149423524605</v>
      </c>
      <c r="CE73" s="62">
        <f t="shared" si="94"/>
        <v>285.33582535802435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14.10093186505015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14.10093186505015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237</v>
      </c>
      <c r="CU73" s="18">
        <f>CT73*VLOOKUP('Données projet'!$B$13,Paramètres!$A$1:$I$89,3,0)*VLOOKUP('Données projet'!$B$13,Paramètres!$A$1:$I$89,5,0)</f>
        <v>207.04320000000001</v>
      </c>
      <c r="CV73" s="14">
        <f t="shared" si="95"/>
        <v>51.288918231806321</v>
      </c>
      <c r="CW73" s="22">
        <f t="shared" si="67"/>
        <v>449.92843925372944</v>
      </c>
      <c r="CX73" s="62">
        <f t="shared" si="68"/>
        <v>743.26177258706275</v>
      </c>
      <c r="CY73" s="62">
        <f ca="1">AVERAGE(OFFSET($CX$3,0,0,'Données projet'!$E$13+1,1))-AVERAGE(OFFSET($H$3,0,0,'Données projet'!$E$13+1,1))</f>
        <v>354.24684313982857</v>
      </c>
      <c r="CZ73" s="62">
        <f t="shared" si="96"/>
        <v>322.65043486962185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18</v>
      </c>
      <c r="DC73" s="17">
        <f>IF(ISNA(VLOOKUP(A73,'Données projet'!$A$139:$I$159,5,0)),0%,VLOOKUP(A73,'Données projet'!$A$139:$I$159,5,0)*VLOOKUP('Données projet'!$B$13,Paramètres!$A$1:$I$89,7,0))</f>
        <v>0.25800000000000001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22.29670829226054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22.29670829226054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234.68815500000011</v>
      </c>
      <c r="P74" s="14">
        <f t="shared" si="87"/>
        <v>57.295176729679312</v>
      </c>
      <c r="Q74" s="22">
        <f t="shared" si="54"/>
        <v>508.53763609585832</v>
      </c>
      <c r="R74" s="62">
        <f t="shared" si="55"/>
        <v>801.87096942919163</v>
      </c>
      <c r="S74" s="62">
        <f ca="1">AVERAGE(OFFSET($R$3,0,0,'Données projet'!$E$9+1,1))-AVERAGE(OFFSET($H$3,0,0,'Données projet'!$E$9+1,1))</f>
        <v>581.88778927327667</v>
      </c>
      <c r="T74" s="62">
        <f t="shared" si="88"/>
        <v>269.67340993773422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12.932523050483079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12.932523050483079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7.2</v>
      </c>
      <c r="AI74" s="14">
        <f>IF('Données projet'!$A$62&gt;35,AI73+AH74-AQ73,IF(A74&lt;'Données projet'!$A$62,$AF$205^A74,IF(A74='Données projet'!$A$62,'Données projet'!$B$62,AI73+AH74-AQ73)))</f>
        <v>258.2000000000001</v>
      </c>
      <c r="AJ74" s="14">
        <f>AI74*VLOOKUP('Données projet'!$B$10,Paramètres!$A$1:$I$89,3,0)*VLOOKUP('Données projet'!$B$10,Paramètres!$A$1:$I$89,5,0)</f>
        <v>245.7031200000001</v>
      </c>
      <c r="AK74" s="14">
        <f t="shared" si="89"/>
        <v>59.664902329356607</v>
      </c>
      <c r="AL74" s="22">
        <f t="shared" si="58"/>
        <v>531.84930555696292</v>
      </c>
      <c r="AM74" s="62">
        <f t="shared" si="59"/>
        <v>825.18263889029618</v>
      </c>
      <c r="AN74" s="62">
        <f ca="1">AVERAGE(OFFSET($AM$3,0,0,'Données projet'!$E$10+1,1))-AVERAGE(OFFSET($H$3,0,0,'Données projet'!$E$10+1,1))</f>
        <v>444.81608506581125</v>
      </c>
      <c r="AO74" s="62">
        <f t="shared" si="90"/>
        <v>306.75289431725565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28.01310185635873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28.01310185635873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8.8662500000000044</v>
      </c>
      <c r="BD74" s="13">
        <f>IF('Données projet'!$A$88&gt;35,BD73+BC74-BL73,IF(A74&lt;'Données projet'!$A$88,$BA$205^A74,IF(A74='Données projet'!$A$88,'Données projet'!$B$88,BD73+BC74-BL73)))</f>
        <v>259.38125000000014</v>
      </c>
      <c r="BE74" s="14">
        <f>BD74*VLOOKUP('Données projet'!$B$11,Paramètres!$A$1:$I$89,3,0)*VLOOKUP('Données projet'!$B$11,Paramètres!$A$1:$I$89,5,0)</f>
        <v>279.19797750000015</v>
      </c>
      <c r="BF74" s="14">
        <f t="shared" si="91"/>
        <v>66.797490186190217</v>
      </c>
      <c r="BG74" s="22">
        <f t="shared" si="61"/>
        <v>602.60877288678148</v>
      </c>
      <c r="BH74" s="62">
        <f t="shared" si="62"/>
        <v>895.94210622011474</v>
      </c>
      <c r="BI74" s="62">
        <f ca="1">AVERAGE(OFFSET($BH$3,0,0,'Données projet'!$E$11+1,1))-AVERAGE(OFFSET($H$3,0,0,'Données projet'!$E$11+1,1))</f>
        <v>683.36974161977764</v>
      </c>
      <c r="BJ74" s="62">
        <f t="shared" si="92"/>
        <v>312.6921234697457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15.385242939367801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15.385242939367801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8.8662500000000044</v>
      </c>
      <c r="BY74" s="13">
        <f>IF('Données projet'!$A$114&gt;35,BY73+BX74-CG73,IF(A74&lt;'Données projet'!$A$114,$BV$205^A74,IF(A74='Données projet'!$A$114,'Données projet'!$B$114,BY73+BX74-CG73)))</f>
        <v>259.38125000000014</v>
      </c>
      <c r="BZ74" s="14">
        <f>BY74*VLOOKUP('Données projet'!$B$12,Paramètres!$A$1:$I$89,3,0)*VLOOKUP('Données projet'!$B$12,Paramètres!$A$1:$I$89,5,0)</f>
        <v>250.87354500000012</v>
      </c>
      <c r="CA74" s="14">
        <f t="shared" si="93"/>
        <v>60.772959375994262</v>
      </c>
      <c r="CB74" s="22">
        <f t="shared" si="64"/>
        <v>542.78432845485679</v>
      </c>
      <c r="CC74" s="62">
        <f t="shared" si="65"/>
        <v>836.11766178819016</v>
      </c>
      <c r="CD74" s="62">
        <f ca="1">AVERAGE(OFFSET($CC$3,0,0,'Données projet'!$E$12+1,1))-AVERAGE(OFFSET($H$3,0,0,'Données projet'!$E$12+1,1))</f>
        <v>618.83149423524605</v>
      </c>
      <c r="CE74" s="62">
        <f t="shared" si="94"/>
        <v>285.33582535802435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13.824421191895704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13.824421191895704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4.4000000000000004</v>
      </c>
      <c r="CT74" s="13">
        <f>IF('Données projet'!$A$140&gt;35,CT73+CS74-DB73,IF(A74&lt;'Données projet'!$A$140,$CQ$205^A74,IF(A74='Données projet'!$A$140,'Données projet'!$B$140,CT73+CS74-DB73)))</f>
        <v>223.4</v>
      </c>
      <c r="CU74" s="18">
        <f>CT74*VLOOKUP('Données projet'!$B$13,Paramètres!$A$1:$I$89,3,0)*VLOOKUP('Données projet'!$B$13,Paramètres!$A$1:$I$89,5,0)</f>
        <v>195.16224000000003</v>
      </c>
      <c r="CV74" s="14">
        <f t="shared" si="95"/>
        <v>48.67946410296608</v>
      </c>
      <c r="CW74" s="22">
        <f t="shared" si="67"/>
        <v>424.69096797933258</v>
      </c>
      <c r="CX74" s="62">
        <f t="shared" si="68"/>
        <v>718.0243013126659</v>
      </c>
      <c r="CY74" s="62">
        <f ca="1">AVERAGE(OFFSET($CX$3,0,0,'Données projet'!$E$13+1,1))-AVERAGE(OFFSET($H$3,0,0,'Données projet'!$E$13+1,1))</f>
        <v>354.24684313982857</v>
      </c>
      <c r="CZ74" s="62">
        <f t="shared" si="96"/>
        <v>322.65043486962185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21.859483442298515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21.859483442298515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242.71033800000009</v>
      </c>
      <c r="P75" s="14">
        <f t="shared" si="87"/>
        <v>59.022291232778812</v>
      </c>
      <c r="Q75" s="22">
        <f t="shared" si="54"/>
        <v>525.51766258042323</v>
      </c>
      <c r="R75" s="62">
        <f t="shared" si="55"/>
        <v>818.85099591375661</v>
      </c>
      <c r="S75" s="62">
        <f ca="1">AVERAGE(OFFSET($R$3,0,0,'Données projet'!$E$9+1,1))-AVERAGE(OFFSET($H$3,0,0,'Données projet'!$E$9+1,1))</f>
        <v>581.88778927327667</v>
      </c>
      <c r="T75" s="62">
        <f t="shared" si="88"/>
        <v>269.67340993773422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12.678924161523286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12.678924161523286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7.2</v>
      </c>
      <c r="AI75" s="14">
        <f>IF('Données projet'!$A$62&gt;35,AI74+AH75-AQ74,IF(A75&lt;'Données projet'!$A$62,$AF$205^A75,IF(A75='Données projet'!$A$62,'Données projet'!$B$62,AI74+AH75-AQ74)))</f>
        <v>265.40000000000009</v>
      </c>
      <c r="AJ75" s="14">
        <f>AI75*VLOOKUP('Données projet'!$B$10,Paramètres!$A$1:$I$89,3,0)*VLOOKUP('Données projet'!$B$10,Paramètres!$A$1:$I$89,5,0)</f>
        <v>252.55464000000012</v>
      </c>
      <c r="AK75" s="14">
        <f t="shared" si="89"/>
        <v>61.132654455470124</v>
      </c>
      <c r="AL75" s="22">
        <f t="shared" si="58"/>
        <v>546.33870450994402</v>
      </c>
      <c r="AM75" s="62">
        <f t="shared" si="59"/>
        <v>839.67203784327739</v>
      </c>
      <c r="AN75" s="62">
        <f ca="1">AVERAGE(OFFSET($AM$3,0,0,'Données projet'!$E$10+1,1))-AVERAGE(OFFSET($H$3,0,0,'Données projet'!$E$10+1,1))</f>
        <v>444.81608506581125</v>
      </c>
      <c r="AO75" s="62">
        <f t="shared" si="90"/>
        <v>306.75289431725565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27.463782015260534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27.463782015260534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8.8662500000000044</v>
      </c>
      <c r="BD75" s="13">
        <f>IF('Données projet'!$A$88&gt;35,BD74+BC75-BL74,IF(A75&lt;'Données projet'!$A$88,$BA$205^A75,IF(A75='Données projet'!$A$88,'Données projet'!$B$88,BD74+BC75-BL74)))</f>
        <v>268.24750000000012</v>
      </c>
      <c r="BE75" s="14">
        <f>BD75*VLOOKUP('Données projet'!$B$11,Paramètres!$A$1:$I$89,3,0)*VLOOKUP('Données projet'!$B$11,Paramètres!$A$1:$I$89,5,0)</f>
        <v>288.7416090000001</v>
      </c>
      <c r="BF75" s="14">
        <f t="shared" si="91"/>
        <v>68.811043868300743</v>
      </c>
      <c r="BG75" s="22">
        <f t="shared" si="61"/>
        <v>622.73753707895719</v>
      </c>
      <c r="BH75" s="62">
        <f t="shared" si="62"/>
        <v>916.07087041229056</v>
      </c>
      <c r="BI75" s="62">
        <f ca="1">AVERAGE(OFFSET($BH$3,0,0,'Données projet'!$E$11+1,1))-AVERAGE(OFFSET($H$3,0,0,'Données projet'!$E$11+1,1))</f>
        <v>683.36974161977764</v>
      </c>
      <c r="BJ75" s="62">
        <f t="shared" si="92"/>
        <v>312.6921234697457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15.083547709398392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15.083547709398392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8.8662500000000044</v>
      </c>
      <c r="BY75" s="13">
        <f>IF('Données projet'!$A$114&gt;35,BY74+BX75-CG74,IF(A75&lt;'Données projet'!$A$114,$BV$205^A75,IF(A75='Données projet'!$A$114,'Données projet'!$B$114,BY74+BX75-CG74)))</f>
        <v>268.24750000000012</v>
      </c>
      <c r="BZ75" s="14">
        <f>BY75*VLOOKUP('Données projet'!$B$12,Paramètres!$A$1:$I$89,3,0)*VLOOKUP('Données projet'!$B$12,Paramètres!$A$1:$I$89,5,0)</f>
        <v>259.44898200000011</v>
      </c>
      <c r="CA75" s="14">
        <f t="shared" si="93"/>
        <v>62.604908687011665</v>
      </c>
      <c r="CB75" s="22">
        <f t="shared" si="64"/>
        <v>560.91052627987881</v>
      </c>
      <c r="CC75" s="62">
        <f t="shared" si="65"/>
        <v>854.24385961321218</v>
      </c>
      <c r="CD75" s="62">
        <f ca="1">AVERAGE(OFFSET($CC$3,0,0,'Données projet'!$E$12+1,1))-AVERAGE(OFFSET($H$3,0,0,'Données projet'!$E$12+1,1))</f>
        <v>618.83149423524605</v>
      </c>
      <c r="CE75" s="62">
        <f t="shared" si="94"/>
        <v>285.33582535802435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13.553332724386959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13.553332724386959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4.4000000000000004</v>
      </c>
      <c r="CT75" s="13">
        <f>IF('Données projet'!$A$140&gt;35,CT74+CS75-DB74,IF(A75&lt;'Données projet'!$A$140,$CQ$205^A75,IF(A75='Données projet'!$A$140,'Données projet'!$B$140,CT74+CS75-DB74)))</f>
        <v>227.8</v>
      </c>
      <c r="CU75" s="18">
        <f>CT75*VLOOKUP('Données projet'!$B$13,Paramètres!$A$1:$I$89,3,0)*VLOOKUP('Données projet'!$B$13,Paramètres!$A$1:$I$89,5,0)</f>
        <v>199.00608000000003</v>
      </c>
      <c r="CV75" s="14">
        <f t="shared" si="95"/>
        <v>49.525670897515027</v>
      </c>
      <c r="CW75" s="22">
        <f t="shared" si="67"/>
        <v>432.85946614650538</v>
      </c>
      <c r="CX75" s="62">
        <f t="shared" si="68"/>
        <v>726.19279947983864</v>
      </c>
      <c r="CY75" s="62">
        <f ca="1">AVERAGE(OFFSET($CX$3,0,0,'Données projet'!$E$13+1,1))-AVERAGE(OFFSET($H$3,0,0,'Données projet'!$E$13+1,1))</f>
        <v>354.24684313982857</v>
      </c>
      <c r="CZ75" s="62">
        <f t="shared" si="96"/>
        <v>322.65043486962185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21.43083230496342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21.43083230496342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250.73252100000005</v>
      </c>
      <c r="P76" s="14">
        <f t="shared" si="87"/>
        <v>60.74277247950485</v>
      </c>
      <c r="Q76" s="22">
        <f t="shared" si="54"/>
        <v>542.48613614347107</v>
      </c>
      <c r="R76" s="62">
        <f t="shared" si="55"/>
        <v>835.81946947680444</v>
      </c>
      <c r="S76" s="62">
        <f ca="1">AVERAGE(OFFSET($R$3,0,0,'Données projet'!$E$9+1,1))-AVERAGE(OFFSET($H$3,0,0,'Données projet'!$E$9+1,1))</f>
        <v>581.88778927327667</v>
      </c>
      <c r="T76" s="62">
        <f t="shared" si="88"/>
        <v>269.67340993773422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12.430298192095945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12.430298192095945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7.2</v>
      </c>
      <c r="AI76" s="14">
        <f>IF('Données projet'!$A$62&gt;35,AI75+AH76-AQ75,IF(A76&lt;'Données projet'!$A$62,$AF$205^A76,IF(A76='Données projet'!$A$62,'Données projet'!$B$62,AI75+AH76-AQ75)))</f>
        <v>272.60000000000008</v>
      </c>
      <c r="AJ76" s="14">
        <f>AI76*VLOOKUP('Données projet'!$B$10,Paramètres!$A$1:$I$89,3,0)*VLOOKUP('Données projet'!$B$10,Paramètres!$A$1:$I$89,5,0)</f>
        <v>259.40616000000011</v>
      </c>
      <c r="AK76" s="14">
        <f t="shared" si="89"/>
        <v>62.595778424976423</v>
      </c>
      <c r="AL76" s="22">
        <f t="shared" si="58"/>
        <v>560.82004275683403</v>
      </c>
      <c r="AM76" s="62">
        <f t="shared" si="59"/>
        <v>854.15337609016728</v>
      </c>
      <c r="AN76" s="62">
        <f ca="1">AVERAGE(OFFSET($AM$3,0,0,'Données projet'!$E$10+1,1))-AVERAGE(OFFSET($H$3,0,0,'Données projet'!$E$10+1,1))</f>
        <v>444.81608506581125</v>
      </c>
      <c r="AO76" s="62">
        <f t="shared" si="90"/>
        <v>306.75289431725565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26.925234001194255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26.925234001194255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8.8662500000000044</v>
      </c>
      <c r="BD76" s="13">
        <f>IF('Données projet'!$A$88&gt;35,BD75+BC76-BL75,IF(A76&lt;'Données projet'!$A$88,$BA$205^A76,IF(A76='Données projet'!$A$88,'Données projet'!$B$88,BD75+BC76-BL75)))</f>
        <v>277.1137500000001</v>
      </c>
      <c r="BE76" s="14">
        <f>BD76*VLOOKUP('Données projet'!$B$11,Paramètres!$A$1:$I$89,3,0)*VLOOKUP('Données projet'!$B$11,Paramètres!$A$1:$I$89,5,0)</f>
        <v>298.2852405000001</v>
      </c>
      <c r="BF76" s="14">
        <f t="shared" si="91"/>
        <v>70.816864179073477</v>
      </c>
      <c r="BG76" s="22">
        <f t="shared" si="61"/>
        <v>642.8528323160532</v>
      </c>
      <c r="BH76" s="62">
        <f t="shared" si="62"/>
        <v>936.18616564938657</v>
      </c>
      <c r="BI76" s="62">
        <f ca="1">AVERAGE(OFFSET($BH$3,0,0,'Données projet'!$E$11+1,1))-AVERAGE(OFFSET($H$3,0,0,'Données projet'!$E$11+1,1))</f>
        <v>683.36974161977764</v>
      </c>
      <c r="BJ76" s="62">
        <f t="shared" si="92"/>
        <v>312.6921234697457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14.787768538872761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14.787768538872761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8.8662500000000044</v>
      </c>
      <c r="BY76" s="13">
        <f>IF('Données projet'!$A$114&gt;35,BY75+BX76-CG75,IF(A76&lt;'Données projet'!$A$114,$BV$205^A76,IF(A76='Données projet'!$A$114,'Données projet'!$B$114,BY75+BX76-CG75)))</f>
        <v>277.1137500000001</v>
      </c>
      <c r="BZ76" s="14">
        <f>BY76*VLOOKUP('Données projet'!$B$12,Paramètres!$A$1:$I$89,3,0)*VLOOKUP('Données projet'!$B$12,Paramètres!$A$1:$I$89,5,0)</f>
        <v>268.02441900000014</v>
      </c>
      <c r="CA76" s="14">
        <f t="shared" si="93"/>
        <v>64.429822106997378</v>
      </c>
      <c r="CB76" s="22">
        <f t="shared" si="64"/>
        <v>579.02446992802072</v>
      </c>
      <c r="CC76" s="62">
        <f t="shared" si="65"/>
        <v>872.35780326135409</v>
      </c>
      <c r="CD76" s="62">
        <f ca="1">AVERAGE(OFFSET($CC$3,0,0,'Données projet'!$E$12+1,1))-AVERAGE(OFFSET($H$3,0,0,'Données projet'!$E$12+1,1))</f>
        <v>618.83149423524605</v>
      </c>
      <c r="CE76" s="62">
        <f t="shared" si="94"/>
        <v>285.33582535802435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13.287560136378422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13.287560136378422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4.4000000000000004</v>
      </c>
      <c r="CT76" s="13">
        <f>IF('Données projet'!$A$140&gt;35,CT75+CS76-DB75,IF(A76&lt;'Données projet'!$A$140,$CQ$205^A76,IF(A76='Données projet'!$A$140,'Données projet'!$B$140,CT75+CS76-DB75)))</f>
        <v>232.20000000000002</v>
      </c>
      <c r="CU76" s="18">
        <f>CT76*VLOOKUP('Données projet'!$B$13,Paramètres!$A$1:$I$89,3,0)*VLOOKUP('Données projet'!$B$13,Paramètres!$A$1:$I$89,5,0)</f>
        <v>202.84992000000003</v>
      </c>
      <c r="CV76" s="14">
        <f t="shared" si="95"/>
        <v>50.369977187686075</v>
      </c>
      <c r="CW76" s="22">
        <f t="shared" si="67"/>
        <v>441.02465426855332</v>
      </c>
      <c r="CX76" s="62">
        <f t="shared" si="68"/>
        <v>734.35798760188663</v>
      </c>
      <c r="CY76" s="62">
        <f ca="1">AVERAGE(OFFSET($CX$3,0,0,'Données projet'!$E$13+1,1))-AVERAGE(OFFSET($H$3,0,0,'Données projet'!$E$13+1,1))</f>
        <v>354.24684313982857</v>
      </c>
      <c r="CZ76" s="62">
        <f t="shared" si="96"/>
        <v>322.65043486962185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21.010586754980089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21.010586754980089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258.75470400000006</v>
      </c>
      <c r="P77" s="14">
        <f t="shared" si="87"/>
        <v>62.456857045748947</v>
      </c>
      <c r="Q77" s="22">
        <f t="shared" si="54"/>
        <v>559.4434688213463</v>
      </c>
      <c r="R77" s="62">
        <f t="shared" si="55"/>
        <v>852.77680215467967</v>
      </c>
      <c r="S77" s="62">
        <f ca="1">AVERAGE(OFFSET($R$3,0,0,'Données projet'!$E$9+1,1))-AVERAGE(OFFSET($H$3,0,0,'Données projet'!$E$9+1,1))</f>
        <v>581.88778927327667</v>
      </c>
      <c r="T77" s="62">
        <f t="shared" si="88"/>
        <v>269.67340993773422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0.17200000000000001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20.341219504282051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20.341219504282051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7.2</v>
      </c>
      <c r="AI77" s="14">
        <f>IF('Données projet'!$A$62&gt;35,AI76+AH77-AQ76,IF(A77&lt;'Données projet'!$A$62,$AF$205^A77,IF(A77='Données projet'!$A$62,'Données projet'!$B$62,AI76+AH77-AQ76)))</f>
        <v>279.80000000000007</v>
      </c>
      <c r="AJ77" s="14">
        <f>AI77*VLOOKUP('Données projet'!$B$10,Paramètres!$A$1:$I$89,3,0)*VLOOKUP('Données projet'!$B$10,Paramètres!$A$1:$I$89,5,0)</f>
        <v>266.25768000000005</v>
      </c>
      <c r="AK77" s="14">
        <f t="shared" si="89"/>
        <v>64.054410529549628</v>
      </c>
      <c r="AL77" s="22">
        <f t="shared" si="58"/>
        <v>575.29355767229902</v>
      </c>
      <c r="AM77" s="62">
        <f t="shared" si="59"/>
        <v>868.62689100563239</v>
      </c>
      <c r="AN77" s="62">
        <f ca="1">AVERAGE(OFFSET($AM$3,0,0,'Données projet'!$E$10+1,1))-AVERAGE(OFFSET($H$3,0,0,'Données projet'!$E$10+1,1))</f>
        <v>444.81608506581125</v>
      </c>
      <c r="AO77" s="62">
        <f t="shared" si="90"/>
        <v>306.75289431725565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26.397246585201962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26.397246585201962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285.98</v>
      </c>
      <c r="BB77" s="13">
        <f>VLOOKUP(A77,'Données projet'!$A$87:$I$107,9,0)</f>
        <v>8.8662500000000044</v>
      </c>
      <c r="BC77" s="13">
        <f t="array" ref="BC77">INDEX(BB:BB,MIN(IF(ISNUMBER(BB77:BB273),ROW(BB77:BB273),"")))</f>
        <v>8.8662500000000044</v>
      </c>
      <c r="BD77" s="13">
        <f>IF('Données projet'!$A$88&gt;35,BD76+BC77-BL76,IF(A77&lt;'Données projet'!$A$88,$BA$205^A77,IF(A77='Données projet'!$A$88,'Données projet'!$B$88,BD76+BC77-BL76)))</f>
        <v>285.98000000000008</v>
      </c>
      <c r="BE77" s="14">
        <f>BD77*VLOOKUP('Données projet'!$B$11,Paramètres!$A$1:$I$89,3,0)*VLOOKUP('Données projet'!$B$11,Paramètres!$A$1:$I$89,5,0)</f>
        <v>307.82887200000005</v>
      </c>
      <c r="BF77" s="14">
        <f t="shared" si="91"/>
        <v>72.81522693013352</v>
      </c>
      <c r="BG77" s="22">
        <f t="shared" si="61"/>
        <v>662.95513896998261</v>
      </c>
      <c r="BH77" s="62">
        <f t="shared" si="62"/>
        <v>956.28847230331598</v>
      </c>
      <c r="BI77" s="62">
        <f ca="1">AVERAGE(OFFSET($BH$3,0,0,'Données projet'!$E$11+1,1))-AVERAGE(OFFSET($H$3,0,0,'Données projet'!$E$11+1,1))</f>
        <v>683.36974161977764</v>
      </c>
      <c r="BJ77" s="62">
        <f t="shared" si="92"/>
        <v>312.6921234697457</v>
      </c>
      <c r="BK77" s="16">
        <f>IF(ISNA(VLOOKUP(A77,'Données projet'!$A$87:$I$107,3,0)),0,VLOOKUP(A77,'Données projet'!$A$87:$I$107,3,0))</f>
        <v>5</v>
      </c>
      <c r="BL77" s="16">
        <f>IF(ISNA(VLOOKUP(A77,'Données projet'!$A$87:$I$107,4,0)),0,VLOOKUP(A77,'Données projet'!$A$87:$I$107,4,0))</f>
        <v>47.4</v>
      </c>
      <c r="BM77" s="17">
        <f>IF(ISNA(VLOOKUP(A77,'Données projet'!$A$87:$I$107,5,0)),0%,VLOOKUP(A77,'Données projet'!$A$87:$I$107,5,0)*VLOOKUP('Données projet'!$B$11,Paramètres!$A$1:$I$89,7,0))</f>
        <v>0.17200000000000001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24.19903699647347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24.19903699647347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285.98</v>
      </c>
      <c r="BW77" s="13">
        <f>VLOOKUP(A77,'Données projet'!$A$113:$I$133,9,0)</f>
        <v>8.8662500000000044</v>
      </c>
      <c r="BX77" s="13">
        <f t="array" ref="BX77">INDEX(BW:BW,MIN(IF(ISNUMBER(BW77:BW273),ROW(BW77:BW273),"")))</f>
        <v>8.8662500000000044</v>
      </c>
      <c r="BY77" s="13">
        <f>IF('Données projet'!$A$114&gt;35,BY76+BX77-CG76,IF(A77&lt;'Données projet'!$A$114,$BV$205^A77,IF(A77='Données projet'!$A$114,'Données projet'!$B$114,BY76+BX77-CG76)))</f>
        <v>285.98000000000008</v>
      </c>
      <c r="BZ77" s="14">
        <f>BY77*VLOOKUP('Données projet'!$B$12,Paramètres!$A$1:$I$89,3,0)*VLOOKUP('Données projet'!$B$12,Paramètres!$A$1:$I$89,5,0)</f>
        <v>276.59985600000005</v>
      </c>
      <c r="CA77" s="14">
        <f t="shared" si="93"/>
        <v>66.247950571856578</v>
      </c>
      <c r="CB77" s="22">
        <f t="shared" si="64"/>
        <v>597.12659644598352</v>
      </c>
      <c r="CC77" s="62">
        <f t="shared" si="65"/>
        <v>890.45992977931678</v>
      </c>
      <c r="CD77" s="62">
        <f ca="1">AVERAGE(OFFSET($CC$3,0,0,'Données projet'!$E$12+1,1))-AVERAGE(OFFSET($H$3,0,0,'Données projet'!$E$12+1,1))</f>
        <v>618.83149423524605</v>
      </c>
      <c r="CE77" s="62">
        <f t="shared" si="94"/>
        <v>285.33582535802435</v>
      </c>
      <c r="CF77" s="16">
        <f>IF(ISNA(VLOOKUP(A77,'Données projet'!$A$113:$I$133,3,0)),0,VLOOKUP(A77,'Données projet'!$A$113:$I$133,3,0))</f>
        <v>5</v>
      </c>
      <c r="CG77" s="16">
        <f>IF(ISNA(VLOOKUP(A77,'Données projet'!$A$113:$I$133,4,0)),0,VLOOKUP(A77,'Données projet'!$A$113:$I$133,4,0))</f>
        <v>47.4</v>
      </c>
      <c r="CH77" s="17">
        <f>IF(ISNA(VLOOKUP(A77,'Données projet'!$A$113:$I$133,5,0)),0%,VLOOKUP(A77,'Données projet'!$A$113:$I$133,5,0)*VLOOKUP('Données projet'!$B$12,Paramètres!$A$1:$I$89,7,0))</f>
        <v>0.17200000000000001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21.744062228715293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21.744062228715293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4.4000000000000004</v>
      </c>
      <c r="CT77" s="13">
        <f>IF('Données projet'!$A$140&gt;35,CT76+CS77-DB76,IF(A77&lt;'Données projet'!$A$140,$CQ$205^A77,IF(A77='Données projet'!$A$140,'Données projet'!$B$140,CT76+CS77-DB76)))</f>
        <v>236.60000000000002</v>
      </c>
      <c r="CU77" s="18">
        <f>CT77*VLOOKUP('Données projet'!$B$13,Paramètres!$A$1:$I$89,3,0)*VLOOKUP('Données projet'!$B$13,Paramètres!$A$1:$I$89,5,0)</f>
        <v>206.69376000000005</v>
      </c>
      <c r="CV77" s="14">
        <f t="shared" si="95"/>
        <v>51.212423138937325</v>
      </c>
      <c r="CW77" s="22">
        <f t="shared" si="67"/>
        <v>449.18660230031583</v>
      </c>
      <c r="CX77" s="62">
        <f t="shared" si="68"/>
        <v>742.51993563364908</v>
      </c>
      <c r="CY77" s="62">
        <f ca="1">AVERAGE(OFFSET($CX$3,0,0,'Données projet'!$E$13+1,1))-AVERAGE(OFFSET($H$3,0,0,'Données projet'!$E$13+1,1))</f>
        <v>354.24684313982857</v>
      </c>
      <c r="CZ77" s="62">
        <f t="shared" si="96"/>
        <v>322.65043486962185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20.598581963907456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20.598581963907456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223.71813360000007</v>
      </c>
      <c r="P78" s="14">
        <f t="shared" si="87"/>
        <v>54.92221376571495</v>
      </c>
      <c r="Q78" s="22">
        <f t="shared" si="54"/>
        <v>485.29860499528695</v>
      </c>
      <c r="R78" s="62">
        <f t="shared" si="55"/>
        <v>778.63193832862021</v>
      </c>
      <c r="S78" s="62">
        <f ca="1">AVERAGE(OFFSET($R$3,0,0,'Données projet'!$E$9+1,1))-AVERAGE(OFFSET($H$3,0,0,'Données projet'!$E$9+1,1))</f>
        <v>581.88778927327667</v>
      </c>
      <c r="T78" s="62">
        <f t="shared" si="88"/>
        <v>269.67340993773422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19.942340596721895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19.942340596721895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287</v>
      </c>
      <c r="AG78" s="13">
        <f>VLOOKUP(A78,'Données projet'!$A$61:$I$81,9,0)</f>
        <v>7.2</v>
      </c>
      <c r="AH78" s="13">
        <f t="array" ref="AH78">INDEX(AG:AG,MIN(IF(ISNUMBER(AG78:AG274),ROW(AG78:AG274),"")))</f>
        <v>7.2</v>
      </c>
      <c r="AI78" s="14">
        <f>IF('Données projet'!$A$62&gt;35,AI77+AH78-AQ77,IF(A78&lt;'Données projet'!$A$62,$AF$205^A78,IF(A78='Données projet'!$A$62,'Données projet'!$B$62,AI77+AH78-AQ77)))</f>
        <v>287.00000000000006</v>
      </c>
      <c r="AJ78" s="14">
        <f>AI78*VLOOKUP('Données projet'!$B$10,Paramètres!$A$1:$I$89,3,0)*VLOOKUP('Données projet'!$B$10,Paramètres!$A$1:$I$89,5,0)</f>
        <v>273.10920000000004</v>
      </c>
      <c r="AK78" s="14">
        <f t="shared" si="89"/>
        <v>65.508679646972269</v>
      </c>
      <c r="AL78" s="22">
        <f t="shared" si="58"/>
        <v>589.75947371847678</v>
      </c>
      <c r="AM78" s="62">
        <f t="shared" si="59"/>
        <v>883.09280705181004</v>
      </c>
      <c r="AN78" s="62">
        <f ca="1">AVERAGE(OFFSET($AM$3,0,0,'Données projet'!$E$10+1,1))-AVERAGE(OFFSET($H$3,0,0,'Données projet'!$E$10+1,1))</f>
        <v>444.81608506581125</v>
      </c>
      <c r="AO78" s="62">
        <f t="shared" si="90"/>
        <v>306.75289431725565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31</v>
      </c>
      <c r="AR78" s="17">
        <f>IF(ISNA(VLOOKUP(A78,'Données projet'!$A$61:$I$81,5,0)),0%,VLOOKUP(A78,'Données projet'!$A$61:$I$81,5,0)*VLOOKUP('Données projet'!$B$10,Paramètres!$A$1:$I$89,7,0))</f>
        <v>0.25800000000000001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34.293233654478868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34.293233654478868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8.6770000000000014</v>
      </c>
      <c r="BD78" s="13">
        <f>IF('Données projet'!$A$88&gt;35,BD77+BC78-BL77,IF(A78&lt;'Données projet'!$A$88,$BA$205^A78,IF(A78='Données projet'!$A$88,'Données projet'!$B$88,BD77+BC78-BL77)))</f>
        <v>247.25700000000009</v>
      </c>
      <c r="BE78" s="14">
        <f>BD78*VLOOKUP('Données projet'!$B$11,Paramètres!$A$1:$I$89,3,0)*VLOOKUP('Données projet'!$B$11,Paramètres!$A$1:$I$89,5,0)</f>
        <v>266.1474348000001</v>
      </c>
      <c r="BF78" s="14">
        <f t="shared" si="91"/>
        <v>64.03097510856955</v>
      </c>
      <c r="BG78" s="22">
        <f t="shared" si="61"/>
        <v>575.06073059075879</v>
      </c>
      <c r="BH78" s="62">
        <f t="shared" si="62"/>
        <v>868.39406392409205</v>
      </c>
      <c r="BI78" s="62">
        <f ca="1">AVERAGE(OFFSET($BH$3,0,0,'Données projet'!$E$11+1,1))-AVERAGE(OFFSET($H$3,0,0,'Données projet'!$E$11+1,1))</f>
        <v>683.36974161977764</v>
      </c>
      <c r="BJ78" s="62">
        <f t="shared" si="92"/>
        <v>312.6921234697457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23.72450864092777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23.72450864092777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8.6770000000000014</v>
      </c>
      <c r="BY78" s="13">
        <f>IF('Données projet'!$A$114&gt;35,BY77+BX78-CG77,IF(A78&lt;'Données projet'!$A$114,$BV$205^A78,IF(A78='Données projet'!$A$114,'Données projet'!$B$114,BY77+BX78-CG77)))</f>
        <v>247.25700000000009</v>
      </c>
      <c r="BZ78" s="14">
        <f>BY78*VLOOKUP('Données projet'!$B$12,Paramètres!$A$1:$I$89,3,0)*VLOOKUP('Données projet'!$B$12,Paramètres!$A$1:$I$89,5,0)</f>
        <v>239.1469704000001</v>
      </c>
      <c r="CA78" s="14">
        <f t="shared" si="93"/>
        <v>58.255958992346976</v>
      </c>
      <c r="CB78" s="22">
        <f t="shared" si="64"/>
        <v>517.97676869167117</v>
      </c>
      <c r="CC78" s="62">
        <f t="shared" si="65"/>
        <v>811.31010202500443</v>
      </c>
      <c r="CD78" s="62">
        <f ca="1">AVERAGE(OFFSET($CC$3,0,0,'Données projet'!$E$12+1,1))-AVERAGE(OFFSET($H$3,0,0,'Données projet'!$E$12+1,1))</f>
        <v>618.83149423524605</v>
      </c>
      <c r="CE78" s="62">
        <f t="shared" si="94"/>
        <v>285.33582535802435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21.317674430978578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21.317674430978578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241</v>
      </c>
      <c r="CR78" s="13">
        <f>VLOOKUP(A78,'Données projet'!$A$139:$I$159,9,0)</f>
        <v>4.4000000000000004</v>
      </c>
      <c r="CS78" s="13">
        <f t="array" ref="CS78">INDEX(CR:CR,MIN(IF(ISNUMBER(CR78:CR274),ROW(CR78:CR274),"")))</f>
        <v>4.4000000000000004</v>
      </c>
      <c r="CT78" s="13">
        <f>IF('Données projet'!$A$140&gt;35,CT77+CS78-DB77,IF(A78&lt;'Données projet'!$A$140,$CQ$205^A78,IF(A78='Données projet'!$A$140,'Données projet'!$B$140,CT77+CS78-DB77)))</f>
        <v>241.00000000000003</v>
      </c>
      <c r="CU78" s="18">
        <f>CT78*VLOOKUP('Données projet'!$B$13,Paramètres!$A$1:$I$89,3,0)*VLOOKUP('Données projet'!$B$13,Paramètres!$A$1:$I$89,5,0)</f>
        <v>210.53760000000005</v>
      </c>
      <c r="CV78" s="14">
        <f t="shared" si="95"/>
        <v>52.053047337322276</v>
      </c>
      <c r="CW78" s="22">
        <f t="shared" si="67"/>
        <v>457.34537744583628</v>
      </c>
      <c r="CX78" s="62">
        <f t="shared" si="68"/>
        <v>750.67871077916959</v>
      </c>
      <c r="CY78" s="62">
        <f ca="1">AVERAGE(OFFSET($CX$3,0,0,'Données projet'!$E$13+1,1))-AVERAGE(OFFSET($H$3,0,0,'Données projet'!$E$13+1,1))</f>
        <v>354.24684313982857</v>
      </c>
      <c r="CZ78" s="62">
        <f t="shared" si="96"/>
        <v>322.65043486962185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16</v>
      </c>
      <c r="DC78" s="17">
        <f>IF(ISNA(VLOOKUP(A78,'Données projet'!$A$139:$I$159,5,0)),0%,VLOOKUP(A78,'Données projet'!$A$139:$I$159,5,0)*VLOOKUP('Données projet'!$B$13,Paramètres!$A$1:$I$89,7,0))</f>
        <v>0.25800000000000001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24.181226611945267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24.181226611945267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231.56908320000005</v>
      </c>
      <c r="P79" s="14">
        <f t="shared" si="87"/>
        <v>56.621819638037671</v>
      </c>
      <c r="Q79" s="22">
        <f t="shared" si="54"/>
        <v>501.93248910958238</v>
      </c>
      <c r="R79" s="62">
        <f t="shared" si="55"/>
        <v>795.26582244291569</v>
      </c>
      <c r="S79" s="62">
        <f ca="1">AVERAGE(OFFSET($R$3,0,0,'Données projet'!$E$9+1,1))-AVERAGE(OFFSET($H$3,0,0,'Données projet'!$E$9+1,1))</f>
        <v>581.88778927327667</v>
      </c>
      <c r="T79" s="62">
        <f t="shared" si="88"/>
        <v>269.67340993773422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19.551283461246886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19.551283461246886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7.4</v>
      </c>
      <c r="AI79" s="14">
        <f>IF('Données projet'!$A$62&gt;35,AI78+AH79-AQ78,IF(A79&lt;'Données projet'!$A$62,$AF$205^A79,IF(A79='Données projet'!$A$62,'Données projet'!$B$62,AI78+AH79-AQ78)))</f>
        <v>263.40000000000003</v>
      </c>
      <c r="AJ79" s="14">
        <f>AI79*VLOOKUP('Données projet'!$B$10,Paramètres!$A$1:$I$89,3,0)*VLOOKUP('Données projet'!$B$10,Paramètres!$A$1:$I$89,5,0)</f>
        <v>250.65144000000001</v>
      </c>
      <c r="AK79" s="14">
        <f t="shared" si="89"/>
        <v>60.725415788925126</v>
      </c>
      <c r="AL79" s="22">
        <f t="shared" si="58"/>
        <v>542.31469049904456</v>
      </c>
      <c r="AM79" s="62">
        <f t="shared" si="59"/>
        <v>835.64802383237793</v>
      </c>
      <c r="AN79" s="62">
        <f ca="1">AVERAGE(OFFSET($AM$3,0,0,'Données projet'!$E$10+1,1))-AVERAGE(OFFSET($H$3,0,0,'Données projet'!$E$10+1,1))</f>
        <v>444.81608506581125</v>
      </c>
      <c r="AO79" s="62">
        <f t="shared" si="90"/>
        <v>306.75289431725565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33.620764259321703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33.620764259321703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8.6770000000000014</v>
      </c>
      <c r="BD79" s="13">
        <f>IF('Données projet'!$A$88&gt;35,BD78+BC79-BL78,IF(A79&lt;'Données projet'!$A$88,$BA$205^A79,IF(A79='Données projet'!$A$88,'Données projet'!$B$88,BD78+BC79-BL78)))</f>
        <v>255.93400000000008</v>
      </c>
      <c r="BE79" s="14">
        <f>BD79*VLOOKUP('Données projet'!$B$11,Paramètres!$A$1:$I$89,3,0)*VLOOKUP('Données projet'!$B$11,Paramètres!$A$1:$I$89,5,0)</f>
        <v>275.48735760000011</v>
      </c>
      <c r="BF79" s="14">
        <f t="shared" si="91"/>
        <v>66.012457897469986</v>
      </c>
      <c r="BG79" s="22">
        <f t="shared" si="61"/>
        <v>594.77884532476037</v>
      </c>
      <c r="BH79" s="62">
        <f t="shared" si="62"/>
        <v>888.11217865809363</v>
      </c>
      <c r="BI79" s="62">
        <f ca="1">AVERAGE(OFFSET($BH$3,0,0,'Données projet'!$E$11+1,1))-AVERAGE(OFFSET($H$3,0,0,'Données projet'!$E$11+1,1))</f>
        <v>683.36974161977764</v>
      </c>
      <c r="BJ79" s="62">
        <f t="shared" si="92"/>
        <v>312.6921234697457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23.259285497000601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23.259285497000601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8.6770000000000014</v>
      </c>
      <c r="BY79" s="13">
        <f>IF('Données projet'!$A$114&gt;35,BY78+BX79-CG78,IF(A79&lt;'Données projet'!$A$114,$BV$205^A79,IF(A79='Données projet'!$A$114,'Données projet'!$B$114,BY78+BX79-CG78)))</f>
        <v>255.93400000000008</v>
      </c>
      <c r="BZ79" s="14">
        <f>BY79*VLOOKUP('Données projet'!$B$12,Paramètres!$A$1:$I$89,3,0)*VLOOKUP('Données projet'!$B$12,Paramètres!$A$1:$I$89,5,0)</f>
        <v>247.5393648000001</v>
      </c>
      <c r="CA79" s="14">
        <f t="shared" si="93"/>
        <v>60.058729915302607</v>
      </c>
      <c r="CB79" s="22">
        <f t="shared" si="64"/>
        <v>535.73334829581881</v>
      </c>
      <c r="CC79" s="62">
        <f t="shared" si="65"/>
        <v>829.06668162915207</v>
      </c>
      <c r="CD79" s="62">
        <f ca="1">AVERAGE(OFFSET($CC$3,0,0,'Données projet'!$E$12+1,1))-AVERAGE(OFFSET($H$3,0,0,'Données projet'!$E$12+1,1))</f>
        <v>618.83149423524605</v>
      </c>
      <c r="CE79" s="62">
        <f t="shared" si="94"/>
        <v>285.33582535802435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20.899647837884601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20.899647837884601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</v>
      </c>
      <c r="CT79" s="13">
        <f>IF('Données projet'!$A$140&gt;35,CT78+CS79-DB78,IF(A79&lt;'Données projet'!$A$140,$CQ$205^A79,IF(A79='Données projet'!$A$140,'Données projet'!$B$140,CT78+CS79-DB78)))</f>
        <v>229.00000000000003</v>
      </c>
      <c r="CU79" s="18">
        <f>CT79*VLOOKUP('Données projet'!$B$13,Paramètres!$A$1:$I$89,3,0)*VLOOKUP('Données projet'!$B$13,Paramètres!$A$1:$I$89,5,0)</f>
        <v>200.05440000000007</v>
      </c>
      <c r="CV79" s="14">
        <f t="shared" si="95"/>
        <v>49.756123009618236</v>
      </c>
      <c r="CW79" s="22">
        <f t="shared" si="67"/>
        <v>435.08666090841854</v>
      </c>
      <c r="CX79" s="62">
        <f t="shared" si="68"/>
        <v>728.41999424175185</v>
      </c>
      <c r="CY79" s="62">
        <f ca="1">AVERAGE(OFFSET($CX$3,0,0,'Données projet'!$E$13+1,1))-AVERAGE(OFFSET($H$3,0,0,'Données projet'!$E$13+1,1))</f>
        <v>354.24684313982857</v>
      </c>
      <c r="CZ79" s="62">
        <f t="shared" si="96"/>
        <v>322.65043486962185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23.707047507176902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23.707047507176902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239.42003280000009</v>
      </c>
      <c r="P80" s="14">
        <f t="shared" si="87"/>
        <v>58.314730148380967</v>
      </c>
      <c r="Q80" s="22">
        <f t="shared" si="54"/>
        <v>518.55471213509702</v>
      </c>
      <c r="R80" s="62">
        <f t="shared" si="55"/>
        <v>811.88804546843039</v>
      </c>
      <c r="S80" s="62">
        <f ca="1">AVERAGE(OFFSET($R$3,0,0,'Données projet'!$E$9+1,1))-AVERAGE(OFFSET($H$3,0,0,'Données projet'!$E$9+1,1))</f>
        <v>581.88778927327667</v>
      </c>
      <c r="T80" s="62">
        <f t="shared" si="88"/>
        <v>269.67340993773422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19.167894717677239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19.167894717677239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7.4</v>
      </c>
      <c r="AI80" s="14">
        <f>IF('Données projet'!$A$62&gt;35,AI79+AH80-AQ79,IF(A80&lt;'Données projet'!$A$62,$AF$205^A80,IF(A80='Données projet'!$A$62,'Données projet'!$B$62,AI79+AH80-AQ79)))</f>
        <v>270.8</v>
      </c>
      <c r="AJ80" s="14">
        <f>AI80*VLOOKUP('Données projet'!$B$10,Paramètres!$A$1:$I$89,3,0)*VLOOKUP('Données projet'!$B$10,Paramètres!$A$1:$I$89,5,0)</f>
        <v>257.69328000000002</v>
      </c>
      <c r="AK80" s="14">
        <f t="shared" si="89"/>
        <v>62.230423737412906</v>
      </c>
      <c r="AL80" s="22">
        <f t="shared" si="58"/>
        <v>557.20045067599415</v>
      </c>
      <c r="AM80" s="62">
        <f t="shared" si="59"/>
        <v>850.53378400932752</v>
      </c>
      <c r="AN80" s="62">
        <f ca="1">AVERAGE(OFFSET($AM$3,0,0,'Données projet'!$E$10+1,1))-AVERAGE(OFFSET($H$3,0,0,'Données projet'!$E$10+1,1))</f>
        <v>444.81608506581125</v>
      </c>
      <c r="AO80" s="62">
        <f t="shared" si="90"/>
        <v>306.75289431725565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32.961481578837741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32.961481578837741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8.6770000000000014</v>
      </c>
      <c r="BD80" s="13">
        <f>IF('Données projet'!$A$88&gt;35,BD79+BC80-BL79,IF(A80&lt;'Données projet'!$A$88,$BA$205^A80,IF(A80='Données projet'!$A$88,'Données projet'!$B$88,BD79+BC80-BL79)))</f>
        <v>264.6110000000001</v>
      </c>
      <c r="BE80" s="14">
        <f>BD80*VLOOKUP('Données projet'!$B$11,Paramètres!$A$1:$I$89,3,0)*VLOOKUP('Données projet'!$B$11,Paramètres!$A$1:$I$89,5,0)</f>
        <v>284.82728040000012</v>
      </c>
      <c r="BF80" s="14">
        <f t="shared" si="91"/>
        <v>67.986134909311318</v>
      </c>
      <c r="BG80" s="22">
        <f t="shared" si="61"/>
        <v>614.48336499705067</v>
      </c>
      <c r="BH80" s="62">
        <f t="shared" si="62"/>
        <v>907.81669833038404</v>
      </c>
      <c r="BI80" s="62">
        <f ca="1">AVERAGE(OFFSET($BH$3,0,0,'Données projet'!$E$11+1,1))-AVERAGE(OFFSET($H$3,0,0,'Données projet'!$E$11+1,1))</f>
        <v>683.36974161977764</v>
      </c>
      <c r="BJ80" s="62">
        <f t="shared" si="92"/>
        <v>312.6921234697457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22.803185095167745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22.803185095167745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8.6770000000000014</v>
      </c>
      <c r="BY80" s="13">
        <f>IF('Données projet'!$A$114&gt;35,BY79+BX80-CG79,IF(A80&lt;'Données projet'!$A$114,$BV$205^A80,IF(A80='Données projet'!$A$114,'Données projet'!$B$114,BY79+BX80-CG79)))</f>
        <v>264.6110000000001</v>
      </c>
      <c r="BZ80" s="14">
        <f>BY80*VLOOKUP('Données projet'!$B$12,Paramètres!$A$1:$I$89,3,0)*VLOOKUP('Données projet'!$B$12,Paramètres!$A$1:$I$89,5,0)</f>
        <v>255.9317592000001</v>
      </c>
      <c r="CA80" s="14">
        <f t="shared" si="93"/>
        <v>61.854399071847673</v>
      </c>
      <c r="CB80" s="22">
        <f t="shared" si="64"/>
        <v>553.47755899013487</v>
      </c>
      <c r="CC80" s="62">
        <f t="shared" si="65"/>
        <v>846.81089232346812</v>
      </c>
      <c r="CD80" s="62">
        <f ca="1">AVERAGE(OFFSET($CC$3,0,0,'Données projet'!$E$12+1,1))-AVERAGE(OFFSET($H$3,0,0,'Données projet'!$E$12+1,1))</f>
        <v>618.83149423524605</v>
      </c>
      <c r="CE80" s="62">
        <f t="shared" si="94"/>
        <v>285.33582535802435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20.48981849131015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20.48981849131015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</v>
      </c>
      <c r="CT80" s="13">
        <f>IF('Données projet'!$A$140&gt;35,CT79+CS80-DB79,IF(A80&lt;'Données projet'!$A$140,$CQ$205^A80,IF(A80='Données projet'!$A$140,'Données projet'!$B$140,CT79+CS80-DB79)))</f>
        <v>233.00000000000003</v>
      </c>
      <c r="CU80" s="18">
        <f>CT80*VLOOKUP('Données projet'!$B$13,Paramètres!$A$1:$I$89,3,0)*VLOOKUP('Données projet'!$B$13,Paramètres!$A$1:$I$89,5,0)</f>
        <v>203.54880000000003</v>
      </c>
      <c r="CV80" s="14">
        <f t="shared" si="95"/>
        <v>50.523286400023487</v>
      </c>
      <c r="CW80" s="22">
        <f t="shared" si="67"/>
        <v>442.50888381337427</v>
      </c>
      <c r="CX80" s="62">
        <f t="shared" si="68"/>
        <v>735.84221714670753</v>
      </c>
      <c r="CY80" s="62">
        <f ca="1">AVERAGE(OFFSET($CX$3,0,0,'Données projet'!$E$13+1,1))-AVERAGE(OFFSET($H$3,0,0,'Données projet'!$E$13+1,1))</f>
        <v>354.24684313982857</v>
      </c>
      <c r="CZ80" s="62">
        <f t="shared" si="96"/>
        <v>322.65043486962185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23.242166765432348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23.242166765432348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247.27098240000012</v>
      </c>
      <c r="P81" s="14">
        <f t="shared" si="87"/>
        <v>60.001190025553029</v>
      </c>
      <c r="Q81" s="22">
        <f t="shared" si="54"/>
        <v>535.16570030783839</v>
      </c>
      <c r="R81" s="62">
        <f t="shared" si="55"/>
        <v>828.49903364117176</v>
      </c>
      <c r="S81" s="62">
        <f ca="1">AVERAGE(OFFSET($R$3,0,0,'Données projet'!$E$9+1,1))-AVERAGE(OFFSET($H$3,0,0,'Données projet'!$E$9+1,1))</f>
        <v>581.88778927327667</v>
      </c>
      <c r="T81" s="62">
        <f t="shared" si="88"/>
        <v>269.67340993773422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18.79202399352495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18.79202399352495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7.4</v>
      </c>
      <c r="AI81" s="14">
        <f>IF('Données projet'!$A$62&gt;35,AI80+AH81-AQ80,IF(A81&lt;'Données projet'!$A$62,$AF$205^A81,IF(A81='Données projet'!$A$62,'Données projet'!$B$62,AI80+AH81-AQ80)))</f>
        <v>278.2</v>
      </c>
      <c r="AJ81" s="14">
        <f>AI81*VLOOKUP('Données projet'!$B$10,Paramètres!$A$1:$I$89,3,0)*VLOOKUP('Données projet'!$B$10,Paramètres!$A$1:$I$89,5,0)</f>
        <v>264.73511999999999</v>
      </c>
      <c r="AK81" s="14">
        <f t="shared" si="89"/>
        <v>63.730651536894079</v>
      </c>
      <c r="AL81" s="22">
        <f t="shared" si="58"/>
        <v>572.07788542675723</v>
      </c>
      <c r="AM81" s="62">
        <f t="shared" si="59"/>
        <v>865.41121876009061</v>
      </c>
      <c r="AN81" s="62">
        <f ca="1">AVERAGE(OFFSET($AM$3,0,0,'Données projet'!$E$10+1,1))-AVERAGE(OFFSET($H$3,0,0,'Données projet'!$E$10+1,1))</f>
        <v>444.81608506581125</v>
      </c>
      <c r="AO81" s="62">
        <f t="shared" si="90"/>
        <v>306.75289431725565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32.315127029595338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32.315127029595338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8.6770000000000014</v>
      </c>
      <c r="BD81" s="13">
        <f>IF('Données projet'!$A$88&gt;35,BD80+BC81-BL80,IF(A81&lt;'Données projet'!$A$88,$BA$205^A81,IF(A81='Données projet'!$A$88,'Données projet'!$B$88,BD80+BC81-BL80)))</f>
        <v>273.28800000000012</v>
      </c>
      <c r="BE81" s="14">
        <f>BD81*VLOOKUP('Données projet'!$B$11,Paramètres!$A$1:$I$89,3,0)*VLOOKUP('Données projet'!$B$11,Paramètres!$A$1:$I$89,5,0)</f>
        <v>294.16720320000013</v>
      </c>
      <c r="BF81" s="14">
        <f t="shared" si="91"/>
        <v>69.9522914607833</v>
      </c>
      <c r="BG81" s="22">
        <f t="shared" si="61"/>
        <v>634.17478653419778</v>
      </c>
      <c r="BH81" s="62">
        <f t="shared" si="62"/>
        <v>927.50811986753115</v>
      </c>
      <c r="BI81" s="62">
        <f ca="1">AVERAGE(OFFSET($BH$3,0,0,'Données projet'!$E$11+1,1))-AVERAGE(OFFSET($H$3,0,0,'Données projet'!$E$11+1,1))</f>
        <v>683.36974161977764</v>
      </c>
      <c r="BJ81" s="62">
        <f t="shared" si="92"/>
        <v>312.6921234697457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22.356028544021058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22.356028544021058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8.6770000000000014</v>
      </c>
      <c r="BY81" s="13">
        <f>IF('Données projet'!$A$114&gt;35,BY80+BX81-CG80,IF(A81&lt;'Données projet'!$A$114,$BV$205^A81,IF(A81='Données projet'!$A$114,'Données projet'!$B$114,BY80+BX81-CG80)))</f>
        <v>273.28800000000012</v>
      </c>
      <c r="BZ81" s="14">
        <f>BY81*VLOOKUP('Données projet'!$B$12,Paramètres!$A$1:$I$89,3,0)*VLOOKUP('Données projet'!$B$12,Paramètres!$A$1:$I$89,5,0)</f>
        <v>264.32415360000016</v>
      </c>
      <c r="CA81" s="14">
        <f t="shared" si="93"/>
        <v>63.643226045681423</v>
      </c>
      <c r="CB81" s="22">
        <f t="shared" si="64"/>
        <v>571.20985288289546</v>
      </c>
      <c r="CC81" s="62">
        <f t="shared" si="65"/>
        <v>864.54318621622883</v>
      </c>
      <c r="CD81" s="62">
        <f ca="1">AVERAGE(OFFSET($CC$3,0,0,'Données projet'!$E$12+1,1))-AVERAGE(OFFSET($H$3,0,0,'Données projet'!$E$12+1,1))</f>
        <v>618.83149423524605</v>
      </c>
      <c r="CE81" s="62">
        <f t="shared" si="94"/>
        <v>285.33582535802435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20.088025648250806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20.088025648250806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</v>
      </c>
      <c r="CT81" s="13">
        <f>IF('Données projet'!$A$140&gt;35,CT80+CS81-DB80,IF(A81&lt;'Données projet'!$A$140,$CQ$205^A81,IF(A81='Données projet'!$A$140,'Données projet'!$B$140,CT80+CS81-DB80)))</f>
        <v>237.00000000000003</v>
      </c>
      <c r="CU81" s="18">
        <f>CT81*VLOOKUP('Données projet'!$B$13,Paramètres!$A$1:$I$89,3,0)*VLOOKUP('Données projet'!$B$13,Paramètres!$A$1:$I$89,5,0)</f>
        <v>207.04320000000004</v>
      </c>
      <c r="CV81" s="14">
        <f t="shared" si="95"/>
        <v>51.288918231806321</v>
      </c>
      <c r="CW81" s="22">
        <f t="shared" si="67"/>
        <v>449.92843925372944</v>
      </c>
      <c r="CX81" s="62">
        <f t="shared" si="68"/>
        <v>743.26177258706275</v>
      </c>
      <c r="CY81" s="62">
        <f ca="1">AVERAGE(OFFSET($CX$3,0,0,'Données projet'!$E$13+1,1))-AVERAGE(OFFSET($H$3,0,0,'Données projet'!$E$13+1,1))</f>
        <v>354.24684313982857</v>
      </c>
      <c r="CZ81" s="62">
        <f t="shared" si="96"/>
        <v>322.65043486962185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22.786402051484149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22.786402051484149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255.1219320000001</v>
      </c>
      <c r="P82" s="14">
        <f t="shared" si="87"/>
        <v>61.681427575411924</v>
      </c>
      <c r="Q82" s="22">
        <f t="shared" si="54"/>
        <v>551.76585126050918</v>
      </c>
      <c r="R82" s="62">
        <f t="shared" si="55"/>
        <v>845.09918459384244</v>
      </c>
      <c r="S82" s="62">
        <f ca="1">AVERAGE(OFFSET($R$3,0,0,'Données projet'!$E$9+1,1))-AVERAGE(OFFSET($H$3,0,0,'Données projet'!$E$9+1,1))</f>
        <v>581.88778927327667</v>
      </c>
      <c r="T82" s="62">
        <f t="shared" si="88"/>
        <v>269.67340993773422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18.423523865014783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18.423523865014783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7.4</v>
      </c>
      <c r="AI82" s="14">
        <f>IF('Données projet'!$A$62&gt;35,AI81+AH82-AQ81,IF(A82&lt;'Données projet'!$A$62,$AF$205^A82,IF(A82='Données projet'!$A$62,'Données projet'!$B$62,AI81+AH82-AQ81)))</f>
        <v>285.59999999999997</v>
      </c>
      <c r="AJ82" s="14">
        <f>AI82*VLOOKUP('Données projet'!$B$10,Paramètres!$A$1:$I$89,3,0)*VLOOKUP('Données projet'!$B$10,Paramètres!$A$1:$I$89,5,0)</f>
        <v>271.77695999999997</v>
      </c>
      <c r="AK82" s="14">
        <f t="shared" si="89"/>
        <v>65.226240951838292</v>
      </c>
      <c r="AL82" s="22">
        <f t="shared" si="58"/>
        <v>586.94724165778496</v>
      </c>
      <c r="AM82" s="62">
        <f t="shared" si="59"/>
        <v>880.28057499111833</v>
      </c>
      <c r="AN82" s="62">
        <f ca="1">AVERAGE(OFFSET($AM$3,0,0,'Données projet'!$E$10+1,1))-AVERAGE(OFFSET($H$3,0,0,'Données projet'!$E$10+1,1))</f>
        <v>444.81608506581125</v>
      </c>
      <c r="AO82" s="62">
        <f t="shared" si="90"/>
        <v>306.75289431725565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31.681447098826233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31.681447098826233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8.6770000000000014</v>
      </c>
      <c r="BD82" s="13">
        <f>IF('Données projet'!$A$88&gt;35,BD81+BC82-BL81,IF(A82&lt;'Données projet'!$A$88,$BA$205^A82,IF(A82='Données projet'!$A$88,'Données projet'!$B$88,BD81+BC82-BL81)))</f>
        <v>281.96500000000015</v>
      </c>
      <c r="BE82" s="14">
        <f>BD82*VLOOKUP('Données projet'!$B$11,Paramètres!$A$1:$I$89,3,0)*VLOOKUP('Données projet'!$B$11,Paramètres!$A$1:$I$89,5,0)</f>
        <v>303.50712600000014</v>
      </c>
      <c r="BF82" s="14">
        <f t="shared" si="91"/>
        <v>71.911193721905491</v>
      </c>
      <c r="BG82" s="22">
        <f t="shared" si="61"/>
        <v>653.85357351565222</v>
      </c>
      <c r="BH82" s="62">
        <f t="shared" si="62"/>
        <v>947.18690684898547</v>
      </c>
      <c r="BI82" s="62">
        <f ca="1">AVERAGE(OFFSET($BH$3,0,0,'Données projet'!$E$11+1,1))-AVERAGE(OFFSET($H$3,0,0,'Données projet'!$E$11+1,1))</f>
        <v>683.36974161977764</v>
      </c>
      <c r="BJ82" s="62">
        <f t="shared" si="92"/>
        <v>312.6921234697457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21.91764046010379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21.91764046010379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8.6770000000000014</v>
      </c>
      <c r="BY82" s="13">
        <f>IF('Données projet'!$A$114&gt;35,BY81+BX82-CG81,IF(A82&lt;'Données projet'!$A$114,$BV$205^A82,IF(A82='Données projet'!$A$114,'Données projet'!$B$114,BY81+BX82-CG81)))</f>
        <v>281.96500000000015</v>
      </c>
      <c r="BZ82" s="14">
        <f>BY82*VLOOKUP('Données projet'!$B$12,Paramètres!$A$1:$I$89,3,0)*VLOOKUP('Données projet'!$B$12,Paramètres!$A$1:$I$89,5,0)</f>
        <v>272.71654800000016</v>
      </c>
      <c r="CA82" s="14">
        <f t="shared" si="93"/>
        <v>65.425453000689586</v>
      </c>
      <c r="CB82" s="22">
        <f t="shared" si="64"/>
        <v>588.93065174286789</v>
      </c>
      <c r="CC82" s="62">
        <f t="shared" si="65"/>
        <v>882.26398507620115</v>
      </c>
      <c r="CD82" s="62">
        <f ca="1">AVERAGE(OFFSET($CC$3,0,0,'Données projet'!$E$12+1,1))-AVERAGE(OFFSET($H$3,0,0,'Données projet'!$E$12+1,1))</f>
        <v>618.83149423524605</v>
      </c>
      <c r="CE82" s="62">
        <f t="shared" si="94"/>
        <v>285.33582535802435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19.694111717774419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19.694111717774419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</v>
      </c>
      <c r="CT82" s="13">
        <f>IF('Données projet'!$A$140&gt;35,CT81+CS82-DB81,IF(A82&lt;'Données projet'!$A$140,$CQ$205^A82,IF(A82='Données projet'!$A$140,'Données projet'!$B$140,CT81+CS82-DB81)))</f>
        <v>241.00000000000003</v>
      </c>
      <c r="CU82" s="18">
        <f>CT82*VLOOKUP('Données projet'!$B$13,Paramètres!$A$1:$I$89,3,0)*VLOOKUP('Données projet'!$B$13,Paramètres!$A$1:$I$89,5,0)</f>
        <v>210.53760000000005</v>
      </c>
      <c r="CV82" s="14">
        <f t="shared" si="95"/>
        <v>52.053047337322276</v>
      </c>
      <c r="CW82" s="22">
        <f t="shared" si="67"/>
        <v>457.34537744583628</v>
      </c>
      <c r="CX82" s="62">
        <f t="shared" si="68"/>
        <v>750.67871077916959</v>
      </c>
      <c r="CY82" s="62">
        <f ca="1">AVERAGE(OFFSET($CX$3,0,0,'Données projet'!$E$13+1,1))-AVERAGE(OFFSET($H$3,0,0,'Données projet'!$E$13+1,1))</f>
        <v>354.24684313982857</v>
      </c>
      <c r="CZ82" s="62">
        <f t="shared" si="96"/>
        <v>322.65043486962185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22.339574605587451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22.339574605587451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262.97288160000016</v>
      </c>
      <c r="P83" s="14">
        <f t="shared" si="87"/>
        <v>63.355656254051972</v>
      </c>
      <c r="Q83" s="22">
        <f t="shared" si="54"/>
        <v>568.35553676247412</v>
      </c>
      <c r="R83" s="62">
        <f t="shared" si="55"/>
        <v>861.68887009580749</v>
      </c>
      <c r="S83" s="62">
        <f ca="1">AVERAGE(OFFSET($R$3,0,0,'Données projet'!$E$9+1,1))-AVERAGE(OFFSET($H$3,0,0,'Données projet'!$E$9+1,1))</f>
        <v>581.88778927327667</v>
      </c>
      <c r="T83" s="62">
        <f t="shared" si="88"/>
        <v>269.67340993773422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18.062249799261814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18.062249799261814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293</v>
      </c>
      <c r="AG83" s="13">
        <f>VLOOKUP(A83,'Données projet'!$A$61:$I$81,9,0)</f>
        <v>7.4</v>
      </c>
      <c r="AH83" s="13">
        <f t="array" ref="AH83">INDEX(AG:AG,MIN(IF(ISNUMBER(AG83:AG279),ROW(AG83:AG279),"")))</f>
        <v>7.4</v>
      </c>
      <c r="AI83" s="14">
        <f>IF('Données projet'!$A$62&gt;35,AI82+AH83-AQ82,IF(A83&lt;'Données projet'!$A$62,$AF$205^A83,IF(A83='Données projet'!$A$62,'Données projet'!$B$62,AI82+AH83-AQ82)))</f>
        <v>292.99999999999994</v>
      </c>
      <c r="AJ83" s="14">
        <f>AI83*VLOOKUP('Données projet'!$B$10,Paramètres!$A$1:$I$89,3,0)*VLOOKUP('Données projet'!$B$10,Paramètres!$A$1:$I$89,5,0)</f>
        <v>278.81879999999995</v>
      </c>
      <c r="AK83" s="14">
        <f t="shared" si="89"/>
        <v>66.717325981909937</v>
      </c>
      <c r="AL83" s="22">
        <f t="shared" si="58"/>
        <v>601.80875275182643</v>
      </c>
      <c r="AM83" s="62">
        <f t="shared" si="59"/>
        <v>895.14208608515969</v>
      </c>
      <c r="AN83" s="62">
        <f ca="1">AVERAGE(OFFSET($AM$3,0,0,'Données projet'!$E$10+1,1))-AVERAGE(OFFSET($H$3,0,0,'Données projet'!$E$10+1,1))</f>
        <v>444.81608506581125</v>
      </c>
      <c r="AO83" s="62">
        <f t="shared" si="90"/>
        <v>306.75289431725565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31</v>
      </c>
      <c r="AR83" s="17">
        <f>IF(ISNA(VLOOKUP(A83,'Données projet'!$A$61:$I$81,5,0)),0%,VLOOKUP(A83,'Données projet'!$A$61:$I$81,5,0)*VLOOKUP('Données projet'!$B$10,Paramètres!$A$1:$I$89,7,0))</f>
        <v>0.30099999999999999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40.876084381422054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40.876084381422054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8.6770000000000014</v>
      </c>
      <c r="BD83" s="13">
        <f>IF('Données projet'!$A$88&gt;35,BD82+BC83-BL82,IF(A83&lt;'Données projet'!$A$88,$BA$205^A83,IF(A83='Données projet'!$A$88,'Données projet'!$B$88,BD82+BC83-BL82)))</f>
        <v>290.64200000000017</v>
      </c>
      <c r="BE83" s="14">
        <f>BD83*VLOOKUP('Données projet'!$B$11,Paramètres!$A$1:$I$89,3,0)*VLOOKUP('Données projet'!$B$11,Paramètres!$A$1:$I$89,5,0)</f>
        <v>312.84704880000015</v>
      </c>
      <c r="BF83" s="14">
        <f t="shared" si="91"/>
        <v>73.863090550124298</v>
      </c>
      <c r="BG83" s="22">
        <f t="shared" si="61"/>
        <v>673.52015936813336</v>
      </c>
      <c r="BH83" s="62">
        <f t="shared" si="62"/>
        <v>966.85349270146662</v>
      </c>
      <c r="BI83" s="62">
        <f ca="1">AVERAGE(OFFSET($BH$3,0,0,'Données projet'!$E$11+1,1))-AVERAGE(OFFSET($H$3,0,0,'Données projet'!$E$11+1,1))</f>
        <v>683.36974161977764</v>
      </c>
      <c r="BJ83" s="62">
        <f t="shared" si="92"/>
        <v>312.6921234697457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21.487848899121811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21.487848899121811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8.6770000000000014</v>
      </c>
      <c r="BY83" s="13">
        <f>IF('Données projet'!$A$114&gt;35,BY82+BX83-CG82,IF(A83&lt;'Données projet'!$A$114,$BV$205^A83,IF(A83='Données projet'!$A$114,'Données projet'!$B$114,BY82+BX83-CG82)))</f>
        <v>290.64200000000017</v>
      </c>
      <c r="BZ83" s="14">
        <f>BY83*VLOOKUP('Données projet'!$B$12,Paramètres!$A$1:$I$89,3,0)*VLOOKUP('Données projet'!$B$12,Paramètres!$A$1:$I$89,5,0)</f>
        <v>281.10894240000016</v>
      </c>
      <c r="CA83" s="14">
        <f t="shared" si="93"/>
        <v>67.20130634962284</v>
      </c>
      <c r="CB83" s="22">
        <f t="shared" si="64"/>
        <v>606.64034990559333</v>
      </c>
      <c r="CC83" s="62">
        <f t="shared" si="65"/>
        <v>899.9736832389267</v>
      </c>
      <c r="CD83" s="62">
        <f ca="1">AVERAGE(OFFSET($CC$3,0,0,'Données projet'!$E$12+1,1))-AVERAGE(OFFSET($H$3,0,0,'Données projet'!$E$12+1,1))</f>
        <v>618.83149423524605</v>
      </c>
      <c r="CE83" s="62">
        <f t="shared" si="94"/>
        <v>285.33582535802435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19.307922199210903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19.307922199210903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245</v>
      </c>
      <c r="CR83" s="13">
        <f>VLOOKUP(A83,'Données projet'!$A$139:$I$159,9,0)</f>
        <v>4</v>
      </c>
      <c r="CS83" s="13">
        <f t="array" ref="CS83">INDEX(CR:CR,MIN(IF(ISNUMBER(CR83:CR279),ROW(CR83:CR279),"")))</f>
        <v>4</v>
      </c>
      <c r="CT83" s="13">
        <f>IF('Données projet'!$A$140&gt;35,CT82+CS83-DB82,IF(A83&lt;'Données projet'!$A$140,$CQ$205^A83,IF(A83='Données projet'!$A$140,'Données projet'!$B$140,CT82+CS83-DB82)))</f>
        <v>245.00000000000003</v>
      </c>
      <c r="CU83" s="18">
        <f>CT83*VLOOKUP('Données projet'!$B$13,Paramètres!$A$1:$I$89,3,0)*VLOOKUP('Données projet'!$B$13,Paramètres!$A$1:$I$89,5,0)</f>
        <v>214.03200000000004</v>
      </c>
      <c r="CV83" s="14">
        <f t="shared" si="95"/>
        <v>52.815701536972242</v>
      </c>
      <c r="CW83" s="22">
        <f t="shared" si="67"/>
        <v>464.75974684356009</v>
      </c>
      <c r="CX83" s="62">
        <f t="shared" si="68"/>
        <v>758.09308017689341</v>
      </c>
      <c r="CY83" s="62">
        <f ca="1">AVERAGE(OFFSET($CX$3,0,0,'Données projet'!$E$13+1,1))-AVERAGE(OFFSET($H$3,0,0,'Données projet'!$E$13+1,1))</f>
        <v>354.24684313982857</v>
      </c>
      <c r="CZ83" s="62">
        <f t="shared" si="96"/>
        <v>322.65043486962185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15</v>
      </c>
      <c r="DC83" s="17">
        <f>IF(ISNA(VLOOKUP(A83,'Données projet'!$A$139:$I$159,5,0)),0%,VLOOKUP(A83,'Données projet'!$A$139:$I$159,5,0)*VLOOKUP('Données projet'!$B$13,Paramètres!$A$1:$I$89,7,0))</f>
        <v>0.30099999999999999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26.261820413240287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26.261820413240287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270.8238312000002</v>
      </c>
      <c r="P84" s="14">
        <f t="shared" si="87"/>
        <v>65.024076047844915</v>
      </c>
      <c r="Q84" s="22">
        <f t="shared" si="54"/>
        <v>584.93510512333023</v>
      </c>
      <c r="R84" s="62">
        <f t="shared" si="55"/>
        <v>878.26843845666349</v>
      </c>
      <c r="S84" s="62">
        <f ca="1">AVERAGE(OFFSET($R$3,0,0,'Données projet'!$E$9+1,1))-AVERAGE(OFFSET($H$3,0,0,'Données projet'!$E$9+1,1))</f>
        <v>581.88778927327667</v>
      </c>
      <c r="T84" s="62">
        <f t="shared" si="88"/>
        <v>269.67340993773422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17.708060097582841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17.708060097582841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</v>
      </c>
      <c r="AI84" s="14">
        <f>IF('Données projet'!$A$62&gt;35,AI83+AH84-AQ83,IF(A84&lt;'Données projet'!$A$62,$AF$205^A84,IF(A84='Données projet'!$A$62,'Données projet'!$B$62,AI83+AH84-AQ83)))</f>
        <v>268.99999999999994</v>
      </c>
      <c r="AJ84" s="14">
        <f>AI84*VLOOKUP('Données projet'!$B$10,Paramètres!$A$1:$I$89,3,0)*VLOOKUP('Données projet'!$B$10,Paramètres!$A$1:$I$89,5,0)</f>
        <v>255.98039999999997</v>
      </c>
      <c r="AK84" s="14">
        <f t="shared" si="89"/>
        <v>61.864786260587792</v>
      </c>
      <c r="AL84" s="22">
        <f t="shared" si="58"/>
        <v>553.58036607052361</v>
      </c>
      <c r="AM84" s="62">
        <f t="shared" si="59"/>
        <v>846.91369940385698</v>
      </c>
      <c r="AN84" s="62">
        <f ca="1">AVERAGE(OFFSET($AM$3,0,0,'Données projet'!$E$10+1,1))-AVERAGE(OFFSET($H$3,0,0,'Données projet'!$E$10+1,1))</f>
        <v>444.81608506581125</v>
      </c>
      <c r="AO84" s="62">
        <f t="shared" si="90"/>
        <v>306.75289431725565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40.074529298652017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40.074529298652017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8.6770000000000014</v>
      </c>
      <c r="BD84" s="13">
        <f>IF('Données projet'!$A$88&gt;35,BD83+BC84-BL83,IF(A84&lt;'Données projet'!$A$88,$BA$205^A84,IF(A84='Données projet'!$A$88,'Données projet'!$B$88,BD83+BC84-BL83)))</f>
        <v>299.31900000000019</v>
      </c>
      <c r="BE84" s="14">
        <f>BD84*VLOOKUP('Données projet'!$B$11,Paramètres!$A$1:$I$89,3,0)*VLOOKUP('Données projet'!$B$11,Paramètres!$A$1:$I$89,5,0)</f>
        <v>322.18697160000022</v>
      </c>
      <c r="BF84" s="14">
        <f t="shared" si="91"/>
        <v>75.808215099231475</v>
      </c>
      <c r="BG84" s="22">
        <f t="shared" si="61"/>
        <v>693.17495016782834</v>
      </c>
      <c r="BH84" s="62">
        <f t="shared" si="62"/>
        <v>986.50828350116171</v>
      </c>
      <c r="BI84" s="62">
        <f ca="1">AVERAGE(OFFSET($BH$3,0,0,'Données projet'!$E$11+1,1))-AVERAGE(OFFSET($H$3,0,0,'Données projet'!$E$11+1,1))</f>
        <v>683.36974161977764</v>
      </c>
      <c r="BJ84" s="62">
        <f t="shared" si="92"/>
        <v>312.6921234697457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21.066485288503721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21.066485288503721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8.6770000000000014</v>
      </c>
      <c r="BY84" s="13">
        <f>IF('Données projet'!$A$114&gt;35,BY83+BX84-CG83,IF(A84&lt;'Données projet'!$A$114,$BV$205^A84,IF(A84='Données projet'!$A$114,'Données projet'!$B$114,BY83+BX84-CG83)))</f>
        <v>299.31900000000019</v>
      </c>
      <c r="BZ84" s="14">
        <f>BY84*VLOOKUP('Données projet'!$B$12,Paramètres!$A$1:$I$89,3,0)*VLOOKUP('Données projet'!$B$12,Paramètres!$A$1:$I$89,5,0)</f>
        <v>289.50133680000016</v>
      </c>
      <c r="CA84" s="14">
        <f t="shared" si="93"/>
        <v>68.970998217904651</v>
      </c>
      <c r="CB84" s="22">
        <f t="shared" si="64"/>
        <v>624.33931682285095</v>
      </c>
      <c r="CC84" s="62">
        <f t="shared" si="65"/>
        <v>917.67265015618432</v>
      </c>
      <c r="CD84" s="62">
        <f ca="1">AVERAGE(OFFSET($CC$3,0,0,'Données projet'!$E$12+1,1))-AVERAGE(OFFSET($H$3,0,0,'Données projet'!$E$12+1,1))</f>
        <v>618.83149423524605</v>
      </c>
      <c r="CE84" s="62">
        <f t="shared" si="94"/>
        <v>285.33582535802435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18.929305621554068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18.929305621554068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3.6</v>
      </c>
      <c r="CT84" s="13">
        <f>IF('Données projet'!$A$140&gt;35,CT83+CS84-DB83,IF(A84&lt;'Données projet'!$A$140,$CQ$205^A84,IF(A84='Données projet'!$A$140,'Données projet'!$B$140,CT83+CS84-DB83)))</f>
        <v>233.60000000000002</v>
      </c>
      <c r="CU84" s="18">
        <f>CT84*VLOOKUP('Données projet'!$B$13,Paramètres!$A$1:$I$89,3,0)*VLOOKUP('Données projet'!$B$13,Paramètres!$A$1:$I$89,5,0)</f>
        <v>204.07296000000005</v>
      </c>
      <c r="CV84" s="14">
        <f t="shared" si="95"/>
        <v>50.638228095278635</v>
      </c>
      <c r="CW84" s="22">
        <f t="shared" si="67"/>
        <v>443.62198593261041</v>
      </c>
      <c r="CX84" s="62">
        <f t="shared" si="68"/>
        <v>736.95531926594367</v>
      </c>
      <c r="CY84" s="62">
        <f ca="1">AVERAGE(OFFSET($CX$3,0,0,'Données projet'!$E$13+1,1))-AVERAGE(OFFSET($H$3,0,0,'Données projet'!$E$13+1,1))</f>
        <v>354.24684313982857</v>
      </c>
      <c r="CZ84" s="62">
        <f t="shared" si="96"/>
        <v>322.65043486962185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25.746842133065439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25.746842133065439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278.67478080000018</v>
      </c>
      <c r="P85" s="14">
        <f t="shared" si="87"/>
        <v>66.686874688958113</v>
      </c>
      <c r="Q85" s="22">
        <f t="shared" si="54"/>
        <v>601.50488330993562</v>
      </c>
      <c r="R85" s="62">
        <f t="shared" si="55"/>
        <v>894.83821664326888</v>
      </c>
      <c r="S85" s="62">
        <f ca="1">AVERAGE(OFFSET($R$3,0,0,'Données projet'!$E$9+1,1))-AVERAGE(OFFSET($H$3,0,0,'Données projet'!$E$9+1,1))</f>
        <v>581.88778927327667</v>
      </c>
      <c r="T85" s="62">
        <f t="shared" si="88"/>
        <v>269.67340993773422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17.360815839919407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17.360815839919407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</v>
      </c>
      <c r="AI85" s="14">
        <f>IF('Données projet'!$A$62&gt;35,AI84+AH85-AQ84,IF(A85&lt;'Données projet'!$A$62,$AF$205^A85,IF(A85='Données projet'!$A$62,'Données projet'!$B$62,AI84+AH85-AQ84)))</f>
        <v>275.99999999999994</v>
      </c>
      <c r="AJ85" s="14">
        <f>AI85*VLOOKUP('Données projet'!$B$10,Paramètres!$A$1:$I$89,3,0)*VLOOKUP('Données projet'!$B$10,Paramètres!$A$1:$I$89,5,0)</f>
        <v>262.64159999999993</v>
      </c>
      <c r="AK85" s="14">
        <f t="shared" si="89"/>
        <v>63.285128621471941</v>
      </c>
      <c r="AL85" s="22">
        <f t="shared" si="58"/>
        <v>567.65571901573014</v>
      </c>
      <c r="AM85" s="62">
        <f t="shared" si="59"/>
        <v>860.98905234906351</v>
      </c>
      <c r="AN85" s="62">
        <f ca="1">AVERAGE(OFFSET($AM$3,0,0,'Données projet'!$E$10+1,1))-AVERAGE(OFFSET($H$3,0,0,'Données projet'!$E$10+1,1))</f>
        <v>444.81608506581125</v>
      </c>
      <c r="AO85" s="62">
        <f t="shared" si="90"/>
        <v>306.75289431725565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39.288692222154772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39.288692222154772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8.6770000000000014</v>
      </c>
      <c r="BD85" s="13">
        <f>IF('Données projet'!$A$88&gt;35,BD84+BC85-BL84,IF(A85&lt;'Données projet'!$A$88,$BA$205^A85,IF(A85='Données projet'!$A$88,'Données projet'!$B$88,BD84+BC85-BL84)))</f>
        <v>307.99600000000021</v>
      </c>
      <c r="BE85" s="14">
        <f>BD85*VLOOKUP('Données projet'!$B$11,Paramètres!$A$1:$I$89,3,0)*VLOOKUP('Données projet'!$B$11,Paramètres!$A$1:$I$89,5,0)</f>
        <v>331.52689440000023</v>
      </c>
      <c r="BF85" s="14">
        <f t="shared" si="91"/>
        <v>77.746786236474065</v>
      </c>
      <c r="BG85" s="22">
        <f t="shared" si="61"/>
        <v>712.81832710852598</v>
      </c>
      <c r="BH85" s="62">
        <f t="shared" si="62"/>
        <v>1006.1516604418593</v>
      </c>
      <c r="BI85" s="62">
        <f ca="1">AVERAGE(OFFSET($BH$3,0,0,'Données projet'!$E$11+1,1))-AVERAGE(OFFSET($H$3,0,0,'Données projet'!$E$11+1,1))</f>
        <v>683.36974161977764</v>
      </c>
      <c r="BJ85" s="62">
        <f t="shared" si="92"/>
        <v>312.6921234697457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20.653384361283425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20.653384361283425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8.6770000000000014</v>
      </c>
      <c r="BY85" s="13">
        <f>IF('Données projet'!$A$114&gt;35,BY84+BX85-CG84,IF(A85&lt;'Données projet'!$A$114,$BV$205^A85,IF(A85='Données projet'!$A$114,'Données projet'!$B$114,BY84+BX85-CG84)))</f>
        <v>307.99600000000021</v>
      </c>
      <c r="BZ85" s="14">
        <f>BY85*VLOOKUP('Données projet'!$B$12,Paramètres!$A$1:$I$89,3,0)*VLOOKUP('Données projet'!$B$12,Paramètres!$A$1:$I$89,5,0)</f>
        <v>297.89373120000022</v>
      </c>
      <c r="CA85" s="14">
        <f t="shared" si="93"/>
        <v>70.734727732931788</v>
      </c>
      <c r="CB85" s="22">
        <f t="shared" si="64"/>
        <v>642.02789930818994</v>
      </c>
      <c r="CC85" s="62">
        <f t="shared" si="65"/>
        <v>935.3612326415232</v>
      </c>
      <c r="CD85" s="62">
        <f ca="1">AVERAGE(OFFSET($CC$3,0,0,'Données projet'!$E$12+1,1))-AVERAGE(OFFSET($H$3,0,0,'Données projet'!$E$12+1,1))</f>
        <v>618.83149423524605</v>
      </c>
      <c r="CE85" s="62">
        <f t="shared" si="94"/>
        <v>285.33582535802435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18.558113484051773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18.558113484051773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3.6</v>
      </c>
      <c r="CT85" s="13">
        <f>IF('Données projet'!$A$140&gt;35,CT84+CS85-DB84,IF(A85&lt;'Données projet'!$A$140,$CQ$205^A85,IF(A85='Données projet'!$A$140,'Données projet'!$B$140,CT84+CS85-DB84)))</f>
        <v>237.20000000000002</v>
      </c>
      <c r="CU85" s="18">
        <f>CT85*VLOOKUP('Données projet'!$B$13,Paramètres!$A$1:$I$89,3,0)*VLOOKUP('Données projet'!$B$13,Paramètres!$A$1:$I$89,5,0)</f>
        <v>207.21792000000005</v>
      </c>
      <c r="CV85" s="14">
        <f t="shared" si="95"/>
        <v>51.327160141561521</v>
      </c>
      <c r="CW85" s="22">
        <f t="shared" si="67"/>
        <v>450.29934791321972</v>
      </c>
      <c r="CX85" s="62">
        <f t="shared" si="68"/>
        <v>743.63268124655303</v>
      </c>
      <c r="CY85" s="62">
        <f ca="1">AVERAGE(OFFSET($CX$3,0,0,'Données projet'!$E$13+1,1))-AVERAGE(OFFSET($H$3,0,0,'Données projet'!$E$13+1,1))</f>
        <v>354.24684313982857</v>
      </c>
      <c r="CZ85" s="62">
        <f t="shared" si="96"/>
        <v>322.65043486962185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25.241962262859083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25.241962262859083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286.52573040000021</v>
      </c>
      <c r="P86" s="14">
        <f t="shared" si="87"/>
        <v>68.344228730046424</v>
      </c>
      <c r="Q86" s="22">
        <f t="shared" si="54"/>
        <v>618.06517881816455</v>
      </c>
      <c r="R86" s="62">
        <f t="shared" si="55"/>
        <v>911.39851215149793</v>
      </c>
      <c r="S86" s="62">
        <f ca="1">AVERAGE(OFFSET($R$3,0,0,'Données projet'!$E$9+1,1))-AVERAGE(OFFSET($H$3,0,0,'Données projet'!$E$9+1,1))</f>
        <v>581.88778927327667</v>
      </c>
      <c r="T86" s="62">
        <f t="shared" si="88"/>
        <v>269.67340993773422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17.020380830350668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17.020380830350668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</v>
      </c>
      <c r="AI86" s="14">
        <f>IF('Données projet'!$A$62&gt;35,AI85+AH86-AQ85,IF(A86&lt;'Données projet'!$A$62,$AF$205^A86,IF(A86='Données projet'!$A$62,'Données projet'!$B$62,AI85+AH86-AQ85)))</f>
        <v>282.99999999999994</v>
      </c>
      <c r="AJ86" s="14">
        <f>AI86*VLOOKUP('Données projet'!$B$10,Paramètres!$A$1:$I$89,3,0)*VLOOKUP('Données projet'!$B$10,Paramètres!$A$1:$I$89,5,0)</f>
        <v>269.30279999999993</v>
      </c>
      <c r="AK86" s="14">
        <f t="shared" si="89"/>
        <v>64.701283593559893</v>
      </c>
      <c r="AL86" s="22">
        <f t="shared" si="58"/>
        <v>581.72377892545001</v>
      </c>
      <c r="AM86" s="62">
        <f t="shared" si="59"/>
        <v>875.05711225878326</v>
      </c>
      <c r="AN86" s="62">
        <f ca="1">AVERAGE(OFFSET($AM$3,0,0,'Données projet'!$E$10+1,1))-AVERAGE(OFFSET($H$3,0,0,'Données projet'!$E$10+1,1))</f>
        <v>444.81608506581125</v>
      </c>
      <c r="AO86" s="62">
        <f t="shared" si="90"/>
        <v>306.75289431725565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38.51826493141435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38.51826493141435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8.6770000000000014</v>
      </c>
      <c r="BD86" s="13">
        <f>IF('Données projet'!$A$88&gt;35,BD85+BC86-BL85,IF(A86&lt;'Données projet'!$A$88,$BA$205^A86,IF(A86='Données projet'!$A$88,'Données projet'!$B$88,BD85+BC86-BL85)))</f>
        <v>316.67300000000023</v>
      </c>
      <c r="BE86" s="14">
        <f>BD86*VLOOKUP('Données projet'!$B$11,Paramètres!$A$1:$I$89,3,0)*VLOOKUP('Données projet'!$B$11,Paramètres!$A$1:$I$89,5,0)</f>
        <v>340.86681720000024</v>
      </c>
      <c r="BF86" s="14">
        <f t="shared" si="91"/>
        <v>79.679009795482443</v>
      </c>
      <c r="BG86" s="22">
        <f t="shared" si="61"/>
        <v>732.45064868379905</v>
      </c>
      <c r="BH86" s="62">
        <f t="shared" si="62"/>
        <v>1025.7839820171323</v>
      </c>
      <c r="BI86" s="62">
        <f ca="1">AVERAGE(OFFSET($BH$3,0,0,'Données projet'!$E$11+1,1))-AVERAGE(OFFSET($H$3,0,0,'Données projet'!$E$11+1,1))</f>
        <v>683.36974161977764</v>
      </c>
      <c r="BJ86" s="62">
        <f t="shared" si="92"/>
        <v>312.6921234697457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20.248384091279235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20.248384091279235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8.6770000000000014</v>
      </c>
      <c r="BY86" s="13">
        <f>IF('Données projet'!$A$114&gt;35,BY85+BX86-CG85,IF(A86&lt;'Données projet'!$A$114,$BV$205^A86,IF(A86='Données projet'!$A$114,'Données projet'!$B$114,BY85+BX86-CG85)))</f>
        <v>316.67300000000023</v>
      </c>
      <c r="BZ86" s="14">
        <f>BY86*VLOOKUP('Données projet'!$B$12,Paramètres!$A$1:$I$89,3,0)*VLOOKUP('Données projet'!$B$12,Paramètres!$A$1:$I$89,5,0)</f>
        <v>306.28612560000022</v>
      </c>
      <c r="CA86" s="14">
        <f t="shared" si="93"/>
        <v>72.492682163998609</v>
      </c>
      <c r="CB86" s="22">
        <f t="shared" si="64"/>
        <v>659.70642352229788</v>
      </c>
      <c r="CC86" s="62">
        <f t="shared" si="65"/>
        <v>953.03975685563114</v>
      </c>
      <c r="CD86" s="62">
        <f ca="1">AVERAGE(OFFSET($CC$3,0,0,'Données projet'!$E$12+1,1))-AVERAGE(OFFSET($H$3,0,0,'Données projet'!$E$12+1,1))</f>
        <v>618.83149423524605</v>
      </c>
      <c r="CE86" s="62">
        <f t="shared" si="94"/>
        <v>285.33582535802435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18.194200197961052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18.194200197961052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3.6</v>
      </c>
      <c r="CT86" s="13">
        <f>IF('Données projet'!$A$140&gt;35,CT85+CS86-DB85,IF(A86&lt;'Données projet'!$A$140,$CQ$205^A86,IF(A86='Données projet'!$A$140,'Données projet'!$B$140,CT85+CS86-DB85)))</f>
        <v>240.8</v>
      </c>
      <c r="CU86" s="18">
        <f>CT86*VLOOKUP('Données projet'!$B$13,Paramètres!$A$1:$I$89,3,0)*VLOOKUP('Données projet'!$B$13,Paramètres!$A$1:$I$89,5,0)</f>
        <v>210.36288000000002</v>
      </c>
      <c r="CV86" s="14">
        <f t="shared" si="95"/>
        <v>52.014876138342963</v>
      </c>
      <c r="CW86" s="22">
        <f t="shared" si="67"/>
        <v>456.97459194094728</v>
      </c>
      <c r="CX86" s="62">
        <f t="shared" si="68"/>
        <v>750.30792527428059</v>
      </c>
      <c r="CY86" s="62">
        <f ca="1">AVERAGE(OFFSET($CX$3,0,0,'Données projet'!$E$13+1,1))-AVERAGE(OFFSET($H$3,0,0,'Données projet'!$E$13+1,1))</f>
        <v>354.24684313982857</v>
      </c>
      <c r="CZ86" s="62">
        <f t="shared" si="96"/>
        <v>322.65043486962185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24.746982778961161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24.746982778961161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294.37668000000025</v>
      </c>
      <c r="P87" s="14">
        <f t="shared" si="87"/>
        <v>69.99630449784344</v>
      </c>
      <c r="Q87" s="22">
        <f t="shared" si="54"/>
        <v>634.61628133374438</v>
      </c>
      <c r="R87" s="62">
        <f t="shared" si="55"/>
        <v>927.94961466707764</v>
      </c>
      <c r="S87" s="62">
        <f ca="1">AVERAGE(OFFSET($R$3,0,0,'Données projet'!$E$9+1,1))-AVERAGE(OFFSET($H$3,0,0,'Données projet'!$E$9+1,1))</f>
        <v>581.88778927327667</v>
      </c>
      <c r="T87" s="62">
        <f t="shared" si="88"/>
        <v>269.67340993773422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0.17200000000000001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27.26188906140996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27.26188906140996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</v>
      </c>
      <c r="AI87" s="14">
        <f>IF('Données projet'!$A$62&gt;35,AI86+AH87-AQ86,IF(A87&lt;'Données projet'!$A$62,$AF$205^A87,IF(A87='Données projet'!$A$62,'Données projet'!$B$62,AI86+AH87-AQ86)))</f>
        <v>289.99999999999994</v>
      </c>
      <c r="AJ87" s="14">
        <f>AI87*VLOOKUP('Données projet'!$B$10,Paramètres!$A$1:$I$89,3,0)*VLOOKUP('Données projet'!$B$10,Paramètres!$A$1:$I$89,5,0)</f>
        <v>275.96399999999994</v>
      </c>
      <c r="AK87" s="14">
        <f t="shared" si="89"/>
        <v>66.113366665488911</v>
      </c>
      <c r="AL87" s="22">
        <f t="shared" si="58"/>
        <v>595.7847469423931</v>
      </c>
      <c r="AM87" s="62">
        <f t="shared" si="59"/>
        <v>889.11808027572647</v>
      </c>
      <c r="AN87" s="62">
        <f ca="1">AVERAGE(OFFSET($AM$3,0,0,'Données projet'!$E$10+1,1))-AVERAGE(OFFSET($H$3,0,0,'Données projet'!$E$10+1,1))</f>
        <v>444.81608506581125</v>
      </c>
      <c r="AO87" s="62">
        <f t="shared" si="90"/>
        <v>306.75289431725565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37.7629452499311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37.7629452499311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325.35000000000002</v>
      </c>
      <c r="BB87" s="13">
        <f>VLOOKUP(A87,'Données projet'!$A$87:$I$107,9,0)</f>
        <v>8.6770000000000014</v>
      </c>
      <c r="BC87" s="13">
        <f t="array" ref="BC87">INDEX(BB:BB,MIN(IF(ISNUMBER(BB87:BB283),ROW(BB87:BB283),"")))</f>
        <v>8.6770000000000014</v>
      </c>
      <c r="BD87" s="13">
        <f>IF('Données projet'!$A$88&gt;35,BD86+BC87-BL86,IF(A87&lt;'Données projet'!$A$88,$BA$205^A87,IF(A87='Données projet'!$A$88,'Données projet'!$B$88,BD86+BC87-BL86)))</f>
        <v>325.35000000000025</v>
      </c>
      <c r="BE87" s="14">
        <f>BD87*VLOOKUP('Données projet'!$B$11,Paramètres!$A$1:$I$89,3,0)*VLOOKUP('Données projet'!$B$11,Paramètres!$A$1:$I$89,5,0)</f>
        <v>350.20674000000025</v>
      </c>
      <c r="BF87" s="14">
        <f t="shared" si="91"/>
        <v>81.605079688013205</v>
      </c>
      <c r="BG87" s="22">
        <f t="shared" si="61"/>
        <v>752.07225262328996</v>
      </c>
      <c r="BH87" s="62">
        <f t="shared" si="62"/>
        <v>1045.4055859566233</v>
      </c>
      <c r="BI87" s="62">
        <f ca="1">AVERAGE(OFFSET($BH$3,0,0,'Données projet'!$E$11+1,1))-AVERAGE(OFFSET($H$3,0,0,'Données projet'!$E$11+1,1))</f>
        <v>683.36974161977764</v>
      </c>
      <c r="BJ87" s="62">
        <f t="shared" si="92"/>
        <v>312.6921234697457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61.47</v>
      </c>
      <c r="BM87" s="17">
        <f>IF(ISNA(VLOOKUP(A87,'Données projet'!$A$87:$I$107,5,0)),0%,VLOOKUP(A87,'Données projet'!$A$87:$I$107,5,0)*VLOOKUP('Données projet'!$B$11,Paramètres!$A$1:$I$89,7,0))</f>
        <v>0.17200000000000001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32.432247331677353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32.432247331677353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325.35000000000002</v>
      </c>
      <c r="BW87" s="13">
        <f>VLOOKUP(A87,'Données projet'!$A$113:$I$133,9,0)</f>
        <v>8.6770000000000014</v>
      </c>
      <c r="BX87" s="13">
        <f t="array" ref="BX87">INDEX(BW:BW,MIN(IF(ISNUMBER(BW87:BW283),ROW(BW87:BW283),"")))</f>
        <v>8.6770000000000014</v>
      </c>
      <c r="BY87" s="13">
        <f>IF('Données projet'!$A$114&gt;35,BY86+BX87-CG86,IF(A87&lt;'Données projet'!$A$114,$BV$205^A87,IF(A87='Données projet'!$A$114,'Données projet'!$B$114,BY86+BX87-CG86)))</f>
        <v>325.35000000000025</v>
      </c>
      <c r="BZ87" s="14">
        <f>BY87*VLOOKUP('Données projet'!$B$12,Paramètres!$A$1:$I$89,3,0)*VLOOKUP('Données projet'!$B$12,Paramètres!$A$1:$I$89,5,0)</f>
        <v>314.67852000000028</v>
      </c>
      <c r="CA87" s="14">
        <f t="shared" si="93"/>
        <v>74.245037933771187</v>
      </c>
      <c r="CB87" s="22">
        <f t="shared" si="64"/>
        <v>677.37519673465192</v>
      </c>
      <c r="CC87" s="62">
        <f t="shared" si="65"/>
        <v>970.70853006798529</v>
      </c>
      <c r="CD87" s="62">
        <f ca="1">AVERAGE(OFFSET($CC$3,0,0,'Données projet'!$E$12+1,1))-AVERAGE(OFFSET($H$3,0,0,'Données projet'!$E$12+1,1))</f>
        <v>618.83149423524605</v>
      </c>
      <c r="CE87" s="62">
        <f t="shared" si="94"/>
        <v>285.33582535802435</v>
      </c>
      <c r="CF87" s="16">
        <f>IF(ISNA(VLOOKUP(A87,'Données projet'!$A$113:$I$133,3,0)),0,VLOOKUP(A87,'Données projet'!$A$113:$I$133,3,0))</f>
        <v>6</v>
      </c>
      <c r="CG87" s="16">
        <f>IF(ISNA(VLOOKUP(A87,'Données projet'!$A$113:$I$133,4,0)),0,VLOOKUP(A87,'Données projet'!$A$113:$I$133,4,0))</f>
        <v>61.47</v>
      </c>
      <c r="CH87" s="17">
        <f>IF(ISNA(VLOOKUP(A87,'Données projet'!$A$113:$I$133,5,0)),0%,VLOOKUP(A87,'Données projet'!$A$113:$I$133,5,0)*VLOOKUP('Données projet'!$B$12,Paramètres!$A$1:$I$89,7,0))</f>
        <v>0.17200000000000001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29.142019341507194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29.142019341507194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3.6</v>
      </c>
      <c r="CT87" s="13">
        <f>IF('Données projet'!$A$140&gt;35,CT86+CS87-DB86,IF(A87&lt;'Données projet'!$A$140,$CQ$205^A87,IF(A87='Données projet'!$A$140,'Données projet'!$B$140,CT86+CS87-DB86)))</f>
        <v>244.4</v>
      </c>
      <c r="CU87" s="18">
        <f>CT87*VLOOKUP('Données projet'!$B$13,Paramètres!$A$1:$I$89,3,0)*VLOOKUP('Données projet'!$B$13,Paramètres!$A$1:$I$89,5,0)</f>
        <v>213.50784000000002</v>
      </c>
      <c r="CV87" s="14">
        <f t="shared" si="95"/>
        <v>52.701396365805124</v>
      </c>
      <c r="CW87" s="22">
        <f t="shared" si="67"/>
        <v>463.6477533371106</v>
      </c>
      <c r="CX87" s="62">
        <f t="shared" si="68"/>
        <v>756.98108667044391</v>
      </c>
      <c r="CY87" s="62">
        <f ca="1">AVERAGE(OFFSET($CX$3,0,0,'Données projet'!$E$13+1,1))-AVERAGE(OFFSET($H$3,0,0,'Données projet'!$E$13+1,1))</f>
        <v>354.24684313982857</v>
      </c>
      <c r="CZ87" s="62">
        <f t="shared" si="96"/>
        <v>322.65043486962185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24.261709540834804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24.261709540834804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8.2910000000000021</v>
      </c>
      <c r="N88" s="14">
        <f>IF('Données projet'!$A$36&gt;35,N87+M88-V87,IF(A88&lt;'Données projet'!$A$36,$K$205^A88,IF(A88='Données projet'!$A$36,'Données projet'!$B$36,N87+M88-V87)))</f>
        <v>272.17100000000028</v>
      </c>
      <c r="O88" s="14">
        <f>N88*VLOOKUP('Données projet'!$B$9,Paramètres!$A$1:$I$89,3,0)*VLOOKUP('Données projet'!$B$9,Paramètres!$A$1:$I$89,5,0)</f>
        <v>246.26032080000024</v>
      </c>
      <c r="P88" s="14">
        <f t="shared" si="87"/>
        <v>59.784443753506842</v>
      </c>
      <c r="Q88" s="22">
        <f t="shared" si="54"/>
        <v>533.02796493069138</v>
      </c>
      <c r="R88" s="62">
        <f t="shared" si="55"/>
        <v>826.36129826402475</v>
      </c>
      <c r="S88" s="62">
        <f ca="1">AVERAGE(OFFSET($R$3,0,0,'Données projet'!$E$9+1,1))-AVERAGE(OFFSET($H$3,0,0,'Données projet'!$E$9+1,1))</f>
        <v>581.88778927327667</v>
      </c>
      <c r="T88" s="62">
        <f t="shared" si="88"/>
        <v>269.67340993773422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26.727300045026148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26.727300045026148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297</v>
      </c>
      <c r="AG88" s="13">
        <f>VLOOKUP(A88,'Données projet'!$A$61:$I$81,9,0)</f>
        <v>7</v>
      </c>
      <c r="AH88" s="13">
        <f t="array" ref="AH88">INDEX(AG:AG,MIN(IF(ISNUMBER(AG88:AG284),ROW(AG88:AG284),"")))</f>
        <v>7</v>
      </c>
      <c r="AI88" s="14">
        <f>IF('Données projet'!$A$62&gt;35,AI87+AH88-AQ87,IF(A88&lt;'Données projet'!$A$62,$AF$205^A88,IF(A88='Données projet'!$A$62,'Données projet'!$B$62,AI87+AH88-AQ87)))</f>
        <v>296.99999999999994</v>
      </c>
      <c r="AJ88" s="14">
        <f>AI88*VLOOKUP('Données projet'!$B$10,Paramètres!$A$1:$I$89,3,0)*VLOOKUP('Données projet'!$B$10,Paramètres!$A$1:$I$89,5,0)</f>
        <v>282.62519999999995</v>
      </c>
      <c r="AK88" s="14">
        <f t="shared" si="89"/>
        <v>67.521487432655874</v>
      </c>
      <c r="AL88" s="22">
        <f t="shared" si="58"/>
        <v>609.83881394520893</v>
      </c>
      <c r="AM88" s="62">
        <f t="shared" si="59"/>
        <v>903.1721472785423</v>
      </c>
      <c r="AN88" s="62">
        <f ca="1">AVERAGE(OFFSET($AM$3,0,0,'Données projet'!$E$10+1,1))-AVERAGE(OFFSET($H$3,0,0,'Données projet'!$E$10+1,1))</f>
        <v>444.81608506581125</v>
      </c>
      <c r="AO88" s="62">
        <f t="shared" si="90"/>
        <v>306.75289431725565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30</v>
      </c>
      <c r="AR88" s="17">
        <f>IF(ISNA(VLOOKUP(A88,'Données projet'!$A$61:$I$81,5,0)),0%,VLOOKUP(A88,'Données projet'!$A$61:$I$81,5,0)*VLOOKUP('Données projet'!$B$10,Paramètres!$A$1:$I$89,7,0))</f>
        <v>0.30099999999999999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46.521686413569121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46.521686413569121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8.2910000000000021</v>
      </c>
      <c r="BD88" s="13">
        <f>IF('Données projet'!$A$88&gt;35,BD87+BC88-BL87,IF(A88&lt;'Données projet'!$A$88,$BA$205^A88,IF(A88='Données projet'!$A$88,'Données projet'!$B$88,BD87+BC88-BL87)))</f>
        <v>272.17100000000028</v>
      </c>
      <c r="BE88" s="14">
        <f>BD88*VLOOKUP('Données projet'!$B$11,Paramètres!$A$1:$I$89,3,0)*VLOOKUP('Données projet'!$B$11,Paramètres!$A$1:$I$89,5,0)</f>
        <v>292.96486440000029</v>
      </c>
      <c r="BF88" s="14">
        <f t="shared" si="91"/>
        <v>69.699598166054386</v>
      </c>
      <c r="BG88" s="22">
        <f t="shared" si="61"/>
        <v>631.64060563587861</v>
      </c>
      <c r="BH88" s="62">
        <f t="shared" si="62"/>
        <v>924.97393896921199</v>
      </c>
      <c r="BI88" s="62">
        <f ca="1">AVERAGE(OFFSET($BH$3,0,0,'Données projet'!$E$11+1,1))-AVERAGE(OFFSET($H$3,0,0,'Données projet'!$E$11+1,1))</f>
        <v>683.36974161977764</v>
      </c>
      <c r="BJ88" s="62">
        <f t="shared" si="92"/>
        <v>312.6921234697457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31.796270743220749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31.796270743220749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8.2910000000000021</v>
      </c>
      <c r="BY88" s="13">
        <f>IF('Données projet'!$A$114&gt;35,BY87+BX88-CG87,IF(A88&lt;'Données projet'!$A$114,$BV$205^A88,IF(A88='Données projet'!$A$114,'Données projet'!$B$114,BY87+BX88-CG87)))</f>
        <v>272.17100000000028</v>
      </c>
      <c r="BZ88" s="14">
        <f>BY88*VLOOKUP('Données projet'!$B$12,Paramètres!$A$1:$I$89,3,0)*VLOOKUP('Données projet'!$B$12,Paramètres!$A$1:$I$89,5,0)</f>
        <v>263.24379120000026</v>
      </c>
      <c r="CA88" s="14">
        <f t="shared" si="93"/>
        <v>63.413323405741842</v>
      </c>
      <c r="CB88" s="22">
        <f t="shared" si="64"/>
        <v>568.92780793833413</v>
      </c>
      <c r="CC88" s="62">
        <f t="shared" si="65"/>
        <v>862.26114127166738</v>
      </c>
      <c r="CD88" s="62">
        <f ca="1">AVERAGE(OFFSET($CC$3,0,0,'Données projet'!$E$12+1,1))-AVERAGE(OFFSET($H$3,0,0,'Données projet'!$E$12+1,1))</f>
        <v>618.83149423524605</v>
      </c>
      <c r="CE88" s="62">
        <f t="shared" si="94"/>
        <v>285.33582535802435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28.570562117096912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28.570562117096912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248</v>
      </c>
      <c r="CR88" s="13">
        <f>VLOOKUP(A88,'Données projet'!$A$139:$I$159,9,0)</f>
        <v>3.6</v>
      </c>
      <c r="CS88" s="13">
        <f t="array" ref="CS88">INDEX(CR:CR,MIN(IF(ISNUMBER(CR88:CR284),ROW(CR88:CR284),"")))</f>
        <v>3.6</v>
      </c>
      <c r="CT88" s="13">
        <f>IF('Données projet'!$A$140&gt;35,CT87+CS88-DB87,IF(A88&lt;'Données projet'!$A$140,$CQ$205^A88,IF(A88='Données projet'!$A$140,'Données projet'!$B$140,CT87+CS88-DB87)))</f>
        <v>248</v>
      </c>
      <c r="CU88" s="18">
        <f>CT88*VLOOKUP('Données projet'!$B$13,Paramètres!$A$1:$I$89,3,0)*VLOOKUP('Données projet'!$B$13,Paramètres!$A$1:$I$89,5,0)</f>
        <v>216.65280000000004</v>
      </c>
      <c r="CV88" s="14">
        <f t="shared" si="95"/>
        <v>53.38674047237982</v>
      </c>
      <c r="CW88" s="22">
        <f t="shared" si="67"/>
        <v>470.3188663227283</v>
      </c>
      <c r="CX88" s="62">
        <f t="shared" si="68"/>
        <v>763.65219965606161</v>
      </c>
      <c r="CY88" s="62">
        <f ca="1">AVERAGE(OFFSET($CX$3,0,0,'Données projet'!$E$13+1,1))-AVERAGE(OFFSET($H$3,0,0,'Données projet'!$E$13+1,1))</f>
        <v>354.24684313982857</v>
      </c>
      <c r="CZ88" s="62">
        <f t="shared" si="96"/>
        <v>322.65043486962185</v>
      </c>
      <c r="DA88" s="16">
        <f>IF(ISNA(VLOOKUP(A88,'Données projet'!$A$139:$I$159,3,0)),0,VLOOKUP(A88,'Données projet'!$A$139:$I$159,3,0))</f>
        <v>16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0.30099999999999999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27.855576038802432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27.855576038802432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8.2910000000000021</v>
      </c>
      <c r="N89" s="14">
        <f>IF('Données projet'!$A$36&gt;35,N88+M89-V88,IF(A89&lt;'Données projet'!$A$36,$K$205^A89,IF(A89='Données projet'!$A$36,'Données projet'!$B$36,N88+M89-V88)))</f>
        <v>280.46200000000027</v>
      </c>
      <c r="O89" s="14">
        <f>N89*VLOOKUP('Données projet'!$B$9,Paramètres!$A$1:$I$89,3,0)*VLOOKUP('Données projet'!$B$9,Paramètres!$A$1:$I$89,5,0)</f>
        <v>253.76201760000023</v>
      </c>
      <c r="P89" s="14">
        <f t="shared" si="87"/>
        <v>61.390818695638195</v>
      </c>
      <c r="Q89" s="22">
        <f t="shared" si="54"/>
        <v>548.89118988157031</v>
      </c>
      <c r="R89" s="62">
        <f t="shared" si="55"/>
        <v>842.22452321490368</v>
      </c>
      <c r="S89" s="62">
        <f ca="1">AVERAGE(OFFSET($R$3,0,0,'Données projet'!$E$9+1,1))-AVERAGE(OFFSET($H$3,0,0,'Données projet'!$E$9+1,1))</f>
        <v>581.88778927327667</v>
      </c>
      <c r="T89" s="62">
        <f t="shared" si="88"/>
        <v>269.67340993773422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26.20319399318652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26.20319399318652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260.35775999999998</v>
      </c>
      <c r="AK89" s="14">
        <f t="shared" si="89"/>
        <v>62.7986318267358</v>
      </c>
      <c r="AL89" s="22">
        <f t="shared" si="58"/>
        <v>562.83071576489817</v>
      </c>
      <c r="AM89" s="62">
        <f t="shared" si="59"/>
        <v>856.16404909823154</v>
      </c>
      <c r="AN89" s="62">
        <f ca="1">AVERAGE(OFFSET($AM$3,0,0,'Données projet'!$E$10+1,1))-AVERAGE(OFFSET($H$3,0,0,'Données projet'!$E$10+1,1))</f>
        <v>444.81608506581125</v>
      </c>
      <c r="AO89" s="62">
        <f t="shared" si="90"/>
        <v>306.75289431725565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45.609424518425904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45.609424518425904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8.2910000000000021</v>
      </c>
      <c r="BD89" s="13">
        <f>IF('Données projet'!$A$88&gt;35,BD88+BC89-BL88,IF(A89&lt;'Données projet'!$A$88,$BA$205^A89,IF(A89='Données projet'!$A$88,'Données projet'!$B$88,BD88+BC89-BL88)))</f>
        <v>280.46200000000027</v>
      </c>
      <c r="BE89" s="14">
        <f>BD89*VLOOKUP('Données projet'!$B$11,Paramètres!$A$1:$I$89,3,0)*VLOOKUP('Données projet'!$B$11,Paramètres!$A$1:$I$89,5,0)</f>
        <v>301.88929680000024</v>
      </c>
      <c r="BF89" s="14">
        <f t="shared" si="91"/>
        <v>71.572387824049713</v>
      </c>
      <c r="BG89" s="22">
        <f t="shared" si="61"/>
        <v>650.44576738688704</v>
      </c>
      <c r="BH89" s="62">
        <f t="shared" si="62"/>
        <v>943.77910072022041</v>
      </c>
      <c r="BI89" s="62">
        <f ca="1">AVERAGE(OFFSET($BH$3,0,0,'Données projet'!$E$11+1,1))-AVERAGE(OFFSET($H$3,0,0,'Données projet'!$E$11+1,1))</f>
        <v>683.36974161977764</v>
      </c>
      <c r="BJ89" s="62">
        <f t="shared" si="92"/>
        <v>312.6921234697457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31.172765267756365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31.172765267756365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8.2910000000000021</v>
      </c>
      <c r="BY89" s="13">
        <f>IF('Données projet'!$A$114&gt;35,BY88+BX89-CG88,IF(A89&lt;'Données projet'!$A$114,$BV$205^A89,IF(A89='Données projet'!$A$114,'Données projet'!$B$114,BY88+BX89-CG88)))</f>
        <v>280.46200000000027</v>
      </c>
      <c r="BZ89" s="14">
        <f>BY89*VLOOKUP('Données projet'!$B$12,Paramètres!$A$1:$I$89,3,0)*VLOOKUP('Données projet'!$B$12,Paramètres!$A$1:$I$89,5,0)</f>
        <v>271.26284640000029</v>
      </c>
      <c r="CA89" s="14">
        <f t="shared" si="93"/>
        <v>65.117204337314064</v>
      </c>
      <c r="CB89" s="22">
        <f t="shared" si="64"/>
        <v>585.86192170082245</v>
      </c>
      <c r="CC89" s="62">
        <f t="shared" si="65"/>
        <v>879.19525503415571</v>
      </c>
      <c r="CD89" s="62">
        <f ca="1">AVERAGE(OFFSET($CC$3,0,0,'Données projet'!$E$12+1,1))-AVERAGE(OFFSET($H$3,0,0,'Données projet'!$E$12+1,1))</f>
        <v>618.83149423524605</v>
      </c>
      <c r="CE89" s="62">
        <f t="shared" si="94"/>
        <v>285.33582535802435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28.010310820302827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28.010310820302827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</v>
      </c>
      <c r="CT89" s="13">
        <f>IF('Données projet'!$A$140&gt;35,CT88+CS89-DB88,IF(A89&lt;'Données projet'!$A$140,$CQ$205^A89,IF(A89='Données projet'!$A$140,'Données projet'!$B$140,CT88+CS89-DB88)))</f>
        <v>237</v>
      </c>
      <c r="CU89" s="18">
        <f>CT89*VLOOKUP('Données projet'!$B$13,Paramètres!$A$1:$I$89,3,0)*VLOOKUP('Données projet'!$B$13,Paramètres!$A$1:$I$89,5,0)</f>
        <v>207.04320000000001</v>
      </c>
      <c r="CV89" s="14">
        <f t="shared" si="95"/>
        <v>51.288918231806321</v>
      </c>
      <c r="CW89" s="22">
        <f t="shared" si="67"/>
        <v>449.92843925372944</v>
      </c>
      <c r="CX89" s="62">
        <f t="shared" si="68"/>
        <v>743.26177258706275</v>
      </c>
      <c r="CY89" s="62">
        <f ca="1">AVERAGE(OFFSET($CX$3,0,0,'Données projet'!$E$13+1,1))-AVERAGE(OFFSET($H$3,0,0,'Données projet'!$E$13+1,1))</f>
        <v>354.24684313982857</v>
      </c>
      <c r="CZ89" s="62">
        <f t="shared" si="96"/>
        <v>322.65043486962185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27.309345182905254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27.309345182905254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8.2910000000000021</v>
      </c>
      <c r="N90" s="14">
        <f>IF('Données projet'!$A$36&gt;35,N89+M90-V89,IF(A90&lt;'Données projet'!$A$36,$K$205^A90,IF(A90='Données projet'!$A$36,'Données projet'!$B$36,N89+M90-V89)))</f>
        <v>288.75300000000027</v>
      </c>
      <c r="O90" s="14">
        <f>N90*VLOOKUP('Données projet'!$B$9,Paramètres!$A$1:$I$89,3,0)*VLOOKUP('Données projet'!$B$9,Paramètres!$A$1:$I$89,5,0)</f>
        <v>261.26371440000025</v>
      </c>
      <c r="P90" s="14">
        <f t="shared" si="87"/>
        <v>62.991674736313257</v>
      </c>
      <c r="Q90" s="22">
        <f t="shared" si="54"/>
        <v>564.74480274574603</v>
      </c>
      <c r="R90" s="62">
        <f t="shared" si="55"/>
        <v>858.07813607907929</v>
      </c>
      <c r="S90" s="62">
        <f ca="1">AVERAGE(OFFSET($R$3,0,0,'Données projet'!$E$9+1,1))-AVERAGE(OFFSET($H$3,0,0,'Données projet'!$E$9+1,1))</f>
        <v>581.88778927327667</v>
      </c>
      <c r="T90" s="62">
        <f t="shared" si="88"/>
        <v>269.67340993773422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25.689365341350342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25.689365341350342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280.2</v>
      </c>
      <c r="AJ90" s="14">
        <f>AI90*VLOOKUP('Données projet'!$B$10,Paramètres!$A$1:$I$89,3,0)*VLOOKUP('Données projet'!$B$10,Paramètres!$A$1:$I$89,5,0)</f>
        <v>266.63832000000002</v>
      </c>
      <c r="AK90" s="14">
        <f t="shared" si="89"/>
        <v>64.135316563180027</v>
      </c>
      <c r="AL90" s="22">
        <f t="shared" si="58"/>
        <v>576.09741701420523</v>
      </c>
      <c r="AM90" s="62">
        <f t="shared" si="59"/>
        <v>869.43075034753861</v>
      </c>
      <c r="AN90" s="62">
        <f ca="1">AVERAGE(OFFSET($AM$3,0,0,'Données projet'!$E$10+1,1))-AVERAGE(OFFSET($H$3,0,0,'Données projet'!$E$10+1,1))</f>
        <v>444.81608506581125</v>
      </c>
      <c r="AO90" s="62">
        <f t="shared" si="90"/>
        <v>306.75289431725565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44.715051522621629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44.715051522621629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8.2910000000000021</v>
      </c>
      <c r="BD90" s="13">
        <f>IF('Données projet'!$A$88&gt;35,BD89+BC90-BL89,IF(A90&lt;'Données projet'!$A$88,$BA$205^A90,IF(A90='Données projet'!$A$88,'Données projet'!$B$88,BD89+BC90-BL89)))</f>
        <v>288.75300000000027</v>
      </c>
      <c r="BE90" s="14">
        <f>BD90*VLOOKUP('Données projet'!$B$11,Paramètres!$A$1:$I$89,3,0)*VLOOKUP('Données projet'!$B$11,Paramètres!$A$1:$I$89,5,0)</f>
        <v>310.81372920000024</v>
      </c>
      <c r="BF90" s="14">
        <f t="shared" si="91"/>
        <v>73.438743279606001</v>
      </c>
      <c r="BG90" s="22">
        <f t="shared" si="61"/>
        <v>669.23972290198083</v>
      </c>
      <c r="BH90" s="62">
        <f t="shared" si="62"/>
        <v>962.5730562353142</v>
      </c>
      <c r="BI90" s="62">
        <f ca="1">AVERAGE(OFFSET($BH$3,0,0,'Données projet'!$E$11+1,1))-AVERAGE(OFFSET($H$3,0,0,'Données projet'!$E$11+1,1))</f>
        <v>683.36974161977764</v>
      </c>
      <c r="BJ90" s="62">
        <f t="shared" si="92"/>
        <v>312.6921234697457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30.561486354365048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30.561486354365048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8.2910000000000021</v>
      </c>
      <c r="BY90" s="13">
        <f>IF('Données projet'!$A$114&gt;35,BY89+BX90-CG89,IF(A90&lt;'Données projet'!$A$114,$BV$205^A90,IF(A90='Données projet'!$A$114,'Données projet'!$B$114,BY89+BX90-CG89)))</f>
        <v>288.75300000000027</v>
      </c>
      <c r="BZ90" s="14">
        <f>BY90*VLOOKUP('Données projet'!$B$12,Paramètres!$A$1:$I$89,3,0)*VLOOKUP('Données projet'!$B$12,Paramètres!$A$1:$I$89,5,0)</f>
        <v>279.28190160000025</v>
      </c>
      <c r="CA90" s="14">
        <f t="shared" si="93"/>
        <v>66.815231373442643</v>
      </c>
      <c r="CB90" s="22">
        <f t="shared" si="64"/>
        <v>602.78583992874633</v>
      </c>
      <c r="CC90" s="62">
        <f t="shared" si="65"/>
        <v>896.11917326207958</v>
      </c>
      <c r="CD90" s="62">
        <f ca="1">AVERAGE(OFFSET($CC$3,0,0,'Données projet'!$E$12+1,1))-AVERAGE(OFFSET($H$3,0,0,'Données projet'!$E$12+1,1))</f>
        <v>618.83149423524605</v>
      </c>
      <c r="CE90" s="62">
        <f t="shared" si="94"/>
        <v>285.33582535802435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27.461045709719325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27.461045709719325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</v>
      </c>
      <c r="CT90" s="13">
        <f>IF('Données projet'!$A$140&gt;35,CT89+CS90-DB89,IF(A90&lt;'Données projet'!$A$140,$CQ$205^A90,IF(A90='Données projet'!$A$140,'Données projet'!$B$140,CT89+CS90-DB89)))</f>
        <v>240</v>
      </c>
      <c r="CU90" s="18">
        <f>CT90*VLOOKUP('Données projet'!$B$13,Paramètres!$A$1:$I$89,3,0)*VLOOKUP('Données projet'!$B$13,Paramètres!$A$1:$I$89,5,0)</f>
        <v>209.66400000000002</v>
      </c>
      <c r="CV90" s="14">
        <f t="shared" si="95"/>
        <v>51.862154403304537</v>
      </c>
      <c r="CW90" s="22">
        <f t="shared" si="67"/>
        <v>455.49138558575538</v>
      </c>
      <c r="CX90" s="62">
        <f t="shared" si="68"/>
        <v>748.8247189190887</v>
      </c>
      <c r="CY90" s="62">
        <f ca="1">AVERAGE(OFFSET($CX$3,0,0,'Données projet'!$E$13+1,1))-AVERAGE(OFFSET($H$3,0,0,'Données projet'!$E$13+1,1))</f>
        <v>354.24684313982857</v>
      </c>
      <c r="CZ90" s="62">
        <f t="shared" si="96"/>
        <v>322.65043486962185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26.773825580924296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26.773825580924296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8.2910000000000021</v>
      </c>
      <c r="N91" s="14">
        <f>IF('Données projet'!$A$36&gt;35,N90+M91-V90,IF(A91&lt;'Données projet'!$A$36,$K$205^A91,IF(A91='Données projet'!$A$36,'Données projet'!$B$36,N90+M91-V90)))</f>
        <v>297.04400000000027</v>
      </c>
      <c r="O91" s="14">
        <f>N91*VLOOKUP('Données projet'!$B$9,Paramètres!$A$1:$I$89,3,0)*VLOOKUP('Données projet'!$B$9,Paramètres!$A$1:$I$89,5,0)</f>
        <v>268.76541120000024</v>
      </c>
      <c r="P91" s="14">
        <f t="shared" si="87"/>
        <v>64.587188539623412</v>
      </c>
      <c r="Q91" s="22">
        <f t="shared" si="54"/>
        <v>580.58911121317794</v>
      </c>
      <c r="R91" s="62">
        <f t="shared" si="55"/>
        <v>873.92244454651131</v>
      </c>
      <c r="S91" s="62">
        <f ca="1">AVERAGE(OFFSET($R$3,0,0,'Données projet'!$E$9+1,1))-AVERAGE(OFFSET($H$3,0,0,'Données projet'!$E$9+1,1))</f>
        <v>581.88778927327667</v>
      </c>
      <c r="T91" s="62">
        <f t="shared" si="88"/>
        <v>269.67340993773422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25.185612555972138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25.185612555972138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286.8</v>
      </c>
      <c r="AJ91" s="14">
        <f>AI91*VLOOKUP('Données projet'!$B$10,Paramètres!$A$1:$I$89,3,0)*VLOOKUP('Données projet'!$B$10,Paramètres!$A$1:$I$89,5,0)</f>
        <v>272.91888</v>
      </c>
      <c r="AK91" s="14">
        <f t="shared" si="89"/>
        <v>65.468341098154568</v>
      </c>
      <c r="AL91" s="22">
        <f t="shared" si="58"/>
        <v>589.35774341261913</v>
      </c>
      <c r="AM91" s="62">
        <f t="shared" si="59"/>
        <v>882.69107674595239</v>
      </c>
      <c r="AN91" s="62">
        <f ca="1">AVERAGE(OFFSET($AM$3,0,0,'Données projet'!$E$10+1,1))-AVERAGE(OFFSET($H$3,0,0,'Données projet'!$E$10+1,1))</f>
        <v>444.81608506581125</v>
      </c>
      <c r="AO91" s="62">
        <f t="shared" si="90"/>
        <v>306.75289431725565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43.838216635751415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43.838216635751415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8.2910000000000021</v>
      </c>
      <c r="BD91" s="13">
        <f>IF('Données projet'!$A$88&gt;35,BD90+BC91-BL90,IF(A91&lt;'Données projet'!$A$88,$BA$205^A91,IF(A91='Données projet'!$A$88,'Données projet'!$B$88,BD90+BC91-BL90)))</f>
        <v>297.04400000000027</v>
      </c>
      <c r="BE91" s="14">
        <f>BD91*VLOOKUP('Données projet'!$B$11,Paramètres!$A$1:$I$89,3,0)*VLOOKUP('Données projet'!$B$11,Paramètres!$A$1:$I$89,5,0)</f>
        <v>319.7381616000003</v>
      </c>
      <c r="BF91" s="14">
        <f t="shared" si="91"/>
        <v>75.298870496271519</v>
      </c>
      <c r="BG91" s="22">
        <f t="shared" si="61"/>
        <v>688.02283090100661</v>
      </c>
      <c r="BH91" s="62">
        <f t="shared" si="62"/>
        <v>981.35616423433999</v>
      </c>
      <c r="BI91" s="62">
        <f ca="1">AVERAGE(OFFSET($BH$3,0,0,'Données projet'!$E$11+1,1))-AVERAGE(OFFSET($H$3,0,0,'Données projet'!$E$11+1,1))</f>
        <v>683.36974161977764</v>
      </c>
      <c r="BJ91" s="62">
        <f t="shared" si="92"/>
        <v>312.6921234697457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29.962194247622012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29.962194247622012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8.2910000000000021</v>
      </c>
      <c r="BY91" s="13">
        <f>IF('Données projet'!$A$114&gt;35,BY90+BX91-CG90,IF(A91&lt;'Données projet'!$A$114,$BV$205^A91,IF(A91='Données projet'!$A$114,'Données projet'!$B$114,BY90+BX91-CG90)))</f>
        <v>297.04400000000027</v>
      </c>
      <c r="BZ91" s="14">
        <f>BY91*VLOOKUP('Données projet'!$B$12,Paramètres!$A$1:$I$89,3,0)*VLOOKUP('Données projet'!$B$12,Paramètres!$A$1:$I$89,5,0)</f>
        <v>287.30095680000028</v>
      </c>
      <c r="CA91" s="14">
        <f t="shared" si="93"/>
        <v>68.507591901622632</v>
      </c>
      <c r="CB91" s="22">
        <f t="shared" si="64"/>
        <v>619.69988898865984</v>
      </c>
      <c r="CC91" s="62">
        <f t="shared" si="65"/>
        <v>913.03322232199321</v>
      </c>
      <c r="CD91" s="62">
        <f ca="1">AVERAGE(OFFSET($CC$3,0,0,'Données projet'!$E$12+1,1))-AVERAGE(OFFSET($H$3,0,0,'Données projet'!$E$12+1,1))</f>
        <v>618.83149423524605</v>
      </c>
      <c r="CE91" s="62">
        <f t="shared" si="94"/>
        <v>285.33582535802435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26.922551352935727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26.922551352935727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</v>
      </c>
      <c r="CT91" s="13">
        <f>IF('Données projet'!$A$140&gt;35,CT90+CS91-DB90,IF(A91&lt;'Données projet'!$A$140,$CQ$205^A91,IF(A91='Données projet'!$A$140,'Données projet'!$B$140,CT90+CS91-DB90)))</f>
        <v>243</v>
      </c>
      <c r="CU91" s="18">
        <f>CT91*VLOOKUP('Données projet'!$B$13,Paramètres!$A$1:$I$89,3,0)*VLOOKUP('Données projet'!$B$13,Paramètres!$A$1:$I$89,5,0)</f>
        <v>212.28480000000002</v>
      </c>
      <c r="CV91" s="14">
        <f t="shared" si="95"/>
        <v>52.434557099704193</v>
      </c>
      <c r="CW91" s="22">
        <f t="shared" si="67"/>
        <v>461.05288028198476</v>
      </c>
      <c r="CX91" s="62">
        <f t="shared" si="68"/>
        <v>754.38621361531807</v>
      </c>
      <c r="CY91" s="62">
        <f ca="1">AVERAGE(OFFSET($CX$3,0,0,'Données projet'!$E$13+1,1))-AVERAGE(OFFSET($H$3,0,0,'Données projet'!$E$13+1,1))</f>
        <v>354.24684313982857</v>
      </c>
      <c r="CZ91" s="62">
        <f t="shared" si="96"/>
        <v>322.65043486962185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26.248807191703481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26.248807191703481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8.2910000000000021</v>
      </c>
      <c r="N92" s="14">
        <f>IF('Données projet'!$A$36&gt;35,N91+M92-V91,IF(A92&lt;'Données projet'!$A$36,$K$205^A92,IF(A92='Données projet'!$A$36,'Données projet'!$B$36,N91+M92-V91)))</f>
        <v>305.33500000000026</v>
      </c>
      <c r="O92" s="14">
        <f>N92*VLOOKUP('Données projet'!$B$9,Paramètres!$A$1:$I$89,3,0)*VLOOKUP('Données projet'!$B$9,Paramètres!$A$1:$I$89,5,0)</f>
        <v>276.26710800000023</v>
      </c>
      <c r="P92" s="14">
        <f t="shared" si="87"/>
        <v>66.177526346547864</v>
      </c>
      <c r="Q92" s="22">
        <f t="shared" si="54"/>
        <v>596.42440482023801</v>
      </c>
      <c r="R92" s="62">
        <f t="shared" si="55"/>
        <v>889.75773815357138</v>
      </c>
      <c r="S92" s="62">
        <f ca="1">AVERAGE(OFFSET($R$3,0,0,'Données projet'!$E$9+1,1))-AVERAGE(OFFSET($H$3,0,0,'Données projet'!$E$9+1,1))</f>
        <v>581.88778927327667</v>
      </c>
      <c r="T92" s="62">
        <f t="shared" si="88"/>
        <v>269.67340993773422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24.691738055456341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24.691738055456341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293.40000000000003</v>
      </c>
      <c r="AJ92" s="14">
        <f>AI92*VLOOKUP('Données projet'!$B$10,Paramètres!$A$1:$I$89,3,0)*VLOOKUP('Données projet'!$B$10,Paramètres!$A$1:$I$89,5,0)</f>
        <v>279.19944000000004</v>
      </c>
      <c r="AK92" s="14">
        <f t="shared" si="89"/>
        <v>66.797799357600098</v>
      </c>
      <c r="AL92" s="22">
        <f t="shared" si="58"/>
        <v>602.61185854782025</v>
      </c>
      <c r="AM92" s="62">
        <f t="shared" si="59"/>
        <v>895.94519188115351</v>
      </c>
      <c r="AN92" s="62">
        <f ca="1">AVERAGE(OFFSET($AM$3,0,0,'Données projet'!$E$10+1,1))-AVERAGE(OFFSET($H$3,0,0,'Données projet'!$E$10+1,1))</f>
        <v>444.81608506581125</v>
      </c>
      <c r="AO92" s="62">
        <f t="shared" si="90"/>
        <v>306.75289431725565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42.978575946196251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42.978575946196251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8.2910000000000021</v>
      </c>
      <c r="BD92" s="13">
        <f>IF('Données projet'!$A$88&gt;35,BD91+BC92-BL91,IF(A92&lt;'Données projet'!$A$88,$BA$205^A92,IF(A92='Données projet'!$A$88,'Données projet'!$B$88,BD91+BC92-BL91)))</f>
        <v>305.33500000000026</v>
      </c>
      <c r="BE92" s="14">
        <f>BD92*VLOOKUP('Données projet'!$B$11,Paramètres!$A$1:$I$89,3,0)*VLOOKUP('Données projet'!$B$11,Paramètres!$A$1:$I$89,5,0)</f>
        <v>328.6625940000003</v>
      </c>
      <c r="BF92" s="14">
        <f t="shared" si="91"/>
        <v>77.152963285826345</v>
      </c>
      <c r="BG92" s="22">
        <f t="shared" si="61"/>
        <v>706.79542893948144</v>
      </c>
      <c r="BH92" s="62">
        <f t="shared" si="62"/>
        <v>1000.1287622728148</v>
      </c>
      <c r="BI92" s="62">
        <f ca="1">AVERAGE(OFFSET($BH$3,0,0,'Données projet'!$E$11+1,1))-AVERAGE(OFFSET($H$3,0,0,'Données projet'!$E$11+1,1))</f>
        <v>683.36974161977764</v>
      </c>
      <c r="BJ92" s="62">
        <f t="shared" si="92"/>
        <v>312.6921234697457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29.374653893560115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29.374653893560115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8.2910000000000021</v>
      </c>
      <c r="BY92" s="13">
        <f>IF('Données projet'!$A$114&gt;35,BY91+BX92-CG91,IF(A92&lt;'Données projet'!$A$114,$BV$205^A92,IF(A92='Données projet'!$A$114,'Données projet'!$B$114,BY91+BX92-CG91)))</f>
        <v>305.33500000000026</v>
      </c>
      <c r="BZ92" s="14">
        <f>BY92*VLOOKUP('Données projet'!$B$12,Paramètres!$A$1:$I$89,3,0)*VLOOKUP('Données projet'!$B$12,Paramètres!$A$1:$I$89,5,0)</f>
        <v>295.32001200000025</v>
      </c>
      <c r="CA92" s="14">
        <f t="shared" si="93"/>
        <v>70.194462253560403</v>
      </c>
      <c r="CB92" s="22">
        <f t="shared" si="64"/>
        <v>636.60437599161821</v>
      </c>
      <c r="CC92" s="62">
        <f t="shared" si="65"/>
        <v>929.93770932495158</v>
      </c>
      <c r="CD92" s="62">
        <f ca="1">AVERAGE(OFFSET($CC$3,0,0,'Données projet'!$E$12+1,1))-AVERAGE(OFFSET($H$3,0,0,'Données projet'!$E$12+1,1))</f>
        <v>618.83149423524605</v>
      </c>
      <c r="CE92" s="62">
        <f t="shared" si="94"/>
        <v>285.33582535802435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26.394616542039529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26.394616542039529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</v>
      </c>
      <c r="CT92" s="13">
        <f>IF('Données projet'!$A$140&gt;35,CT91+CS92-DB91,IF(A92&lt;'Données projet'!$A$140,$CQ$205^A92,IF(A92='Données projet'!$A$140,'Données projet'!$B$140,CT91+CS92-DB91)))</f>
        <v>246</v>
      </c>
      <c r="CU92" s="18">
        <f>CT92*VLOOKUP('Données projet'!$B$13,Paramètres!$A$1:$I$89,3,0)*VLOOKUP('Données projet'!$B$13,Paramètres!$A$1:$I$89,5,0)</f>
        <v>214.90560000000005</v>
      </c>
      <c r="CV92" s="14">
        <f t="shared" si="95"/>
        <v>53.006137800892326</v>
      </c>
      <c r="CW92" s="22">
        <f t="shared" si="67"/>
        <v>466.61294333655422</v>
      </c>
      <c r="CX92" s="62">
        <f t="shared" si="68"/>
        <v>759.94627666988754</v>
      </c>
      <c r="CY92" s="62">
        <f ca="1">AVERAGE(OFFSET($CX$3,0,0,'Données projet'!$E$13+1,1))-AVERAGE(OFFSET($H$3,0,0,'Données projet'!$E$13+1,1))</f>
        <v>354.24684313982857</v>
      </c>
      <c r="CZ92" s="62">
        <f t="shared" si="96"/>
        <v>322.65043486962185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25.734084092865686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25.734084092865686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8.2910000000000021</v>
      </c>
      <c r="N93" s="14">
        <f>IF('Données projet'!$A$36&gt;35,N92+M93-V92,IF(A93&lt;'Données projet'!$A$36,$K$205^A93,IF(A93='Données projet'!$A$36,'Données projet'!$B$36,N92+M93-V92)))</f>
        <v>313.62600000000026</v>
      </c>
      <c r="O93" s="14">
        <f>N93*VLOOKUP('Données projet'!$B$9,Paramètres!$A$1:$I$89,3,0)*VLOOKUP('Données projet'!$B$9,Paramètres!$A$1:$I$89,5,0)</f>
        <v>283.76880480000023</v>
      </c>
      <c r="P93" s="14">
        <f t="shared" si="87"/>
        <v>67.762844856024827</v>
      </c>
      <c r="Q93" s="22">
        <f t="shared" si="54"/>
        <v>612.2509564842436</v>
      </c>
      <c r="R93" s="62">
        <f t="shared" si="55"/>
        <v>905.58428981757697</v>
      </c>
      <c r="S93" s="62">
        <f ca="1">AVERAGE(OFFSET($R$3,0,0,'Données projet'!$E$9+1,1))-AVERAGE(OFFSET($H$3,0,0,'Données projet'!$E$9+1,1))</f>
        <v>581.88778927327667</v>
      </c>
      <c r="T93" s="62">
        <f t="shared" si="88"/>
        <v>269.67340993773422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24.207548132661959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24.207548132661959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300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300.00000000000006</v>
      </c>
      <c r="AJ93" s="14">
        <f>AI93*VLOOKUP('Données projet'!$B$10,Paramètres!$A$1:$I$89,3,0)*VLOOKUP('Données projet'!$B$10,Paramètres!$A$1:$I$89,5,0)</f>
        <v>285.48000000000008</v>
      </c>
      <c r="AK93" s="14">
        <f t="shared" si="89"/>
        <v>68.123780800530767</v>
      </c>
      <c r="AL93" s="22">
        <f t="shared" si="58"/>
        <v>615.85991822759115</v>
      </c>
      <c r="AM93" s="62">
        <f t="shared" si="59"/>
        <v>909.19325156092441</v>
      </c>
      <c r="AN93" s="62">
        <f ca="1">AVERAGE(OFFSET($AM$3,0,0,'Données projet'!$E$10+1,1))-AVERAGE(OFFSET($H$3,0,0,'Données projet'!$E$10+1,1))</f>
        <v>444.81608506581125</v>
      </c>
      <c r="AO93" s="62">
        <f t="shared" si="90"/>
        <v>306.75289431725565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30</v>
      </c>
      <c r="AR93" s="17">
        <f>IF(ISNA(VLOOKUP(A93,'Données projet'!$A$61:$I$81,5,0)),0%,VLOOKUP(A93,'Données projet'!$A$61:$I$81,5,0)*VLOOKUP('Données projet'!$B$10,Paramètres!$A$1:$I$89,7,0))</f>
        <v>0.30099999999999999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51.635041773101122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51.635041773101122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8.2910000000000021</v>
      </c>
      <c r="BD93" s="13">
        <f>IF('Données projet'!$A$88&gt;35,BD92+BC93-BL92,IF(A93&lt;'Données projet'!$A$88,$BA$205^A93,IF(A93='Données projet'!$A$88,'Données projet'!$B$88,BD92+BC93-BL92)))</f>
        <v>313.62600000000026</v>
      </c>
      <c r="BE93" s="14">
        <f>BD93*VLOOKUP('Données projet'!$B$11,Paramètres!$A$1:$I$89,3,0)*VLOOKUP('Données projet'!$B$11,Paramètres!$A$1:$I$89,5,0)</f>
        <v>337.5870264000003</v>
      </c>
      <c r="BF93" s="14">
        <f t="shared" si="91"/>
        <v>79.001204335476828</v>
      </c>
      <c r="BG93" s="22">
        <f t="shared" si="61"/>
        <v>725.55783519762269</v>
      </c>
      <c r="BH93" s="62">
        <f t="shared" si="62"/>
        <v>1018.8911685309561</v>
      </c>
      <c r="BI93" s="62">
        <f ca="1">AVERAGE(OFFSET($BH$3,0,0,'Données projet'!$E$11+1,1))-AVERAGE(OFFSET($H$3,0,0,'Données projet'!$E$11+1,1))</f>
        <v>683.36974161977764</v>
      </c>
      <c r="BJ93" s="62">
        <f t="shared" si="92"/>
        <v>312.6921234697457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28.798634847477143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28.798634847477143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8.2910000000000021</v>
      </c>
      <c r="BY93" s="13">
        <f>IF('Données projet'!$A$114&gt;35,BY92+BX93-CG92,IF(A93&lt;'Données projet'!$A$114,$BV$205^A93,IF(A93='Données projet'!$A$114,'Données projet'!$B$114,BY92+BX93-CG92)))</f>
        <v>313.62600000000026</v>
      </c>
      <c r="BZ93" s="14">
        <f>BY93*VLOOKUP('Données projet'!$B$12,Paramètres!$A$1:$I$89,3,0)*VLOOKUP('Données projet'!$B$12,Paramètres!$A$1:$I$89,5,0)</f>
        <v>303.33906720000027</v>
      </c>
      <c r="CA93" s="14">
        <f t="shared" si="93"/>
        <v>71.876008639724958</v>
      </c>
      <c r="CB93" s="22">
        <f t="shared" si="64"/>
        <v>653.4995904208547</v>
      </c>
      <c r="CC93" s="62">
        <f t="shared" si="65"/>
        <v>946.83292375418796</v>
      </c>
      <c r="CD93" s="62">
        <f ca="1">AVERAGE(OFFSET($CC$3,0,0,'Données projet'!$E$12+1,1))-AVERAGE(OFFSET($H$3,0,0,'Données projet'!$E$12+1,1))</f>
        <v>618.83149423524605</v>
      </c>
      <c r="CE93" s="62">
        <f t="shared" si="94"/>
        <v>285.33582535802435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25.877034210776568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25.877034210776568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249</v>
      </c>
      <c r="CR93" s="13">
        <f>VLOOKUP(A93,'Données projet'!$A$139:$I$159,9,0)</f>
        <v>3</v>
      </c>
      <c r="CS93" s="13">
        <f t="array" ref="CS93">INDEX(CR:CR,MIN(IF(ISNUMBER(CR93:CR289),ROW(CR93:CR289),"")))</f>
        <v>3</v>
      </c>
      <c r="CT93" s="13">
        <f>IF('Données projet'!$A$140&gt;35,CT92+CS93-DB92,IF(A93&lt;'Données projet'!$A$140,$CQ$205^A93,IF(A93='Données projet'!$A$140,'Données projet'!$B$140,CT92+CS93-DB92)))</f>
        <v>249</v>
      </c>
      <c r="CU93" s="18">
        <f>CT93*VLOOKUP('Données projet'!$B$13,Paramètres!$A$1:$I$89,3,0)*VLOOKUP('Données projet'!$B$13,Paramètres!$A$1:$I$89,5,0)</f>
        <v>217.52640000000005</v>
      </c>
      <c r="CV93" s="14">
        <f t="shared" si="95"/>
        <v>53.576907690651254</v>
      </c>
      <c r="CW93" s="22">
        <f t="shared" si="67"/>
        <v>472.17159422788433</v>
      </c>
      <c r="CX93" s="62">
        <f t="shared" si="68"/>
        <v>765.50492756121764</v>
      </c>
      <c r="CY93" s="62">
        <f ca="1">AVERAGE(OFFSET($CX$3,0,0,'Données projet'!$E$13+1,1))-AVERAGE(OFFSET($H$3,0,0,'Données projet'!$E$13+1,1))</f>
        <v>354.24684313982857</v>
      </c>
      <c r="CZ93" s="62">
        <f t="shared" si="96"/>
        <v>322.65043486962185</v>
      </c>
      <c r="DA93" s="16">
        <f>IF(ISNA(VLOOKUP(A93,'Données projet'!$A$139:$I$159,3,0)),0,VLOOKUP(A93,'Données projet'!$A$139:$I$159,3,0))</f>
        <v>17</v>
      </c>
      <c r="DB93" s="16">
        <f>IF(ISNA(VLOOKUP(A93,'Données projet'!$A$139:$I$159,4,0)),0,VLOOKUP(A93,'Données projet'!$A$139:$I$159,4,0))</f>
        <v>12</v>
      </c>
      <c r="DC93" s="17">
        <f>IF(ISNA(VLOOKUP(A93,'Données projet'!$A$139:$I$159,5,0)),0%,VLOOKUP(A93,'Données projet'!$A$139:$I$159,5,0)*VLOOKUP('Données projet'!$B$13,Paramètres!$A$1:$I$89,7,0))</f>
        <v>0.34400000000000003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29.216024676501632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29.216024676501632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8.2910000000000021</v>
      </c>
      <c r="N94" s="14">
        <f>IF('Données projet'!$A$36&gt;35,N93+M94-V93,IF(A94&lt;'Données projet'!$A$36,$K$205^A94,IF(A94='Données projet'!$A$36,'Données projet'!$B$36,N93+M94-V93)))</f>
        <v>321.91700000000026</v>
      </c>
      <c r="O94" s="14">
        <f>N94*VLOOKUP('Données projet'!$B$9,Paramètres!$A$1:$I$89,3,0)*VLOOKUP('Données projet'!$B$9,Paramètres!$A$1:$I$89,5,0)</f>
        <v>291.27050160000022</v>
      </c>
      <c r="P94" s="14">
        <f t="shared" si="87"/>
        <v>69.343292010233441</v>
      </c>
      <c r="Q94" s="22">
        <f t="shared" si="54"/>
        <v>628.0690238711569</v>
      </c>
      <c r="R94" s="62">
        <f t="shared" si="55"/>
        <v>921.40235720449027</v>
      </c>
      <c r="S94" s="62">
        <f ca="1">AVERAGE(OFFSET($R$3,0,0,'Données projet'!$E$9+1,1))-AVERAGE(OFFSET($H$3,0,0,'Données projet'!$E$9+1,1))</f>
        <v>581.88778927327667</v>
      </c>
      <c r="T94" s="62">
        <f t="shared" si="88"/>
        <v>269.67340993773422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23.732852878926881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23.732852878926881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6.6</v>
      </c>
      <c r="AI94" s="14">
        <f>IF('Données projet'!$A$62&gt;35,AI93+AH94-AQ93,IF(A94&lt;'Données projet'!$A$62,$AF$205^A94,IF(A94='Données projet'!$A$62,'Données projet'!$B$62,AI93+AH94-AQ93)))</f>
        <v>276.60000000000008</v>
      </c>
      <c r="AJ94" s="14">
        <f>AI94*VLOOKUP('Données projet'!$B$10,Paramètres!$A$1:$I$89,3,0)*VLOOKUP('Données projet'!$B$10,Paramètres!$A$1:$I$89,5,0)</f>
        <v>263.21256000000011</v>
      </c>
      <c r="AK94" s="14">
        <f t="shared" si="89"/>
        <v>63.406675731103896</v>
      </c>
      <c r="AL94" s="22">
        <f t="shared" si="58"/>
        <v>568.86183556500612</v>
      </c>
      <c r="AM94" s="62">
        <f t="shared" si="59"/>
        <v>862.19516889833949</v>
      </c>
      <c r="AN94" s="62">
        <f ca="1">AVERAGE(OFFSET($AM$3,0,0,'Données projet'!$E$10+1,1))-AVERAGE(OFFSET($H$3,0,0,'Données projet'!$E$10+1,1))</f>
        <v>444.81608506581125</v>
      </c>
      <c r="AO94" s="62">
        <f t="shared" si="90"/>
        <v>306.75289431725565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50.622510098196287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50.622510098196287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8.2910000000000021</v>
      </c>
      <c r="BD94" s="13">
        <f>IF('Données projet'!$A$88&gt;35,BD93+BC94-BL93,IF(A94&lt;'Données projet'!$A$88,$BA$205^A94,IF(A94='Données projet'!$A$88,'Données projet'!$B$88,BD93+BC94-BL93)))</f>
        <v>321.91700000000026</v>
      </c>
      <c r="BE94" s="14">
        <f>BD94*VLOOKUP('Données projet'!$B$11,Paramètres!$A$1:$I$89,3,0)*VLOOKUP('Données projet'!$B$11,Paramètres!$A$1:$I$89,5,0)</f>
        <v>346.51145880000024</v>
      </c>
      <c r="BF94" s="14">
        <f t="shared" si="91"/>
        <v>80.843766123376099</v>
      </c>
      <c r="BG94" s="22">
        <f t="shared" si="61"/>
        <v>744.31035007488038</v>
      </c>
      <c r="BH94" s="62">
        <f t="shared" si="62"/>
        <v>1037.6436834082137</v>
      </c>
      <c r="BI94" s="62">
        <f ca="1">AVERAGE(OFFSET($BH$3,0,0,'Données projet'!$E$11+1,1))-AVERAGE(OFFSET($H$3,0,0,'Données projet'!$E$11+1,1))</f>
        <v>683.36974161977764</v>
      </c>
      <c r="BJ94" s="62">
        <f t="shared" si="92"/>
        <v>312.6921234697457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28.23391118355093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28.23391118355093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8.2910000000000021</v>
      </c>
      <c r="BY94" s="13">
        <f>IF('Données projet'!$A$114&gt;35,BY93+BX94-CG93,IF(A94&lt;'Données projet'!$A$114,$BV$205^A94,IF(A94='Données projet'!$A$114,'Données projet'!$B$114,BY93+BX94-CG93)))</f>
        <v>321.91700000000026</v>
      </c>
      <c r="BZ94" s="14">
        <f>BY94*VLOOKUP('Données projet'!$B$12,Paramètres!$A$1:$I$89,3,0)*VLOOKUP('Données projet'!$B$12,Paramètres!$A$1:$I$89,5,0)</f>
        <v>311.35812240000024</v>
      </c>
      <c r="CA94" s="14">
        <f t="shared" si="93"/>
        <v>73.552387982296665</v>
      </c>
      <c r="CB94" s="22">
        <f t="shared" si="64"/>
        <v>670.38580558250044</v>
      </c>
      <c r="CC94" s="62">
        <f t="shared" si="65"/>
        <v>963.71913891583381</v>
      </c>
      <c r="CD94" s="62">
        <f ca="1">AVERAGE(OFFSET($CC$3,0,0,'Données projet'!$E$12+1,1))-AVERAGE(OFFSET($H$3,0,0,'Données projet'!$E$12+1,1))</f>
        <v>618.83149423524605</v>
      </c>
      <c r="CE94" s="62">
        <f t="shared" si="94"/>
        <v>285.33582535802435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25.369601353335625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25.369601353335625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</v>
      </c>
      <c r="CT94" s="13">
        <f>IF('Données projet'!$A$140&gt;35,CT93+CS94-DB93,IF(A94&lt;'Données projet'!$A$140,$CQ$205^A94,IF(A94='Données projet'!$A$140,'Données projet'!$B$140,CT93+CS94-DB93)))</f>
        <v>240</v>
      </c>
      <c r="CU94" s="18">
        <f>CT94*VLOOKUP('Données projet'!$B$13,Paramètres!$A$1:$I$89,3,0)*VLOOKUP('Données projet'!$B$13,Paramètres!$A$1:$I$89,5,0)</f>
        <v>209.66400000000002</v>
      </c>
      <c r="CV94" s="14">
        <f t="shared" si="95"/>
        <v>51.862154403304537</v>
      </c>
      <c r="CW94" s="22">
        <f t="shared" si="67"/>
        <v>455.49138558575538</v>
      </c>
      <c r="CX94" s="62">
        <f t="shared" si="68"/>
        <v>748.8247189190887</v>
      </c>
      <c r="CY94" s="62">
        <f ca="1">AVERAGE(OFFSET($CX$3,0,0,'Données projet'!$E$13+1,1))-AVERAGE(OFFSET($H$3,0,0,'Données projet'!$E$13+1,1))</f>
        <v>354.24684313982857</v>
      </c>
      <c r="CZ94" s="62">
        <f t="shared" si="96"/>
        <v>322.65043486962185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28.643116252610909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28.643116252610909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8.2910000000000021</v>
      </c>
      <c r="N95" s="14">
        <f>IF('Données projet'!$A$36&gt;35,N94+M95-V94,IF(A95&lt;'Données projet'!$A$36,$K$205^A95,IF(A95='Données projet'!$A$36,'Données projet'!$B$36,N94+M95-V94)))</f>
        <v>330.20800000000025</v>
      </c>
      <c r="O95" s="14">
        <f>N95*VLOOKUP('Données projet'!$B$9,Paramètres!$A$1:$I$89,3,0)*VLOOKUP('Données projet'!$B$9,Paramètres!$A$1:$I$89,5,0)</f>
        <v>298.77219840000021</v>
      </c>
      <c r="P95" s="14">
        <f t="shared" si="87"/>
        <v>70.919007696700163</v>
      </c>
      <c r="Q95" s="22">
        <f t="shared" si="54"/>
        <v>643.87885061841985</v>
      </c>
      <c r="R95" s="62">
        <f t="shared" si="55"/>
        <v>937.2121839517531</v>
      </c>
      <c r="S95" s="62">
        <f ca="1">AVERAGE(OFFSET($R$3,0,0,'Données projet'!$E$9+1,1))-AVERAGE(OFFSET($H$3,0,0,'Données projet'!$E$9+1,1))</f>
        <v>581.88778927327667</v>
      </c>
      <c r="T95" s="62">
        <f t="shared" si="88"/>
        <v>269.67340993773422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23.267466109582035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23.267466109582035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6.6</v>
      </c>
      <c r="AI95" s="14">
        <f>IF('Données projet'!$A$62&gt;35,AI94+AH95-AQ94,IF(A95&lt;'Données projet'!$A$62,$AF$205^A95,IF(A95='Données projet'!$A$62,'Données projet'!$B$62,AI94+AH95-AQ94)))</f>
        <v>283.2000000000001</v>
      </c>
      <c r="AJ95" s="14">
        <f>AI95*VLOOKUP('Données projet'!$B$10,Paramètres!$A$1:$I$89,3,0)*VLOOKUP('Données projet'!$B$10,Paramètres!$A$1:$I$89,5,0)</f>
        <v>269.49312000000009</v>
      </c>
      <c r="AK95" s="14">
        <f t="shared" si="89"/>
        <v>64.741684797344206</v>
      </c>
      <c r="AL95" s="22">
        <f t="shared" si="58"/>
        <v>582.12561835537451</v>
      </c>
      <c r="AM95" s="62">
        <f t="shared" si="59"/>
        <v>875.45895168870788</v>
      </c>
      <c r="AN95" s="62">
        <f ca="1">AVERAGE(OFFSET($AM$3,0,0,'Données projet'!$E$10+1,1))-AVERAGE(OFFSET($H$3,0,0,'Données projet'!$E$10+1,1))</f>
        <v>444.81608506581125</v>
      </c>
      <c r="AO95" s="62">
        <f t="shared" si="90"/>
        <v>306.75289431725565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49.629833551852997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49.629833551852997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8.2910000000000021</v>
      </c>
      <c r="BD95" s="13">
        <f>IF('Données projet'!$A$88&gt;35,BD94+BC95-BL94,IF(A95&lt;'Données projet'!$A$88,$BA$205^A95,IF(A95='Données projet'!$A$88,'Données projet'!$B$88,BD94+BC95-BL94)))</f>
        <v>330.20800000000025</v>
      </c>
      <c r="BE95" s="14">
        <f>BD95*VLOOKUP('Données projet'!$B$11,Paramètres!$A$1:$I$89,3,0)*VLOOKUP('Données projet'!$B$11,Paramètres!$A$1:$I$89,5,0)</f>
        <v>355.43589120000024</v>
      </c>
      <c r="BF95" s="14">
        <f t="shared" si="91"/>
        <v>82.68081173717313</v>
      </c>
      <c r="BG95" s="22">
        <f t="shared" si="61"/>
        <v>763.05325761557697</v>
      </c>
      <c r="BH95" s="62">
        <f t="shared" si="62"/>
        <v>1056.3865909489102</v>
      </c>
      <c r="BI95" s="62">
        <f ca="1">AVERAGE(OFFSET($BH$3,0,0,'Données projet'!$E$11+1,1))-AVERAGE(OFFSET($H$3,0,0,'Données projet'!$E$11+1,1))</f>
        <v>683.36974161977764</v>
      </c>
      <c r="BJ95" s="62">
        <f t="shared" si="92"/>
        <v>312.6921234697457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27.680261406226887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27.680261406226887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8.2910000000000021</v>
      </c>
      <c r="BY95" s="13">
        <f>IF('Données projet'!$A$114&gt;35,BY94+BX95-CG94,IF(A95&lt;'Données projet'!$A$114,$BV$205^A95,IF(A95='Données projet'!$A$114,'Données projet'!$B$114,BY94+BX95-CG94)))</f>
        <v>330.20800000000025</v>
      </c>
      <c r="BZ95" s="14">
        <f>BY95*VLOOKUP('Données projet'!$B$12,Paramètres!$A$1:$I$89,3,0)*VLOOKUP('Données projet'!$B$12,Paramètres!$A$1:$I$89,5,0)</f>
        <v>319.37717760000021</v>
      </c>
      <c r="CA95" s="14">
        <f t="shared" si="93"/>
        <v>75.223748659890148</v>
      </c>
      <c r="CB95" s="22">
        <f t="shared" si="64"/>
        <v>687.26327990264235</v>
      </c>
      <c r="CC95" s="62">
        <f t="shared" si="65"/>
        <v>980.59661323597561</v>
      </c>
      <c r="CD95" s="62">
        <f ca="1">AVERAGE(OFFSET($CC$3,0,0,'Données projet'!$E$12+1,1))-AVERAGE(OFFSET($H$3,0,0,'Données projet'!$E$12+1,1))</f>
        <v>618.83149423524605</v>
      </c>
      <c r="CE95" s="62">
        <f t="shared" si="94"/>
        <v>285.33582535802435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24.872118944725614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24.872118944725614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</v>
      </c>
      <c r="CT95" s="13">
        <f>IF('Données projet'!$A$140&gt;35,CT94+CS95-DB94,IF(A95&lt;'Données projet'!$A$140,$CQ$205^A95,IF(A95='Données projet'!$A$140,'Données projet'!$B$140,CT94+CS95-DB94)))</f>
        <v>243</v>
      </c>
      <c r="CU95" s="18">
        <f>CT95*VLOOKUP('Données projet'!$B$13,Paramètres!$A$1:$I$89,3,0)*VLOOKUP('Données projet'!$B$13,Paramètres!$A$1:$I$89,5,0)</f>
        <v>212.28480000000002</v>
      </c>
      <c r="CV95" s="14">
        <f t="shared" si="95"/>
        <v>52.434557099704193</v>
      </c>
      <c r="CW95" s="22">
        <f t="shared" si="67"/>
        <v>461.05288028198476</v>
      </c>
      <c r="CX95" s="62">
        <f t="shared" si="68"/>
        <v>754.38621361531807</v>
      </c>
      <c r="CY95" s="62">
        <f ca="1">AVERAGE(OFFSET($CX$3,0,0,'Données projet'!$E$13+1,1))-AVERAGE(OFFSET($H$3,0,0,'Données projet'!$E$13+1,1))</f>
        <v>354.24684313982857</v>
      </c>
      <c r="CZ95" s="62">
        <f t="shared" si="96"/>
        <v>322.65043486962185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28.081442213473046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28.081442213473046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8.2910000000000021</v>
      </c>
      <c r="N96" s="14">
        <f>IF('Données projet'!$A$36&gt;35,N95+M96-V95,IF(A96&lt;'Données projet'!$A$36,$K$205^A96,IF(A96='Données projet'!$A$36,'Données projet'!$B$36,N95+M96-V95)))</f>
        <v>338.49900000000025</v>
      </c>
      <c r="O96" s="14">
        <f>N96*VLOOKUP('Données projet'!$B$9,Paramètres!$A$1:$I$89,3,0)*VLOOKUP('Données projet'!$B$9,Paramètres!$A$1:$I$89,5,0)</f>
        <v>306.27389520000025</v>
      </c>
      <c r="P96" s="14">
        <f t="shared" si="87"/>
        <v>72.490124377904692</v>
      </c>
      <c r="Q96" s="22">
        <f t="shared" si="54"/>
        <v>659.68066743151769</v>
      </c>
      <c r="R96" s="62">
        <f t="shared" si="55"/>
        <v>953.01400076485106</v>
      </c>
      <c r="S96" s="62">
        <f ca="1">AVERAGE(OFFSET($R$3,0,0,'Données projet'!$E$9+1,1))-AVERAGE(OFFSET($H$3,0,0,'Données projet'!$E$9+1,1))</f>
        <v>581.88778927327667</v>
      </c>
      <c r="T96" s="62">
        <f t="shared" si="88"/>
        <v>269.67340993773422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22.811205290926139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22.811205290926139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6.6</v>
      </c>
      <c r="AI96" s="14">
        <f>IF('Données projet'!$A$62&gt;35,AI95+AH96-AQ95,IF(A96&lt;'Données projet'!$A$62,$AF$205^A96,IF(A96='Données projet'!$A$62,'Données projet'!$B$62,AI95+AH96-AQ95)))</f>
        <v>289.80000000000013</v>
      </c>
      <c r="AJ96" s="14">
        <f>AI96*VLOOKUP('Données projet'!$B$10,Paramètres!$A$1:$I$89,3,0)*VLOOKUP('Données projet'!$B$10,Paramètres!$A$1:$I$89,5,0)</f>
        <v>275.77368000000013</v>
      </c>
      <c r="AK96" s="14">
        <f t="shared" si="89"/>
        <v>66.07307693020887</v>
      </c>
      <c r="AL96" s="22">
        <f t="shared" si="58"/>
        <v>595.38310165344728</v>
      </c>
      <c r="AM96" s="62">
        <f t="shared" si="59"/>
        <v>888.71643498678054</v>
      </c>
      <c r="AN96" s="62">
        <f ca="1">AVERAGE(OFFSET($AM$3,0,0,'Données projet'!$E$10+1,1))-AVERAGE(OFFSET($H$3,0,0,'Données projet'!$E$10+1,1))</f>
        <v>444.81608506581125</v>
      </c>
      <c r="AO96" s="62">
        <f t="shared" si="90"/>
        <v>306.75289431725565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48.656622787110592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48.656622787110592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8.2910000000000021</v>
      </c>
      <c r="BD96" s="13">
        <f>IF('Données projet'!$A$88&gt;35,BD95+BC96-BL95,IF(A96&lt;'Données projet'!$A$88,$BA$205^A96,IF(A96='Données projet'!$A$88,'Données projet'!$B$88,BD95+BC96-BL95)))</f>
        <v>338.49900000000025</v>
      </c>
      <c r="BE96" s="14">
        <f>BD96*VLOOKUP('Données projet'!$B$11,Paramètres!$A$1:$I$89,3,0)*VLOOKUP('Données projet'!$B$11,Paramètres!$A$1:$I$89,5,0)</f>
        <v>364.36032360000024</v>
      </c>
      <c r="BF96" s="14">
        <f t="shared" si="91"/>
        <v>84.512495608038222</v>
      </c>
      <c r="BG96" s="22">
        <f t="shared" si="61"/>
        <v>781.78682678733367</v>
      </c>
      <c r="BH96" s="62">
        <f t="shared" si="62"/>
        <v>1075.1201601206669</v>
      </c>
      <c r="BI96" s="62">
        <f ca="1">AVERAGE(OFFSET($BH$3,0,0,'Données projet'!$E$11+1,1))-AVERAGE(OFFSET($H$3,0,0,'Données projet'!$E$11+1,1))</f>
        <v>683.36974161977764</v>
      </c>
      <c r="BJ96" s="62">
        <f t="shared" si="92"/>
        <v>312.6921234697457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27.137468363343149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27.137468363343149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8.2910000000000021</v>
      </c>
      <c r="BY96" s="13">
        <f>IF('Données projet'!$A$114&gt;35,BY95+BX96-CG95,IF(A96&lt;'Données projet'!$A$114,$BV$205^A96,IF(A96='Données projet'!$A$114,'Données projet'!$B$114,BY95+BX96-CG95)))</f>
        <v>338.49900000000025</v>
      </c>
      <c r="BZ96" s="14">
        <f>BY96*VLOOKUP('Données projet'!$B$12,Paramètres!$A$1:$I$89,3,0)*VLOOKUP('Données projet'!$B$12,Paramètres!$A$1:$I$89,5,0)</f>
        <v>327.39623280000023</v>
      </c>
      <c r="CA96" s="14">
        <f t="shared" si="93"/>
        <v>76.890231175377878</v>
      </c>
      <c r="CB96" s="22">
        <f t="shared" si="64"/>
        <v>704.13225809045025</v>
      </c>
      <c r="CC96" s="62">
        <f t="shared" si="65"/>
        <v>997.46559142378351</v>
      </c>
      <c r="CD96" s="62">
        <f ca="1">AVERAGE(OFFSET($CC$3,0,0,'Données projet'!$E$12+1,1))-AVERAGE(OFFSET($H$3,0,0,'Données projet'!$E$12+1,1))</f>
        <v>618.83149423524605</v>
      </c>
      <c r="CE96" s="62">
        <f t="shared" si="94"/>
        <v>285.33582535802435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24.384391862714139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24.384391862714139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</v>
      </c>
      <c r="CT96" s="13">
        <f>IF('Données projet'!$A$140&gt;35,CT95+CS96-DB95,IF(A96&lt;'Données projet'!$A$140,$CQ$205^A96,IF(A96='Données projet'!$A$140,'Données projet'!$B$140,CT95+CS96-DB95)))</f>
        <v>246</v>
      </c>
      <c r="CU96" s="18">
        <f>CT96*VLOOKUP('Données projet'!$B$13,Paramètres!$A$1:$I$89,3,0)*VLOOKUP('Données projet'!$B$13,Paramètres!$A$1:$I$89,5,0)</f>
        <v>214.90560000000005</v>
      </c>
      <c r="CV96" s="14">
        <f t="shared" si="95"/>
        <v>53.006137800892326</v>
      </c>
      <c r="CW96" s="22">
        <f t="shared" si="67"/>
        <v>466.61294333655422</v>
      </c>
      <c r="CX96" s="62">
        <f t="shared" si="68"/>
        <v>759.94627666988754</v>
      </c>
      <c r="CY96" s="62">
        <f ca="1">AVERAGE(OFFSET($CX$3,0,0,'Données projet'!$E$13+1,1))-AVERAGE(OFFSET($H$3,0,0,'Données projet'!$E$13+1,1))</f>
        <v>354.24684313982857</v>
      </c>
      <c r="CZ96" s="62">
        <f t="shared" si="96"/>
        <v>322.65043486962185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27.530782259655343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27.530782259655343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8.2910000000000021</v>
      </c>
      <c r="M97" s="13">
        <f t="array" ref="M97">INDEX(L:L,MIN(IF(ISNUMBER(L97:L293),ROW(L97:L293),"")))</f>
        <v>8.2910000000000021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313.77559200000019</v>
      </c>
      <c r="P97" s="14">
        <f t="shared" si="87"/>
        <v>74.056767657464533</v>
      </c>
      <c r="Q97" s="22">
        <f t="shared" si="54"/>
        <v>675.47469307008441</v>
      </c>
      <c r="R97" s="62">
        <f t="shared" si="55"/>
        <v>968.80802640341767</v>
      </c>
      <c r="S97" s="62">
        <f ca="1">AVERAGE(OFFSET($R$3,0,0,'Données projet'!$E$9+1,1))-AVERAGE(OFFSET($H$3,0,0,'Données projet'!$E$9+1,1))</f>
        <v>581.88778927327667</v>
      </c>
      <c r="T97" s="62">
        <f t="shared" si="88"/>
        <v>269.67340993773422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0.215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35.664694624072609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35.664694624072609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6.6</v>
      </c>
      <c r="AI97" s="14">
        <f>IF('Données projet'!$A$62&gt;35,AI96+AH97-AQ96,IF(A97&lt;'Données projet'!$A$62,$AF$205^A97,IF(A97='Données projet'!$A$62,'Données projet'!$B$62,AI96+AH97-AQ96)))</f>
        <v>296.40000000000015</v>
      </c>
      <c r="AJ97" s="14">
        <f>AI97*VLOOKUP('Données projet'!$B$10,Paramètres!$A$1:$I$89,3,0)*VLOOKUP('Données projet'!$B$10,Paramètres!$A$1:$I$89,5,0)</f>
        <v>282.05424000000016</v>
      </c>
      <c r="AK97" s="14">
        <f t="shared" si="89"/>
        <v>67.400943985427659</v>
      </c>
      <c r="AL97" s="22">
        <f t="shared" si="58"/>
        <v>608.63444544128674</v>
      </c>
      <c r="AM97" s="62">
        <f t="shared" si="59"/>
        <v>901.96777877462</v>
      </c>
      <c r="AN97" s="62">
        <f ca="1">AVERAGE(OFFSET($AM$3,0,0,'Données projet'!$E$10+1,1))-AVERAGE(OFFSET($H$3,0,0,'Données projet'!$E$10+1,1))</f>
        <v>444.81608506581125</v>
      </c>
      <c r="AO97" s="62">
        <f t="shared" si="90"/>
        <v>306.75289431725565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47.70249609186483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47.70249609186483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346.79</v>
      </c>
      <c r="BB97" s="13">
        <f>VLOOKUP(A97,'Données projet'!$A$87:$I$107,9,0)</f>
        <v>8.2910000000000021</v>
      </c>
      <c r="BC97" s="13">
        <f t="array" ref="BC97">INDEX(BB:BB,MIN(IF(ISNUMBER(BB97:BB293),ROW(BB97:BB293),"")))</f>
        <v>8.2910000000000021</v>
      </c>
      <c r="BD97" s="13">
        <f>IF('Données projet'!$A$88&gt;35,BD96+BC97-BL96,IF(A97&lt;'Données projet'!$A$88,$BA$205^A97,IF(A97='Données projet'!$A$88,'Données projet'!$B$88,BD96+BC97-BL96)))</f>
        <v>346.79000000000025</v>
      </c>
      <c r="BE97" s="14">
        <f>BD97*VLOOKUP('Données projet'!$B$11,Paramètres!$A$1:$I$89,3,0)*VLOOKUP('Données projet'!$B$11,Paramètres!$A$1:$I$89,5,0)</f>
        <v>373.28475600000024</v>
      </c>
      <c r="BF97" s="14">
        <f t="shared" si="91"/>
        <v>86.338964170748</v>
      </c>
      <c r="BG97" s="22">
        <f t="shared" si="61"/>
        <v>800.51131263071977</v>
      </c>
      <c r="BH97" s="62">
        <f t="shared" si="62"/>
        <v>1093.8446459640531</v>
      </c>
      <c r="BI97" s="62">
        <f ca="1">AVERAGE(OFFSET($BH$3,0,0,'Données projet'!$E$11+1,1))-AVERAGE(OFFSET($H$3,0,0,'Données projet'!$E$11+1,1))</f>
        <v>683.36974161977764</v>
      </c>
      <c r="BJ97" s="62">
        <f t="shared" si="92"/>
        <v>312.6921234697457</v>
      </c>
      <c r="BK97" s="16">
        <f>IF(ISNA(VLOOKUP(A97,'Données projet'!$A$87:$I$107,3,0)),0,VLOOKUP(A97,'Données projet'!$A$87:$I$107,3,0))</f>
        <v>7</v>
      </c>
      <c r="BL97" s="16">
        <f>IF(ISNA(VLOOKUP(A97,'Données projet'!$A$87:$I$107,4,0)),0,VLOOKUP(A97,'Données projet'!$A$87:$I$107,4,0))</f>
        <v>61.85</v>
      </c>
      <c r="BM97" s="17">
        <f>IF(ISNA(VLOOKUP(A97,'Données projet'!$A$87:$I$107,5,0)),0%,VLOOKUP(A97,'Données projet'!$A$87:$I$107,5,0)*VLOOKUP('Données projet'!$B$11,Paramètres!$A$1:$I$89,7,0))</f>
        <v>0.215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42.428688432086368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42.428688432086368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>
        <f>VLOOKUP(A97,'Données projet'!$A$113:$I$133,2,0)</f>
        <v>346.79</v>
      </c>
      <c r="BW97" s="13">
        <f>VLOOKUP(A97,'Données projet'!$A$113:$I$133,9,0)</f>
        <v>8.2910000000000021</v>
      </c>
      <c r="BX97" s="13">
        <f t="array" ref="BX97">INDEX(BW:BW,MIN(IF(ISNUMBER(BW97:BW293),ROW(BW97:BW293),"")))</f>
        <v>8.2910000000000021</v>
      </c>
      <c r="BY97" s="13">
        <f>IF('Données projet'!$A$114&gt;35,BY96+BX97-CG96,IF(A97&lt;'Données projet'!$A$114,$BV$205^A97,IF(A97='Données projet'!$A$114,'Données projet'!$B$114,BY96+BX97-CG96)))</f>
        <v>346.79000000000025</v>
      </c>
      <c r="BZ97" s="14">
        <f>BY97*VLOOKUP('Données projet'!$B$12,Paramètres!$A$1:$I$89,3,0)*VLOOKUP('Données projet'!$B$12,Paramètres!$A$1:$I$89,5,0)</f>
        <v>335.41528800000026</v>
      </c>
      <c r="CA97" s="14">
        <f t="shared" si="93"/>
        <v>78.551968756441127</v>
      </c>
      <c r="CB97" s="22">
        <f t="shared" si="64"/>
        <v>720.9929721841354</v>
      </c>
      <c r="CC97" s="62">
        <f t="shared" si="65"/>
        <v>1014.3263055174687</v>
      </c>
      <c r="CD97" s="62">
        <f ca="1">AVERAGE(OFFSET($CC$3,0,0,'Données projet'!$E$12+1,1))-AVERAGE(OFFSET($H$3,0,0,'Données projet'!$E$12+1,1))</f>
        <v>618.83149423524605</v>
      </c>
      <c r="CE97" s="62">
        <f t="shared" si="94"/>
        <v>285.33582535802435</v>
      </c>
      <c r="CF97" s="16">
        <f>IF(ISNA(VLOOKUP(A97,'Données projet'!$A$113:$I$133,3,0)),0,VLOOKUP(A97,'Données projet'!$A$113:$I$133,3,0))</f>
        <v>7</v>
      </c>
      <c r="CG97" s="16">
        <f>IF(ISNA(VLOOKUP(A97,'Données projet'!$A$113:$I$133,4,0)),0,VLOOKUP(A97,'Données projet'!$A$113:$I$133,4,0))</f>
        <v>61.85</v>
      </c>
      <c r="CH97" s="17">
        <f>IF(ISNA(VLOOKUP(A97,'Données projet'!$A$113:$I$133,5,0)),0%,VLOOKUP(A97,'Données projet'!$A$113:$I$133,5,0)*VLOOKUP('Données projet'!$B$12,Paramètres!$A$1:$I$89,7,0))</f>
        <v>0.215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38.124328736077608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38.124328736077608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</v>
      </c>
      <c r="CT97" s="13">
        <f>IF('Données projet'!$A$140&gt;35,CT96+CS97-DB96,IF(A97&lt;'Données projet'!$A$140,$CQ$205^A97,IF(A97='Données projet'!$A$140,'Données projet'!$B$140,CT96+CS97-DB96)))</f>
        <v>249</v>
      </c>
      <c r="CU97" s="18">
        <f>CT97*VLOOKUP('Données projet'!$B$13,Paramètres!$A$1:$I$89,3,0)*VLOOKUP('Données projet'!$B$13,Paramètres!$A$1:$I$89,5,0)</f>
        <v>217.52640000000005</v>
      </c>
      <c r="CV97" s="14">
        <f t="shared" si="95"/>
        <v>53.576907690651254</v>
      </c>
      <c r="CW97" s="22">
        <f t="shared" si="67"/>
        <v>472.17159422788433</v>
      </c>
      <c r="CX97" s="62">
        <f t="shared" si="68"/>
        <v>765.50492756121764</v>
      </c>
      <c r="CY97" s="62">
        <f ca="1">AVERAGE(OFFSET($CX$3,0,0,'Données projet'!$E$13+1,1))-AVERAGE(OFFSET($H$3,0,0,'Données projet'!$E$13+1,1))</f>
        <v>354.24684313982857</v>
      </c>
      <c r="CZ97" s="62">
        <f t="shared" si="96"/>
        <v>322.65043486962185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26.990920411662596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26.990920411662596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8.0470000000000024</v>
      </c>
      <c r="N98" s="14">
        <f>IF('Données projet'!$A$36&gt;35,N97+M98-V97,IF(A98&lt;'Données projet'!$A$36,$K$205^A98,IF(A98='Données projet'!$A$36,'Données projet'!$B$36,N97+M98-V97)))</f>
        <v>292.98700000000025</v>
      </c>
      <c r="O98" s="14">
        <f>N98*VLOOKUP('Données projet'!$B$9,Paramètres!$A$1:$I$89,3,0)*VLOOKUP('Données projet'!$B$9,Paramètres!$A$1:$I$89,5,0)</f>
        <v>265.09463760000023</v>
      </c>
      <c r="P98" s="14">
        <f t="shared" si="87"/>
        <v>63.807119294189917</v>
      </c>
      <c r="Q98" s="22">
        <f t="shared" si="54"/>
        <v>572.83722659071452</v>
      </c>
      <c r="R98" s="62">
        <f t="shared" si="55"/>
        <v>866.17055992404789</v>
      </c>
      <c r="S98" s="62">
        <f ca="1">AVERAGE(OFFSET($R$3,0,0,'Données projet'!$E$9+1,1))-AVERAGE(OFFSET($H$3,0,0,'Données projet'!$E$9+1,1))</f>
        <v>581.88778927327667</v>
      </c>
      <c r="T98" s="62">
        <f t="shared" si="88"/>
        <v>269.67340993773422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34.965331715810308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34.965331715810308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303</v>
      </c>
      <c r="AG98" s="13">
        <f>VLOOKUP(A98,'Données projet'!$A$61:$I$81,9,0)</f>
        <v>6.6</v>
      </c>
      <c r="AH98" s="13">
        <f t="array" ref="AH98">INDEX(AG:AG,MIN(IF(ISNUMBER(AG98:AG294),ROW(AG98:AG294),"")))</f>
        <v>6.6</v>
      </c>
      <c r="AI98" s="14">
        <f>IF('Données projet'!$A$62&gt;35,AI97+AH98-AQ97,IF(A98&lt;'Données projet'!$A$62,$AF$205^A98,IF(A98='Données projet'!$A$62,'Données projet'!$B$62,AI97+AH98-AQ97)))</f>
        <v>303.00000000000017</v>
      </c>
      <c r="AJ98" s="14">
        <f>AI98*VLOOKUP('Données projet'!$B$10,Paramètres!$A$1:$I$89,3,0)*VLOOKUP('Données projet'!$B$10,Paramètres!$A$1:$I$89,5,0)</f>
        <v>288.33480000000014</v>
      </c>
      <c r="AK98" s="14">
        <f t="shared" si="89"/>
        <v>68.725373494438969</v>
      </c>
      <c r="AL98" s="22">
        <f t="shared" si="58"/>
        <v>621.87980216948142</v>
      </c>
      <c r="AM98" s="62">
        <f t="shared" si="59"/>
        <v>915.21313550281479</v>
      </c>
      <c r="AN98" s="62">
        <f ca="1">AVERAGE(OFFSET($AM$3,0,0,'Données projet'!$E$10+1,1))-AVERAGE(OFFSET($H$3,0,0,'Données projet'!$E$10+1,1))</f>
        <v>444.81608506581125</v>
      </c>
      <c r="AO98" s="62">
        <f t="shared" si="90"/>
        <v>306.75289431725565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29</v>
      </c>
      <c r="AR98" s="17">
        <f>IF(ISNA(VLOOKUP(A98,'Données projet'!$A$61:$I$81,5,0)),0%,VLOOKUP(A98,'Données projet'!$A$61:$I$81,5,0)*VLOOKUP('Données projet'!$B$10,Paramètres!$A$1:$I$89,7,0))</f>
        <v>0.30099999999999999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55.949687076457693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55.949687076457693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8.0470000000000024</v>
      </c>
      <c r="BD98" s="13">
        <f>IF('Données projet'!$A$88&gt;35,BD97+BC98-BL97,IF(A98&lt;'Données projet'!$A$88,$BA$205^A98,IF(A98='Données projet'!$A$88,'Données projet'!$B$88,BD97+BC98-BL97)))</f>
        <v>292.98700000000025</v>
      </c>
      <c r="BE98" s="14">
        <f>BD98*VLOOKUP('Données projet'!$B$11,Paramètres!$A$1:$I$89,3,0)*VLOOKUP('Données projet'!$B$11,Paramètres!$A$1:$I$89,5,0)</f>
        <v>315.37120680000027</v>
      </c>
      <c r="BF98" s="14">
        <f t="shared" si="91"/>
        <v>74.389428013665466</v>
      </c>
      <c r="BG98" s="22">
        <f t="shared" si="61"/>
        <v>678.8331056338011</v>
      </c>
      <c r="BH98" s="62">
        <f t="shared" si="62"/>
        <v>972.16643896713435</v>
      </c>
      <c r="BI98" s="62">
        <f ca="1">AVERAGE(OFFSET($BH$3,0,0,'Données projet'!$E$11+1,1))-AVERAGE(OFFSET($H$3,0,0,'Données projet'!$E$11+1,1))</f>
        <v>683.36974161977764</v>
      </c>
      <c r="BJ98" s="62">
        <f t="shared" si="92"/>
        <v>312.6921234697457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41.596687730877761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41.596687730877761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8.0470000000000024</v>
      </c>
      <c r="BY98" s="13">
        <f>IF('Données projet'!$A$114&gt;35,BY97+BX98-CG97,IF(A98&lt;'Données projet'!$A$114,$BV$205^A98,IF(A98='Données projet'!$A$114,'Données projet'!$B$114,BY97+BX98-CG97)))</f>
        <v>292.98700000000025</v>
      </c>
      <c r="BZ98" s="14">
        <f>BY98*VLOOKUP('Données projet'!$B$12,Paramètres!$A$1:$I$89,3,0)*VLOOKUP('Données projet'!$B$12,Paramètres!$A$1:$I$89,5,0)</f>
        <v>283.37702640000026</v>
      </c>
      <c r="CA98" s="14">
        <f t="shared" si="93"/>
        <v>67.68017292381127</v>
      </c>
      <c r="CB98" s="22">
        <f t="shared" si="64"/>
        <v>611.42462215563842</v>
      </c>
      <c r="CC98" s="62">
        <f t="shared" si="65"/>
        <v>904.75795548897167</v>
      </c>
      <c r="CD98" s="62">
        <f ca="1">AVERAGE(OFFSET($CC$3,0,0,'Données projet'!$E$12+1,1))-AVERAGE(OFFSET($H$3,0,0,'Données projet'!$E$12+1,1))</f>
        <v>618.83149423524605</v>
      </c>
      <c r="CE98" s="62">
        <f t="shared" si="94"/>
        <v>285.33582535802435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37.376733903107557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37.376733903107557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252</v>
      </c>
      <c r="CR98" s="13">
        <f>VLOOKUP(A98,'Données projet'!$A$139:$I$159,9,0)</f>
        <v>3</v>
      </c>
      <c r="CS98" s="13">
        <f t="array" ref="CS98">INDEX(CR:CR,MIN(IF(ISNUMBER(CR98:CR294),ROW(CR98:CR294),"")))</f>
        <v>3</v>
      </c>
      <c r="CT98" s="13">
        <f>IF('Données projet'!$A$140&gt;35,CT97+CS98-DB97,IF(A98&lt;'Données projet'!$A$140,$CQ$205^A98,IF(A98='Données projet'!$A$140,'Données projet'!$B$140,CT97+CS98-DB97)))</f>
        <v>252</v>
      </c>
      <c r="CU98" s="18">
        <f>CT98*VLOOKUP('Données projet'!$B$13,Paramètres!$A$1:$I$89,3,0)*VLOOKUP('Données projet'!$B$13,Paramètres!$A$1:$I$89,5,0)</f>
        <v>220.14720000000003</v>
      </c>
      <c r="CV98" s="14">
        <f t="shared" si="95"/>
        <v>54.146877667769687</v>
      </c>
      <c r="CW98" s="22">
        <f t="shared" si="67"/>
        <v>477.72885193803222</v>
      </c>
      <c r="CX98" s="62">
        <f t="shared" si="68"/>
        <v>771.06218527136548</v>
      </c>
      <c r="CY98" s="62">
        <f ca="1">AVERAGE(OFFSET($CX$3,0,0,'Données projet'!$E$13+1,1))-AVERAGE(OFFSET($H$3,0,0,'Données projet'!$E$13+1,1))</f>
        <v>354.24684313982857</v>
      </c>
      <c r="CZ98" s="62">
        <f t="shared" si="96"/>
        <v>322.65043486962185</v>
      </c>
      <c r="DA98" s="16">
        <f>IF(ISNA(VLOOKUP(A98,'Données projet'!$A$139:$I$159,3,0)),0,VLOOKUP(A98,'Données projet'!$A$139:$I$159,3,0))</f>
        <v>18</v>
      </c>
      <c r="DB98" s="16">
        <f>IF(ISNA(VLOOKUP(A98,'Données projet'!$A$139:$I$159,4,0)),0,VLOOKUP(A98,'Données projet'!$A$139:$I$159,4,0))</f>
        <v>12</v>
      </c>
      <c r="DC98" s="17">
        <f>IF(ISNA(VLOOKUP(A98,'Données projet'!$A$139:$I$159,5,0)),0%,VLOOKUP(A98,'Données projet'!$A$139:$I$159,5,0)*VLOOKUP('Données projet'!$B$13,Paramètres!$A$1:$I$89,7,0))</f>
        <v>0.34400000000000003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30.448215201681393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30.448215201681393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8.0470000000000024</v>
      </c>
      <c r="N99" s="14">
        <f>IF('Données projet'!$A$36&gt;35,N98+M99-V98,IF(A99&lt;'Données projet'!$A$36,$K$205^A99,IF(A99='Données projet'!$A$36,'Données projet'!$B$36,N98+M99-V98)))</f>
        <v>301.03400000000028</v>
      </c>
      <c r="O99" s="14">
        <f>N99*VLOOKUP('Données projet'!$B$9,Paramètres!$A$1:$I$89,3,0)*VLOOKUP('Données projet'!$B$9,Paramètres!$A$1:$I$89,5,0)</f>
        <v>272.37556320000027</v>
      </c>
      <c r="P99" s="14">
        <f t="shared" si="87"/>
        <v>65.35316643513535</v>
      </c>
      <c r="Q99" s="22">
        <f t="shared" ref="Q99:Q130" si="107">(O99+P99)*0.475*44/12</f>
        <v>588.21087078119456</v>
      </c>
      <c r="R99" s="62">
        <f t="shared" si="55"/>
        <v>881.54420411452793</v>
      </c>
      <c r="S99" s="62">
        <f ca="1">AVERAGE(OFFSET($R$3,0,0,'Données projet'!$E$9+1,1))-AVERAGE(OFFSET($H$3,0,0,'Données projet'!$E$9+1,1))</f>
        <v>581.88778927327667</v>
      </c>
      <c r="T99" s="62">
        <f t="shared" si="88"/>
        <v>269.67340993773422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34.279682887609773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34.279682887609773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6.2</v>
      </c>
      <c r="AI99" s="14">
        <f>IF('Données projet'!$A$62&gt;35,AI98+AH99-AQ98,IF(A99&lt;'Données projet'!$A$62,$AF$205^A99,IF(A99='Données projet'!$A$62,'Données projet'!$B$62,AI98+AH99-AQ98)))</f>
        <v>280.20000000000016</v>
      </c>
      <c r="AJ99" s="14">
        <f>AI99*VLOOKUP('Données projet'!$B$10,Paramètres!$A$1:$I$89,3,0)*VLOOKUP('Données projet'!$B$10,Paramètres!$A$1:$I$89,5,0)</f>
        <v>266.63832000000014</v>
      </c>
      <c r="AK99" s="14">
        <f t="shared" si="89"/>
        <v>64.135316563180083</v>
      </c>
      <c r="AL99" s="22">
        <f t="shared" si="58"/>
        <v>576.09741701420546</v>
      </c>
      <c r="AM99" s="62">
        <f t="shared" si="59"/>
        <v>869.43075034753883</v>
      </c>
      <c r="AN99" s="62">
        <f ca="1">AVERAGE(OFFSET($AM$3,0,0,'Données projet'!$E$10+1,1))-AVERAGE(OFFSET($H$3,0,0,'Données projet'!$E$10+1,1))</f>
        <v>444.81608506581125</v>
      </c>
      <c r="AO99" s="62">
        <f t="shared" si="90"/>
        <v>306.75289431725565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54.852547838827817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54.852547838827817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8.0470000000000024</v>
      </c>
      <c r="BD99" s="13">
        <f>IF('Données projet'!$A$88&gt;35,BD98+BC99-BL98,IF(A99&lt;'Données projet'!$A$88,$BA$205^A99,IF(A99='Données projet'!$A$88,'Données projet'!$B$88,BD98+BC99-BL98)))</f>
        <v>301.03400000000028</v>
      </c>
      <c r="BE99" s="14">
        <f>BD99*VLOOKUP('Données projet'!$B$11,Paramètres!$A$1:$I$89,3,0)*VLOOKUP('Données projet'!$B$11,Paramètres!$A$1:$I$89,5,0)</f>
        <v>324.03299760000027</v>
      </c>
      <c r="BF99" s="14">
        <f t="shared" si="91"/>
        <v>76.191884601100995</v>
      </c>
      <c r="BG99" s="22">
        <f t="shared" si="61"/>
        <v>697.05833650025124</v>
      </c>
      <c r="BH99" s="62">
        <f t="shared" si="62"/>
        <v>990.3916698335845</v>
      </c>
      <c r="BI99" s="62">
        <f ca="1">AVERAGE(OFFSET($BH$3,0,0,'Données projet'!$E$11+1,1))-AVERAGE(OFFSET($H$3,0,0,'Données projet'!$E$11+1,1))</f>
        <v>683.36974161977764</v>
      </c>
      <c r="BJ99" s="62">
        <f t="shared" si="92"/>
        <v>312.6921234697457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40.781002055949536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40.781002055949536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8.0470000000000024</v>
      </c>
      <c r="BY99" s="13">
        <f>IF('Données projet'!$A$114&gt;35,BY98+BX99-CG98,IF(A99&lt;'Données projet'!$A$114,$BV$205^A99,IF(A99='Données projet'!$A$114,'Données projet'!$B$114,BY98+BX99-CG98)))</f>
        <v>301.03400000000028</v>
      </c>
      <c r="BZ99" s="14">
        <f>BY99*VLOOKUP('Données projet'!$B$12,Paramètres!$A$1:$I$89,3,0)*VLOOKUP('Données projet'!$B$12,Paramètres!$A$1:$I$89,5,0)</f>
        <v>291.16008480000028</v>
      </c>
      <c r="CA99" s="14">
        <f t="shared" si="93"/>
        <v>69.320064193077258</v>
      </c>
      <c r="CB99" s="22">
        <f t="shared" si="64"/>
        <v>627.83625949627674</v>
      </c>
      <c r="CC99" s="62">
        <f t="shared" si="65"/>
        <v>921.16959282961011</v>
      </c>
      <c r="CD99" s="62">
        <f ca="1">AVERAGE(OFFSET($CC$3,0,0,'Données projet'!$E$12+1,1))-AVERAGE(OFFSET($H$3,0,0,'Données projet'!$E$12+1,1))</f>
        <v>618.83149423524605</v>
      </c>
      <c r="CE99" s="62">
        <f t="shared" si="94"/>
        <v>285.33582535802435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36.643798948824227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36.643798948824227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</v>
      </c>
      <c r="CT99" s="13">
        <f>IF('Données projet'!$A$140&gt;35,CT98+CS99-DB98,IF(A99&lt;'Données projet'!$A$140,$CQ$205^A99,IF(A99='Données projet'!$A$140,'Données projet'!$B$140,CT98+CS99-DB98)))</f>
        <v>243</v>
      </c>
      <c r="CU99" s="18">
        <f>CT99*VLOOKUP('Données projet'!$B$13,Paramètres!$A$1:$I$89,3,0)*VLOOKUP('Données projet'!$B$13,Paramètres!$A$1:$I$89,5,0)</f>
        <v>212.28480000000002</v>
      </c>
      <c r="CV99" s="14">
        <f t="shared" si="95"/>
        <v>52.434557099704193</v>
      </c>
      <c r="CW99" s="22">
        <f t="shared" si="67"/>
        <v>461.05288028198476</v>
      </c>
      <c r="CX99" s="62">
        <f t="shared" si="68"/>
        <v>754.38621361531807</v>
      </c>
      <c r="CY99" s="62">
        <f ca="1">AVERAGE(OFFSET($CX$3,0,0,'Données projet'!$E$13+1,1))-AVERAGE(OFFSET($H$3,0,0,'Données projet'!$E$13+1,1))</f>
        <v>354.24684313982857</v>
      </c>
      <c r="CZ99" s="62">
        <f t="shared" si="96"/>
        <v>322.65043486962185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29.851144273153903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29.851144273153903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8.0470000000000024</v>
      </c>
      <c r="N100" s="14">
        <f>IF('Données projet'!$A$36&gt;35,N99+M100-V99,IF(A100&lt;'Données projet'!$A$36,$K$205^A100,IF(A100='Données projet'!$A$36,'Données projet'!$B$36,N99+M100-V99)))</f>
        <v>309.0810000000003</v>
      </c>
      <c r="O100" s="14">
        <f>N100*VLOOKUP('Données projet'!$B$9,Paramètres!$A$1:$I$89,3,0)*VLOOKUP('Données projet'!$B$9,Paramètres!$A$1:$I$89,5,0)</f>
        <v>279.65648880000026</v>
      </c>
      <c r="P100" s="14">
        <f t="shared" si="87"/>
        <v>66.894409904113928</v>
      </c>
      <c r="Q100" s="22">
        <f t="shared" si="107"/>
        <v>603.57614857633223</v>
      </c>
      <c r="R100" s="62">
        <f t="shared" si="55"/>
        <v>896.9094819096656</v>
      </c>
      <c r="S100" s="62">
        <f ca="1">AVERAGE(OFFSET($R$3,0,0,'Données projet'!$E$9+1,1))-AVERAGE(OFFSET($H$3,0,0,'Données projet'!$E$9+1,1))</f>
        <v>581.88778927327667</v>
      </c>
      <c r="T100" s="62">
        <f t="shared" si="88"/>
        <v>269.67340993773422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33.607479214725757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33.607479214725757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6.2</v>
      </c>
      <c r="AI100" s="14">
        <f>IF('Données projet'!$A$62&gt;35,AI99+AH100-AQ99,IF(A100&lt;'Données projet'!$A$62,$AF$205^A100,IF(A100='Données projet'!$A$62,'Données projet'!$B$62,AI99+AH100-AQ99)))</f>
        <v>286.40000000000015</v>
      </c>
      <c r="AJ100" s="14">
        <f>AI100*VLOOKUP('Données projet'!$B$10,Paramètres!$A$1:$I$89,3,0)*VLOOKUP('Données projet'!$B$10,Paramètres!$A$1:$I$89,5,0)</f>
        <v>272.53824000000014</v>
      </c>
      <c r="AK100" s="14">
        <f t="shared" si="89"/>
        <v>65.387654174541169</v>
      </c>
      <c r="AL100" s="22">
        <f t="shared" si="58"/>
        <v>588.55426568732616</v>
      </c>
      <c r="AM100" s="62">
        <f t="shared" si="59"/>
        <v>881.88759902065954</v>
      </c>
      <c r="AN100" s="62">
        <f ca="1">AVERAGE(OFFSET($AM$3,0,0,'Données projet'!$E$10+1,1))-AVERAGE(OFFSET($H$3,0,0,'Données projet'!$E$10+1,1))</f>
        <v>444.81608506581125</v>
      </c>
      <c r="AO100" s="62">
        <f t="shared" si="90"/>
        <v>306.75289431725565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53.776922832459007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53.776922832459007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8.0470000000000024</v>
      </c>
      <c r="BD100" s="13">
        <f>IF('Données projet'!$A$88&gt;35,BD99+BC100-BL99,IF(A100&lt;'Données projet'!$A$88,$BA$205^A100,IF(A100='Données projet'!$A$88,'Données projet'!$B$88,BD99+BC100-BL99)))</f>
        <v>309.0810000000003</v>
      </c>
      <c r="BE100" s="14">
        <f>BD100*VLOOKUP('Données projet'!$B$11,Paramètres!$A$1:$I$89,3,0)*VLOOKUP('Données projet'!$B$11,Paramètres!$A$1:$I$89,5,0)</f>
        <v>332.69478840000028</v>
      </c>
      <c r="BF100" s="14">
        <f t="shared" si="91"/>
        <v>77.988740835254006</v>
      </c>
      <c r="BG100" s="22">
        <f t="shared" si="61"/>
        <v>715.27381341806779</v>
      </c>
      <c r="BH100" s="62">
        <f t="shared" si="62"/>
        <v>1008.6071467514012</v>
      </c>
      <c r="BI100" s="62">
        <f ca="1">AVERAGE(OFFSET($BH$3,0,0,'Données projet'!$E$11+1,1))-AVERAGE(OFFSET($H$3,0,0,'Données projet'!$E$11+1,1))</f>
        <v>683.36974161977764</v>
      </c>
      <c r="BJ100" s="62">
        <f t="shared" si="92"/>
        <v>312.6921234697457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39.981311479587518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39.981311479587518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8.0470000000000024</v>
      </c>
      <c r="BY100" s="13">
        <f>IF('Données projet'!$A$114&gt;35,BY99+BX100-CG99,IF(A100&lt;'Données projet'!$A$114,$BV$205^A100,IF(A100='Données projet'!$A$114,'Données projet'!$B$114,BY99+BX100-CG99)))</f>
        <v>309.0810000000003</v>
      </c>
      <c r="BZ100" s="14">
        <f>BY100*VLOOKUP('Données projet'!$B$12,Paramètres!$A$1:$I$89,3,0)*VLOOKUP('Données projet'!$B$12,Paramètres!$A$1:$I$89,5,0)</f>
        <v>298.94314320000029</v>
      </c>
      <c r="CA100" s="14">
        <f t="shared" si="93"/>
        <v>70.954860210387238</v>
      </c>
      <c r="CB100" s="22">
        <f t="shared" si="64"/>
        <v>644.23902260642501</v>
      </c>
      <c r="CC100" s="62">
        <f t="shared" si="65"/>
        <v>937.57235593975838</v>
      </c>
      <c r="CD100" s="62">
        <f ca="1">AVERAGE(OFFSET($CC$3,0,0,'Données projet'!$E$12+1,1))-AVERAGE(OFFSET($H$3,0,0,'Données projet'!$E$12+1,1))</f>
        <v>618.83149423524605</v>
      </c>
      <c r="CE100" s="62">
        <f t="shared" si="94"/>
        <v>285.33582535802435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35.925236401948212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35.925236401948212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</v>
      </c>
      <c r="CT100" s="13">
        <f>IF('Données projet'!$A$140&gt;35,CT99+CS100-DB99,IF(A100&lt;'Données projet'!$A$140,$CQ$205^A100,IF(A100='Données projet'!$A$140,'Données projet'!$B$140,CT99+CS100-DB99)))</f>
        <v>246</v>
      </c>
      <c r="CU100" s="18">
        <f>CT100*VLOOKUP('Données projet'!$B$13,Paramètres!$A$1:$I$89,3,0)*VLOOKUP('Données projet'!$B$13,Paramètres!$A$1:$I$89,5,0)</f>
        <v>214.90560000000005</v>
      </c>
      <c r="CV100" s="14">
        <f t="shared" si="95"/>
        <v>53.006137800892326</v>
      </c>
      <c r="CW100" s="22">
        <f t="shared" si="67"/>
        <v>466.61294333655422</v>
      </c>
      <c r="CX100" s="62">
        <f t="shared" si="68"/>
        <v>759.94627666988754</v>
      </c>
      <c r="CY100" s="62">
        <f ca="1">AVERAGE(OFFSET($CX$3,0,0,'Données projet'!$E$13+1,1))-AVERAGE(OFFSET($H$3,0,0,'Données projet'!$E$13+1,1))</f>
        <v>354.24684313982857</v>
      </c>
      <c r="CZ100" s="62">
        <f t="shared" si="96"/>
        <v>322.65043486962185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29.26578154135753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29.26578154135753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8.0470000000000024</v>
      </c>
      <c r="N101" s="14">
        <f>IF('Données projet'!$A$36&gt;35,N100+M101-V100,IF(A101&lt;'Données projet'!$A$36,$K$205^A101,IF(A101='Données projet'!$A$36,'Données projet'!$B$36,N100+M101-V100)))</f>
        <v>317.12800000000033</v>
      </c>
      <c r="O101" s="14">
        <f>N101*VLOOKUP('Données projet'!$B$9,Paramètres!$A$1:$I$89,3,0)*VLOOKUP('Données projet'!$B$9,Paramètres!$A$1:$I$89,5,0)</f>
        <v>286.93741440000031</v>
      </c>
      <c r="P101" s="14">
        <f t="shared" si="87"/>
        <v>68.430989143985158</v>
      </c>
      <c r="Q101" s="22">
        <f t="shared" si="107"/>
        <v>618.93330283910791</v>
      </c>
      <c r="R101" s="62">
        <f t="shared" si="55"/>
        <v>912.26663617244117</v>
      </c>
      <c r="S101" s="62">
        <f ca="1">AVERAGE(OFFSET($R$3,0,0,'Données projet'!$E$9+1,1))-AVERAGE(OFFSET($H$3,0,0,'Données projet'!$E$9+1,1))</f>
        <v>581.88778927327667</v>
      </c>
      <c r="T101" s="62">
        <f t="shared" si="88"/>
        <v>269.67340993773422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32.948457045863243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32.948457045863243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6.2</v>
      </c>
      <c r="AI101" s="14">
        <f>IF('Données projet'!$A$62&gt;35,AI100+AH101-AQ100,IF(A101&lt;'Données projet'!$A$62,$AF$205^A101,IF(A101='Données projet'!$A$62,'Données projet'!$B$62,AI100+AH101-AQ100)))</f>
        <v>292.60000000000014</v>
      </c>
      <c r="AJ101" s="14">
        <f>AI101*VLOOKUP('Données projet'!$B$10,Paramètres!$A$1:$I$89,3,0)*VLOOKUP('Données projet'!$B$10,Paramètres!$A$1:$I$89,5,0)</f>
        <v>278.43816000000015</v>
      </c>
      <c r="AK101" s="14">
        <f t="shared" si="89"/>
        <v>66.636839817348402</v>
      </c>
      <c r="AL101" s="22">
        <f t="shared" si="58"/>
        <v>601.00562468188207</v>
      </c>
      <c r="AM101" s="62">
        <f t="shared" si="59"/>
        <v>894.33895801521544</v>
      </c>
      <c r="AN101" s="62">
        <f ca="1">AVERAGE(OFFSET($AM$3,0,0,'Données projet'!$E$10+1,1))-AVERAGE(OFFSET($H$3,0,0,'Données projet'!$E$10+1,1))</f>
        <v>444.81608506581125</v>
      </c>
      <c r="AO101" s="62">
        <f t="shared" si="90"/>
        <v>306.75289431725565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52.722390176398612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52.722390176398612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8.0470000000000024</v>
      </c>
      <c r="BD101" s="13">
        <f>IF('Données projet'!$A$88&gt;35,BD100+BC101-BL100,IF(A101&lt;'Données projet'!$A$88,$BA$205^A101,IF(A101='Données projet'!$A$88,'Données projet'!$B$88,BD100+BC101-BL100)))</f>
        <v>317.12800000000033</v>
      </c>
      <c r="BE101" s="14">
        <f>BD101*VLOOKUP('Données projet'!$B$11,Paramètres!$A$1:$I$89,3,0)*VLOOKUP('Données projet'!$B$11,Paramètres!$A$1:$I$89,5,0)</f>
        <v>341.35657920000034</v>
      </c>
      <c r="BF101" s="14">
        <f t="shared" si="91"/>
        <v>79.780159285359503</v>
      </c>
      <c r="BG101" s="22">
        <f t="shared" si="61"/>
        <v>733.47981952866837</v>
      </c>
      <c r="BH101" s="62">
        <f t="shared" si="62"/>
        <v>1026.8131528620017</v>
      </c>
      <c r="BI101" s="62">
        <f ca="1">AVERAGE(OFFSET($BH$3,0,0,'Données projet'!$E$11+1,1))-AVERAGE(OFFSET($H$3,0,0,'Données projet'!$E$11+1,1))</f>
        <v>683.36974161977764</v>
      </c>
      <c r="BJ101" s="62">
        <f t="shared" si="92"/>
        <v>312.6921234697457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39.197302347664873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39.197302347664873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8.0470000000000024</v>
      </c>
      <c r="BY101" s="13">
        <f>IF('Données projet'!$A$114&gt;35,BY100+BX101-CG100,IF(A101&lt;'Données projet'!$A$114,$BV$205^A101,IF(A101='Données projet'!$A$114,'Données projet'!$B$114,BY100+BX101-CG100)))</f>
        <v>317.12800000000033</v>
      </c>
      <c r="BZ101" s="14">
        <f>BY101*VLOOKUP('Données projet'!$B$12,Paramètres!$A$1:$I$89,3,0)*VLOOKUP('Données projet'!$B$12,Paramètres!$A$1:$I$89,5,0)</f>
        <v>306.72620160000031</v>
      </c>
      <c r="CA101" s="14">
        <f t="shared" si="93"/>
        <v>72.584708882698152</v>
      </c>
      <c r="CB101" s="22">
        <f t="shared" si="64"/>
        <v>660.63316909069977</v>
      </c>
      <c r="CC101" s="62">
        <f t="shared" si="65"/>
        <v>953.96650242403302</v>
      </c>
      <c r="CD101" s="62">
        <f ca="1">AVERAGE(OFFSET($CC$3,0,0,'Données projet'!$E$12+1,1))-AVERAGE(OFFSET($H$3,0,0,'Données projet'!$E$12+1,1))</f>
        <v>618.83149423524605</v>
      </c>
      <c r="CE101" s="62">
        <f t="shared" si="94"/>
        <v>285.33582535802435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35.220764428336558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35.220764428336558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</v>
      </c>
      <c r="CT101" s="13">
        <f>IF('Données projet'!$A$140&gt;35,CT100+CS101-DB100,IF(A101&lt;'Données projet'!$A$140,$CQ$205^A101,IF(A101='Données projet'!$A$140,'Données projet'!$B$140,CT100+CS101-DB100)))</f>
        <v>249</v>
      </c>
      <c r="CU101" s="18">
        <f>CT101*VLOOKUP('Données projet'!$B$13,Paramètres!$A$1:$I$89,3,0)*VLOOKUP('Données projet'!$B$13,Paramètres!$A$1:$I$89,5,0)</f>
        <v>217.52640000000005</v>
      </c>
      <c r="CV101" s="14">
        <f t="shared" si="95"/>
        <v>53.576907690651254</v>
      </c>
      <c r="CW101" s="22">
        <f t="shared" si="67"/>
        <v>472.17159422788433</v>
      </c>
      <c r="CX101" s="62">
        <f t="shared" si="68"/>
        <v>765.50492756121764</v>
      </c>
      <c r="CY101" s="62">
        <f ca="1">AVERAGE(OFFSET($CX$3,0,0,'Données projet'!$E$13+1,1))-AVERAGE(OFFSET($H$3,0,0,'Données projet'!$E$13+1,1))</f>
        <v>354.24684313982857</v>
      </c>
      <c r="CZ101" s="62">
        <f t="shared" si="96"/>
        <v>322.65043486962185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28.691897415695671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28.691897415695671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8.0470000000000024</v>
      </c>
      <c r="N102" s="14">
        <f>IF('Données projet'!$A$36&gt;35,N101+M102-V101,IF(A102&lt;'Données projet'!$A$36,$K$205^A102,IF(A102='Données projet'!$A$36,'Données projet'!$B$36,N101+M102-V101)))</f>
        <v>325.17500000000035</v>
      </c>
      <c r="O102" s="14">
        <f>N102*VLOOKUP('Données projet'!$B$9,Paramètres!$A$1:$I$89,3,0)*VLOOKUP('Données projet'!$B$9,Paramètres!$A$1:$I$89,5,0)</f>
        <v>294.2183400000003</v>
      </c>
      <c r="P102" s="14">
        <f t="shared" si="87"/>
        <v>69.963036117759913</v>
      </c>
      <c r="Q102" s="22">
        <f t="shared" si="107"/>
        <v>634.28256340509904</v>
      </c>
      <c r="R102" s="62">
        <f t="shared" si="55"/>
        <v>927.61589673843241</v>
      </c>
      <c r="S102" s="62">
        <f ca="1">AVERAGE(OFFSET($R$3,0,0,'Données projet'!$E$9+1,1))-AVERAGE(OFFSET($H$3,0,0,'Données projet'!$E$9+1,1))</f>
        <v>581.88778927327667</v>
      </c>
      <c r="T102" s="62">
        <f t="shared" si="88"/>
        <v>269.67340993773422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32.302357899768289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32.302357899768289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6.2</v>
      </c>
      <c r="AI102" s="14">
        <f>IF('Données projet'!$A$62&gt;35,AI101+AH102-AQ101,IF(A102&lt;'Données projet'!$A$62,$AF$205^A102,IF(A102='Données projet'!$A$62,'Données projet'!$B$62,AI101+AH102-AQ101)))</f>
        <v>298.80000000000013</v>
      </c>
      <c r="AJ102" s="14">
        <f>AI102*VLOOKUP('Données projet'!$B$10,Paramètres!$A$1:$I$89,3,0)*VLOOKUP('Données projet'!$B$10,Paramètres!$A$1:$I$89,5,0)</f>
        <v>284.33808000000016</v>
      </c>
      <c r="AK102" s="14">
        <f t="shared" si="89"/>
        <v>67.882947973242224</v>
      </c>
      <c r="AL102" s="22">
        <f t="shared" si="58"/>
        <v>613.45162372006382</v>
      </c>
      <c r="AM102" s="62">
        <f t="shared" si="59"/>
        <v>906.78495705339719</v>
      </c>
      <c r="AN102" s="62">
        <f ca="1">AVERAGE(OFFSET($AM$3,0,0,'Données projet'!$E$10+1,1))-AVERAGE(OFFSET($H$3,0,0,'Données projet'!$E$10+1,1))</f>
        <v>444.81608506581125</v>
      </c>
      <c r="AO102" s="62">
        <f t="shared" si="90"/>
        <v>306.75289431725565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51.688536262522156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51.688536262522156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8.0470000000000024</v>
      </c>
      <c r="BD102" s="13">
        <f>IF('Données projet'!$A$88&gt;35,BD101+BC102-BL101,IF(A102&lt;'Données projet'!$A$88,$BA$205^A102,IF(A102='Données projet'!$A$88,'Données projet'!$B$88,BD101+BC102-BL101)))</f>
        <v>325.17500000000035</v>
      </c>
      <c r="BE102" s="14">
        <f>BD102*VLOOKUP('Données projet'!$B$11,Paramètres!$A$1:$I$89,3,0)*VLOOKUP('Données projet'!$B$11,Paramètres!$A$1:$I$89,5,0)</f>
        <v>350.01837000000035</v>
      </c>
      <c r="BF102" s="14">
        <f t="shared" si="91"/>
        <v>81.566293800282651</v>
      </c>
      <c r="BG102" s="22">
        <f t="shared" si="61"/>
        <v>751.6766227854929</v>
      </c>
      <c r="BH102" s="62">
        <f t="shared" si="62"/>
        <v>1045.0099561188263</v>
      </c>
      <c r="BI102" s="62">
        <f ca="1">AVERAGE(OFFSET($BH$3,0,0,'Données projet'!$E$11+1,1))-AVERAGE(OFFSET($H$3,0,0,'Données projet'!$E$11+1,1))</f>
        <v>683.36974161977764</v>
      </c>
      <c r="BJ102" s="62">
        <f t="shared" si="92"/>
        <v>312.6921234697457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38.428667156620882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38.428667156620882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8.0470000000000024</v>
      </c>
      <c r="BY102" s="13">
        <f>IF('Données projet'!$A$114&gt;35,BY101+BX102-CG101,IF(A102&lt;'Données projet'!$A$114,$BV$205^A102,IF(A102='Données projet'!$A$114,'Données projet'!$B$114,BY101+BX102-CG101)))</f>
        <v>325.17500000000035</v>
      </c>
      <c r="BZ102" s="14">
        <f>BY102*VLOOKUP('Données projet'!$B$12,Paramètres!$A$1:$I$89,3,0)*VLOOKUP('Données projet'!$B$12,Paramètres!$A$1:$I$89,5,0)</f>
        <v>314.50926000000038</v>
      </c>
      <c r="CA102" s="14">
        <f t="shared" si="93"/>
        <v>74.209750183096105</v>
      </c>
      <c r="CB102" s="22">
        <f t="shared" si="64"/>
        <v>677.01894273555968</v>
      </c>
      <c r="CC102" s="62">
        <f t="shared" si="65"/>
        <v>970.35227606889293</v>
      </c>
      <c r="CD102" s="62">
        <f ca="1">AVERAGE(OFFSET($CC$3,0,0,'Données projet'!$E$12+1,1))-AVERAGE(OFFSET($H$3,0,0,'Données projet'!$E$12+1,1))</f>
        <v>618.83149423524605</v>
      </c>
      <c r="CE102" s="62">
        <f t="shared" si="94"/>
        <v>285.33582535802435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34.530106720441957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34.530106720441957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</v>
      </c>
      <c r="CT102" s="13">
        <f>IF('Données projet'!$A$140&gt;35,CT101+CS102-DB101,IF(A102&lt;'Données projet'!$A$140,$CQ$205^A102,IF(A102='Données projet'!$A$140,'Données projet'!$B$140,CT101+CS102-DB101)))</f>
        <v>252</v>
      </c>
      <c r="CU102" s="18">
        <f>CT102*VLOOKUP('Données projet'!$B$13,Paramètres!$A$1:$I$89,3,0)*VLOOKUP('Données projet'!$B$13,Paramètres!$A$1:$I$89,5,0)</f>
        <v>220.14720000000003</v>
      </c>
      <c r="CV102" s="14">
        <f t="shared" si="95"/>
        <v>54.146877667769687</v>
      </c>
      <c r="CW102" s="22">
        <f t="shared" si="67"/>
        <v>477.72885193803222</v>
      </c>
      <c r="CX102" s="62">
        <f t="shared" si="68"/>
        <v>771.06218527136548</v>
      </c>
      <c r="CY102" s="62">
        <f ca="1">AVERAGE(OFFSET($CX$3,0,0,'Données projet'!$E$13+1,1))-AVERAGE(OFFSET($H$3,0,0,'Données projet'!$E$13+1,1))</f>
        <v>354.24684313982857</v>
      </c>
      <c r="CZ102" s="62">
        <f t="shared" si="96"/>
        <v>322.65043486962185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28.129266807703289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28.129266807703289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8.0470000000000024</v>
      </c>
      <c r="N103" s="14">
        <f>IF('Données projet'!$A$36&gt;35,N102+M103-V102,IF(A103&lt;'Données projet'!$A$36,$K$205^A103,IF(A103='Données projet'!$A$36,'Données projet'!$B$36,N102+M103-V102)))</f>
        <v>333.22200000000038</v>
      </c>
      <c r="O103" s="14">
        <f>N103*VLOOKUP('Données projet'!$B$9,Paramètres!$A$1:$I$89,3,0)*VLOOKUP('Données projet'!$B$9,Paramètres!$A$1:$I$89,5,0)</f>
        <v>301.49926560000034</v>
      </c>
      <c r="P103" s="14">
        <f t="shared" si="87"/>
        <v>71.490675884857296</v>
      </c>
      <c r="Q103" s="22">
        <f t="shared" si="107"/>
        <v>649.62414808612709</v>
      </c>
      <c r="R103" s="62">
        <f t="shared" si="55"/>
        <v>942.95748141946046</v>
      </c>
      <c r="S103" s="62">
        <f ca="1">AVERAGE(OFFSET($R$3,0,0,'Données projet'!$E$9+1,1))-AVERAGE(OFFSET($H$3,0,0,'Données projet'!$E$9+1,1))</f>
        <v>581.88778927327667</v>
      </c>
      <c r="T103" s="62">
        <f t="shared" si="88"/>
        <v>269.67340993773422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31.668928363846693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31.668928363846693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305</v>
      </c>
      <c r="AG103" s="13">
        <f>VLOOKUP(A103,'Données projet'!$A$61:$I$81,9,0)</f>
        <v>6.2</v>
      </c>
      <c r="AH103" s="13">
        <f t="array" ref="AH103">INDEX(AG:AG,MIN(IF(ISNUMBER(AG103:AG299),ROW(AG103:AG299),"")))</f>
        <v>6.2</v>
      </c>
      <c r="AI103" s="14">
        <f>IF('Données projet'!$A$62&gt;35,AI102+AH103-AQ102,IF(A103&lt;'Données projet'!$A$62,$AF$205^A103,IF(A103='Données projet'!$A$62,'Données projet'!$B$62,AI102+AH103-AQ102)))</f>
        <v>305.00000000000011</v>
      </c>
      <c r="AJ103" s="14">
        <f>AI103*VLOOKUP('Données projet'!$B$10,Paramètres!$A$1:$I$89,3,0)*VLOOKUP('Données projet'!$B$10,Paramètres!$A$1:$I$89,5,0)</f>
        <v>290.23800000000011</v>
      </c>
      <c r="AK103" s="14">
        <f t="shared" si="89"/>
        <v>69.126049856275287</v>
      </c>
      <c r="AL103" s="22">
        <f t="shared" si="58"/>
        <v>625.89238683301301</v>
      </c>
      <c r="AM103" s="62">
        <f t="shared" si="59"/>
        <v>919.22572016634626</v>
      </c>
      <c r="AN103" s="62">
        <f ca="1">AVERAGE(OFFSET($AM$3,0,0,'Données projet'!$E$10+1,1))-AVERAGE(OFFSET($H$3,0,0,'Données projet'!$E$10+1,1))</f>
        <v>444.81608506581125</v>
      </c>
      <c r="AO103" s="62">
        <f t="shared" si="90"/>
        <v>306.75289431725565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29</v>
      </c>
      <c r="AR103" s="17">
        <f>IF(ISNA(VLOOKUP(A103,'Données projet'!$A$61:$I$81,5,0)),0%,VLOOKUP(A103,'Données projet'!$A$61:$I$81,5,0)*VLOOKUP('Données projet'!$B$10,Paramètres!$A$1:$I$89,7,0))</f>
        <v>0.34400000000000003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61.169364550227826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61.169364550227826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8.0470000000000024</v>
      </c>
      <c r="BD103" s="13">
        <f>IF('Données projet'!$A$88&gt;35,BD102+BC103-BL102,IF(A103&lt;'Données projet'!$A$88,$BA$205^A103,IF(A103='Données projet'!$A$88,'Données projet'!$B$88,BD102+BC103-BL102)))</f>
        <v>333.22200000000038</v>
      </c>
      <c r="BE103" s="14">
        <f>BD103*VLOOKUP('Données projet'!$B$11,Paramètres!$A$1:$I$89,3,0)*VLOOKUP('Données projet'!$B$11,Paramètres!$A$1:$I$89,5,0)</f>
        <v>358.68016080000035</v>
      </c>
      <c r="BF103" s="14">
        <f t="shared" si="91"/>
        <v>83.347290180347258</v>
      </c>
      <c r="BG103" s="22">
        <f t="shared" si="61"/>
        <v>769.86447712410529</v>
      </c>
      <c r="BH103" s="62">
        <f t="shared" si="62"/>
        <v>1063.1978104574387</v>
      </c>
      <c r="BI103" s="62">
        <f ca="1">AVERAGE(OFFSET($BH$3,0,0,'Données projet'!$E$11+1,1))-AVERAGE(OFFSET($H$3,0,0,'Données projet'!$E$11+1,1))</f>
        <v>683.36974161977764</v>
      </c>
      <c r="BJ103" s="62">
        <f t="shared" si="92"/>
        <v>312.6921234697457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37.675104432852088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37.675104432852088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8.0470000000000024</v>
      </c>
      <c r="BY103" s="13">
        <f>IF('Données projet'!$A$114&gt;35,BY102+BX103-CG102,IF(A103&lt;'Données projet'!$A$114,$BV$205^A103,IF(A103='Données projet'!$A$114,'Données projet'!$B$114,BY102+BX103-CG102)))</f>
        <v>333.22200000000038</v>
      </c>
      <c r="BZ103" s="14">
        <f>BY103*VLOOKUP('Données projet'!$B$12,Paramètres!$A$1:$I$89,3,0)*VLOOKUP('Données projet'!$B$12,Paramètres!$A$1:$I$89,5,0)</f>
        <v>322.2923184000004</v>
      </c>
      <c r="CA103" s="14">
        <f t="shared" si="93"/>
        <v>75.830116762031381</v>
      </c>
      <c r="CB103" s="22">
        <f t="shared" si="64"/>
        <v>693.39657457387193</v>
      </c>
      <c r="CC103" s="62">
        <f t="shared" si="65"/>
        <v>986.72990790720519</v>
      </c>
      <c r="CD103" s="62">
        <f ca="1">AVERAGE(OFFSET($CC$3,0,0,'Données projet'!$E$12+1,1))-AVERAGE(OFFSET($H$3,0,0,'Données projet'!$E$12+1,1))</f>
        <v>618.83149423524605</v>
      </c>
      <c r="CE103" s="62">
        <f t="shared" si="94"/>
        <v>285.33582535802435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33.852992388939562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33.852992388939562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255</v>
      </c>
      <c r="CR103" s="13">
        <f>VLOOKUP(A103,'Données projet'!$A$139:$I$159,9,0)</f>
        <v>3</v>
      </c>
      <c r="CS103" s="13">
        <f t="array" ref="CS103">INDEX(CR:CR,MIN(IF(ISNUMBER(CR103:CR299),ROW(CR103:CR299),"")))</f>
        <v>3</v>
      </c>
      <c r="CT103" s="13">
        <f>IF('Données projet'!$A$140&gt;35,CT102+CS103-DB102,IF(A103&lt;'Données projet'!$A$140,$CQ$205^A103,IF(A103='Données projet'!$A$140,'Données projet'!$B$140,CT102+CS103-DB102)))</f>
        <v>255</v>
      </c>
      <c r="CU103" s="18">
        <f>CT103*VLOOKUP('Données projet'!$B$13,Paramètres!$A$1:$I$89,3,0)*VLOOKUP('Données projet'!$B$13,Paramètres!$A$1:$I$89,5,0)</f>
        <v>222.76800000000003</v>
      </c>
      <c r="CV103" s="14">
        <f t="shared" si="95"/>
        <v>54.716058356609508</v>
      </c>
      <c r="CW103" s="22">
        <f t="shared" si="67"/>
        <v>483.28473497109491</v>
      </c>
      <c r="CX103" s="62">
        <f t="shared" si="68"/>
        <v>776.61806830442822</v>
      </c>
      <c r="CY103" s="62">
        <f ca="1">AVERAGE(OFFSET($CX$3,0,0,'Données projet'!$E$13+1,1))-AVERAGE(OFFSET($H$3,0,0,'Données projet'!$E$13+1,1))</f>
        <v>354.24684313982857</v>
      </c>
      <c r="CZ103" s="62">
        <f t="shared" si="96"/>
        <v>322.65043486962185</v>
      </c>
      <c r="DA103" s="16">
        <f>IF(ISNA(VLOOKUP(A103,'Données projet'!$A$139:$I$159,3,0)),0,VLOOKUP(A103,'Données projet'!$A$139:$I$159,3,0))</f>
        <v>19</v>
      </c>
      <c r="DB103" s="16">
        <f>IF(ISNA(VLOOKUP(A103,'Données projet'!$A$139:$I$159,4,0)),0,VLOOKUP(A103,'Données projet'!$A$139:$I$159,4,0))</f>
        <v>255</v>
      </c>
      <c r="DC103" s="17">
        <f>IF(ISNA(VLOOKUP(A103,'Données projet'!$A$139:$I$159,5,0)),0%,VLOOKUP(A103,'Données projet'!$A$139:$I$159,5,0)*VLOOKUP('Données projet'!$B$13,Paramètres!$A$1:$I$89,7,0))</f>
        <v>0.34400000000000003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112.29228741744477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112.29228741744477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8.0470000000000024</v>
      </c>
      <c r="N104" s="14">
        <f>IF('Données projet'!$A$36&gt;35,N103+M104-V103,IF(A104&lt;'Données projet'!$A$36,$K$205^A104,IF(A104='Données projet'!$A$36,'Données projet'!$B$36,N103+M104-V103)))</f>
        <v>341.2690000000004</v>
      </c>
      <c r="O104" s="14">
        <f>N104*VLOOKUP('Données projet'!$B$9,Paramètres!$A$1:$I$89,3,0)*VLOOKUP('Données projet'!$B$9,Paramètres!$A$1:$I$89,5,0)</f>
        <v>308.78019120000033</v>
      </c>
      <c r="P104" s="14">
        <f t="shared" si="87"/>
        <v>73.014027120130123</v>
      </c>
      <c r="Q104" s="22">
        <f t="shared" si="107"/>
        <v>664.95826357422709</v>
      </c>
      <c r="R104" s="62">
        <f t="shared" si="55"/>
        <v>958.29159690756046</v>
      </c>
      <c r="S104" s="62">
        <f ca="1">AVERAGE(OFFSET($R$3,0,0,'Données projet'!$E$9+1,1))-AVERAGE(OFFSET($H$3,0,0,'Données projet'!$E$9+1,1))</f>
        <v>581.88778927327667</v>
      </c>
      <c r="T104" s="62">
        <f t="shared" si="88"/>
        <v>269.67340993773422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31.047919994770652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31.047919994770652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6.2</v>
      </c>
      <c r="AI104" s="14">
        <f>IF('Données projet'!$A$62&gt;35,AI103+AH104-AQ103,IF(A104&lt;'Données projet'!$A$62,$AF$205^A104,IF(A104='Données projet'!$A$62,'Données projet'!$B$62,AI103+AH104-AQ103)))</f>
        <v>282.2000000000001</v>
      </c>
      <c r="AJ104" s="14">
        <f>AI104*VLOOKUP('Données projet'!$B$10,Paramètres!$A$1:$I$89,3,0)*VLOOKUP('Données projet'!$B$10,Paramètres!$A$1:$I$89,5,0)</f>
        <v>268.54152000000011</v>
      </c>
      <c r="AK104" s="14">
        <f t="shared" si="89"/>
        <v>64.539645516161599</v>
      </c>
      <c r="AL104" s="22">
        <f t="shared" si="58"/>
        <v>580.11636327398162</v>
      </c>
      <c r="AM104" s="62">
        <f t="shared" si="59"/>
        <v>873.44969660731499</v>
      </c>
      <c r="AN104" s="62">
        <f ca="1">AVERAGE(OFFSET($AM$3,0,0,'Données projet'!$E$10+1,1))-AVERAGE(OFFSET($H$3,0,0,'Données projet'!$E$10+1,1))</f>
        <v>444.81608506581125</v>
      </c>
      <c r="AO104" s="62">
        <f t="shared" si="90"/>
        <v>306.75289431725565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59.969870621026217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59.969870621026217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8.0470000000000024</v>
      </c>
      <c r="BD104" s="13">
        <f>IF('Données projet'!$A$88&gt;35,BD103+BC104-BL103,IF(A104&lt;'Données projet'!$A$88,$BA$205^A104,IF(A104='Données projet'!$A$88,'Données projet'!$B$88,BD103+BC104-BL103)))</f>
        <v>341.2690000000004</v>
      </c>
      <c r="BE104" s="14">
        <f>BD104*VLOOKUP('Données projet'!$B$11,Paramètres!$A$1:$I$89,3,0)*VLOOKUP('Données projet'!$B$11,Paramètres!$A$1:$I$89,5,0)</f>
        <v>367.34195160000041</v>
      </c>
      <c r="BF104" s="14">
        <f t="shared" si="91"/>
        <v>85.123286782440843</v>
      </c>
      <c r="BG104" s="22">
        <f t="shared" si="61"/>
        <v>788.04362351608518</v>
      </c>
      <c r="BH104" s="62">
        <f t="shared" si="62"/>
        <v>1081.3769568494185</v>
      </c>
      <c r="BI104" s="62">
        <f ca="1">AVERAGE(OFFSET($BH$3,0,0,'Données projet'!$E$11+1,1))-AVERAGE(OFFSET($H$3,0,0,'Données projet'!$E$11+1,1))</f>
        <v>683.36974161977764</v>
      </c>
      <c r="BJ104" s="62">
        <f t="shared" si="92"/>
        <v>312.6921234697457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36.936318614468519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36.936318614468519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8.0470000000000024</v>
      </c>
      <c r="BY104" s="13">
        <f>IF('Données projet'!$A$114&gt;35,BY103+BX104-CG103,IF(A104&lt;'Données projet'!$A$114,$BV$205^A104,IF(A104='Données projet'!$A$114,'Données projet'!$B$114,BY103+BX104-CG103)))</f>
        <v>341.2690000000004</v>
      </c>
      <c r="BZ104" s="14">
        <f>BY104*VLOOKUP('Données projet'!$B$12,Paramètres!$A$1:$I$89,3,0)*VLOOKUP('Données projet'!$B$12,Paramètres!$A$1:$I$89,5,0)</f>
        <v>330.07537680000041</v>
      </c>
      <c r="CA104" s="14">
        <f t="shared" si="93"/>
        <v>77.445934497848739</v>
      </c>
      <c r="CB104" s="22">
        <f t="shared" si="64"/>
        <v>709.76628384375397</v>
      </c>
      <c r="CC104" s="62">
        <f t="shared" si="65"/>
        <v>1003.0996171770873</v>
      </c>
      <c r="CD104" s="62">
        <f ca="1">AVERAGE(OFFSET($CC$3,0,0,'Données projet'!$E$12+1,1))-AVERAGE(OFFSET($H$3,0,0,'Données projet'!$E$12+1,1))</f>
        <v>618.83149423524605</v>
      </c>
      <c r="CE104" s="62">
        <f t="shared" si="94"/>
        <v>285.33582535802435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33.189155856478962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33.189155856478962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354.24684313982857</v>
      </c>
      <c r="CZ104" s="62">
        <f t="shared" si="96"/>
        <v>322.65043486962185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110.09030415272102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110.09030415272102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8.0470000000000024</v>
      </c>
      <c r="N105" s="14">
        <f>IF('Données projet'!$A$36&gt;35,N104+M105-V104,IF(A105&lt;'Données projet'!$A$36,$K$205^A105,IF(A105='Données projet'!$A$36,'Données projet'!$B$36,N104+M105-V104)))</f>
        <v>349.31600000000043</v>
      </c>
      <c r="O105" s="14">
        <f>N105*VLOOKUP('Données projet'!$B$9,Paramètres!$A$1:$I$89,3,0)*VLOOKUP('Données projet'!$B$9,Paramètres!$A$1:$I$89,5,0)</f>
        <v>316.06111680000038</v>
      </c>
      <c r="P105" s="14">
        <f t="shared" si="87"/>
        <v>74.533202582557081</v>
      </c>
      <c r="Q105" s="22">
        <f t="shared" si="107"/>
        <v>680.28510625795423</v>
      </c>
      <c r="R105" s="62">
        <f t="shared" si="55"/>
        <v>973.6184395912876</v>
      </c>
      <c r="S105" s="62">
        <f ca="1">AVERAGE(OFFSET($R$3,0,0,'Données projet'!$E$9+1,1))-AVERAGE(OFFSET($H$3,0,0,'Données projet'!$E$9+1,1))</f>
        <v>581.88778927327667</v>
      </c>
      <c r="T105" s="62">
        <f t="shared" si="88"/>
        <v>269.67340993773422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30.439089221034486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30.439089221034486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6.2</v>
      </c>
      <c r="AI105" s="14">
        <f>IF('Données projet'!$A$62&gt;35,AI104+AH105-AQ104,IF(A105&lt;'Données projet'!$A$62,$AF$205^A105,IF(A105='Données projet'!$A$62,'Données projet'!$B$62,AI104+AH105-AQ104)))</f>
        <v>288.40000000000009</v>
      </c>
      <c r="AJ105" s="14">
        <f>AI105*VLOOKUP('Données projet'!$B$10,Paramètres!$A$1:$I$89,3,0)*VLOOKUP('Données projet'!$B$10,Paramètres!$A$1:$I$89,5,0)</f>
        <v>274.44144000000011</v>
      </c>
      <c r="AK105" s="14">
        <f t="shared" si="89"/>
        <v>65.790958016885554</v>
      </c>
      <c r="AL105" s="22">
        <f t="shared" si="58"/>
        <v>592.57142654607583</v>
      </c>
      <c r="AM105" s="62">
        <f t="shared" si="59"/>
        <v>885.90475987940908</v>
      </c>
      <c r="AN105" s="62">
        <f ca="1">AVERAGE(OFFSET($AM$3,0,0,'Données projet'!$E$10+1,1))-AVERAGE(OFFSET($H$3,0,0,'Données projet'!$E$10+1,1))</f>
        <v>444.81608506581125</v>
      </c>
      <c r="AO105" s="62">
        <f t="shared" si="90"/>
        <v>306.75289431725565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58.793898036157195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58.793898036157195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8.0470000000000024</v>
      </c>
      <c r="BD105" s="13">
        <f>IF('Données projet'!$A$88&gt;35,BD104+BC105-BL104,IF(A105&lt;'Données projet'!$A$88,$BA$205^A105,IF(A105='Données projet'!$A$88,'Données projet'!$B$88,BD104+BC105-BL104)))</f>
        <v>349.31600000000043</v>
      </c>
      <c r="BE105" s="14">
        <f>BD105*VLOOKUP('Données projet'!$B$11,Paramètres!$A$1:$I$89,3,0)*VLOOKUP('Données projet'!$B$11,Paramètres!$A$1:$I$89,5,0)</f>
        <v>376.00374240000048</v>
      </c>
      <c r="BF105" s="14">
        <f t="shared" si="91"/>
        <v>86.894415066438185</v>
      </c>
      <c r="BG105" s="22">
        <f t="shared" si="61"/>
        <v>806.21429092071401</v>
      </c>
      <c r="BH105" s="62">
        <f t="shared" si="62"/>
        <v>1099.5476242540474</v>
      </c>
      <c r="BI105" s="62">
        <f ca="1">AVERAGE(OFFSET($BH$3,0,0,'Données projet'!$E$11+1,1))-AVERAGE(OFFSET($H$3,0,0,'Données projet'!$E$11+1,1))</f>
        <v>683.36974161977764</v>
      </c>
      <c r="BJ105" s="62">
        <f t="shared" si="92"/>
        <v>312.6921234697457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36.212019935368602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36.212019935368602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8.0470000000000024</v>
      </c>
      <c r="BY105" s="13">
        <f>IF('Données projet'!$A$114&gt;35,BY104+BX105-CG104,IF(A105&lt;'Données projet'!$A$114,$BV$205^A105,IF(A105='Données projet'!$A$114,'Données projet'!$B$114,BY104+BX105-CG104)))</f>
        <v>349.31600000000043</v>
      </c>
      <c r="BZ105" s="14">
        <f>BY105*VLOOKUP('Données projet'!$B$12,Paramètres!$A$1:$I$89,3,0)*VLOOKUP('Données projet'!$B$12,Paramètres!$A$1:$I$89,5,0)</f>
        <v>337.85843520000043</v>
      </c>
      <c r="CA105" s="14">
        <f t="shared" si="93"/>
        <v>79.057322993928835</v>
      </c>
      <c r="CB105" s="22">
        <f t="shared" si="64"/>
        <v>726.12827885442675</v>
      </c>
      <c r="CC105" s="62">
        <f t="shared" si="65"/>
        <v>1019.46161218776</v>
      </c>
      <c r="CD105" s="62">
        <f ca="1">AVERAGE(OFFSET($CC$3,0,0,'Données projet'!$E$12+1,1))-AVERAGE(OFFSET($H$3,0,0,'Données projet'!$E$12+1,1))</f>
        <v>618.83149423524605</v>
      </c>
      <c r="CE105" s="62">
        <f t="shared" si="94"/>
        <v>285.33582535802435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32.538336753519616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32.538336753519616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354.24684313982857</v>
      </c>
      <c r="CZ105" s="62">
        <f t="shared" si="96"/>
        <v>322.65043486962185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107.93150043674133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107.93150043674133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8.0470000000000024</v>
      </c>
      <c r="N106" s="14">
        <f>IF('Données projet'!$A$36&gt;35,N105+M106-V105,IF(A106&lt;'Données projet'!$A$36,$K$205^A106,IF(A106='Données projet'!$A$36,'Données projet'!$B$36,N105+M106-V105)))</f>
        <v>357.36300000000045</v>
      </c>
      <c r="O106" s="14">
        <f>N106*VLOOKUP('Données projet'!$B$9,Paramètres!$A$1:$I$89,3,0)*VLOOKUP('Données projet'!$B$9,Paramètres!$A$1:$I$89,5,0)</f>
        <v>323.34204240000037</v>
      </c>
      <c r="P106" s="14">
        <f t="shared" si="87"/>
        <v>76.048309539529996</v>
      </c>
      <c r="Q106" s="22">
        <f t="shared" si="107"/>
        <v>695.60486296134877</v>
      </c>
      <c r="R106" s="62">
        <f t="shared" si="55"/>
        <v>988.93819629468203</v>
      </c>
      <c r="S106" s="62">
        <f ca="1">AVERAGE(OFFSET($R$3,0,0,'Données projet'!$E$9+1,1))-AVERAGE(OFFSET($H$3,0,0,'Données projet'!$E$9+1,1))</f>
        <v>581.88778927327667</v>
      </c>
      <c r="T106" s="62">
        <f t="shared" si="88"/>
        <v>269.67340993773422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29.842197247421183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29.842197247421183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6.2</v>
      </c>
      <c r="AI106" s="14">
        <f>IF('Données projet'!$A$62&gt;35,AI105+AH106-AQ105,IF(A106&lt;'Données projet'!$A$62,$AF$205^A106,IF(A106='Données projet'!$A$62,'Données projet'!$B$62,AI105+AH106-AQ105)))</f>
        <v>294.60000000000008</v>
      </c>
      <c r="AJ106" s="14">
        <f>AI106*VLOOKUP('Données projet'!$B$10,Paramètres!$A$1:$I$89,3,0)*VLOOKUP('Données projet'!$B$10,Paramètres!$A$1:$I$89,5,0)</f>
        <v>280.34136000000007</v>
      </c>
      <c r="AK106" s="14">
        <f t="shared" si="89"/>
        <v>67.039142945795618</v>
      </c>
      <c r="AL106" s="22">
        <f t="shared" si="58"/>
        <v>605.02104263059414</v>
      </c>
      <c r="AM106" s="62">
        <f t="shared" si="59"/>
        <v>898.3543759639274</v>
      </c>
      <c r="AN106" s="62">
        <f ca="1">AVERAGE(OFFSET($AM$3,0,0,'Données projet'!$E$10+1,1))-AVERAGE(OFFSET($H$3,0,0,'Données projet'!$E$10+1,1))</f>
        <v>444.81608506581125</v>
      </c>
      <c r="AO106" s="62">
        <f t="shared" si="90"/>
        <v>306.75289431725565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57.640985556404999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57.640985556404999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8.0470000000000024</v>
      </c>
      <c r="BD106" s="13">
        <f>IF('Données projet'!$A$88&gt;35,BD105+BC106-BL105,IF(A106&lt;'Données projet'!$A$88,$BA$205^A106,IF(A106='Données projet'!$A$88,'Données projet'!$B$88,BD105+BC106-BL105)))</f>
        <v>357.36300000000045</v>
      </c>
      <c r="BE106" s="14">
        <f>BD106*VLOOKUP('Données projet'!$B$11,Paramètres!$A$1:$I$89,3,0)*VLOOKUP('Données projet'!$B$11,Paramètres!$A$1:$I$89,5,0)</f>
        <v>384.66553320000048</v>
      </c>
      <c r="BF106" s="14">
        <f t="shared" si="91"/>
        <v>88.660800089856849</v>
      </c>
      <c r="BG106" s="22">
        <f t="shared" si="61"/>
        <v>824.37669714650144</v>
      </c>
      <c r="BH106" s="62">
        <f t="shared" si="62"/>
        <v>1117.7100304798348</v>
      </c>
      <c r="BI106" s="62">
        <f ca="1">AVERAGE(OFFSET($BH$3,0,0,'Données projet'!$E$11+1,1))-AVERAGE(OFFSET($H$3,0,0,'Données projet'!$E$11+1,1))</f>
        <v>683.36974161977764</v>
      </c>
      <c r="BJ106" s="62">
        <f t="shared" si="92"/>
        <v>312.6921234697457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35.50192431158726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35.50192431158726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8.0470000000000024</v>
      </c>
      <c r="BY106" s="13">
        <f>IF('Données projet'!$A$114&gt;35,BY105+BX106-CG105,IF(A106&lt;'Données projet'!$A$114,$BV$205^A106,IF(A106='Données projet'!$A$114,'Données projet'!$B$114,BY105+BX106-CG105)))</f>
        <v>357.36300000000045</v>
      </c>
      <c r="BZ106" s="14">
        <f>BY106*VLOOKUP('Données projet'!$B$12,Paramètres!$A$1:$I$89,3,0)*VLOOKUP('Données projet'!$B$12,Paramètres!$A$1:$I$89,5,0)</f>
        <v>345.64149360000044</v>
      </c>
      <c r="CA106" s="14">
        <f t="shared" si="93"/>
        <v>80.664396028729414</v>
      </c>
      <c r="CB106" s="22">
        <f t="shared" si="64"/>
        <v>742.48275777003767</v>
      </c>
      <c r="CC106" s="62">
        <f t="shared" si="65"/>
        <v>1035.816091103371</v>
      </c>
      <c r="CD106" s="62">
        <f ca="1">AVERAGE(OFFSET($CC$3,0,0,'Données projet'!$E$12+1,1))-AVERAGE(OFFSET($H$3,0,0,'Données projet'!$E$12+1,1))</f>
        <v>618.83149423524605</v>
      </c>
      <c r="CE106" s="62">
        <f t="shared" si="94"/>
        <v>285.33582535802435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31.900279816208844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31.900279816208844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354.24684313982857</v>
      </c>
      <c r="CZ106" s="62">
        <f t="shared" si="96"/>
        <v>322.65043486962185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105.81502954489176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105.81502954489176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8.0470000000000024</v>
      </c>
      <c r="M107" s="13">
        <f t="array" ref="M107">INDEX(L:L,MIN(IF(ISNUMBER(L107:L303),ROW(L107:L303),"")))</f>
        <v>8.0470000000000024</v>
      </c>
      <c r="N107" s="14">
        <f>IF('Données projet'!$A$36&gt;35,N106+M107-V106,IF(A107&lt;'Données projet'!$A$36,$K$205^A107,IF(A107='Données projet'!$A$36,'Données projet'!$B$36,N106+M107-V106)))</f>
        <v>365.41000000000048</v>
      </c>
      <c r="O107" s="14">
        <f>N107*VLOOKUP('Données projet'!$B$9,Paramètres!$A$1:$I$89,3,0)*VLOOKUP('Données projet'!$B$9,Paramètres!$A$1:$I$89,5,0)</f>
        <v>330.62296800000041</v>
      </c>
      <c r="P107" s="14">
        <f t="shared" si="87"/>
        <v>77.559450151847827</v>
      </c>
      <c r="Q107" s="22">
        <f t="shared" si="107"/>
        <v>710.91771161446911</v>
      </c>
      <c r="R107" s="62">
        <f t="shared" si="55"/>
        <v>1004.2510449478025</v>
      </c>
      <c r="S107" s="62">
        <f ca="1">AVERAGE(OFFSET($R$3,0,0,'Données projet'!$E$9+1,1))-AVERAGE(OFFSET($H$3,0,0,'Données projet'!$E$9+1,1))</f>
        <v>581.88778927327667</v>
      </c>
      <c r="T107" s="62">
        <f t="shared" si="88"/>
        <v>269.67340993773422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0.215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42.200831172756061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42.200831172756061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6.2</v>
      </c>
      <c r="AI107" s="14">
        <f>IF('Données projet'!$A$62&gt;35,AI106+AH107-AQ106,IF(A107&lt;'Données projet'!$A$62,$AF$205^A107,IF(A107='Données projet'!$A$62,'Données projet'!$B$62,AI106+AH107-AQ106)))</f>
        <v>300.80000000000007</v>
      </c>
      <c r="AJ107" s="14">
        <f>AI107*VLOOKUP('Données projet'!$B$10,Paramètres!$A$1:$I$89,3,0)*VLOOKUP('Données projet'!$B$10,Paramètres!$A$1:$I$89,5,0)</f>
        <v>286.24128000000007</v>
      </c>
      <c r="AK107" s="14">
        <f t="shared" si="89"/>
        <v>68.284273706763841</v>
      </c>
      <c r="AL107" s="22">
        <f t="shared" si="58"/>
        <v>617.4653393726137</v>
      </c>
      <c r="AM107" s="62">
        <f t="shared" si="59"/>
        <v>910.79867270594696</v>
      </c>
      <c r="AN107" s="62">
        <f ca="1">AVERAGE(OFFSET($AM$3,0,0,'Données projet'!$E$10+1,1))-AVERAGE(OFFSET($H$3,0,0,'Données projet'!$E$10+1,1))</f>
        <v>444.81608506581125</v>
      </c>
      <c r="AO107" s="62">
        <f t="shared" si="90"/>
        <v>306.75289431725565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56.510680987173572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56.510680987173572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365.41</v>
      </c>
      <c r="BB107" s="13">
        <f>VLOOKUP(A107,'Données projet'!$A$87:$I$107,9,0)</f>
        <v>8.0470000000000024</v>
      </c>
      <c r="BC107" s="13">
        <f t="array" ref="BC107">INDEX(BB:BB,MIN(IF(ISNUMBER(BB107:BB303),ROW(BB107:BB303),"")))</f>
        <v>8.0470000000000024</v>
      </c>
      <c r="BD107" s="13">
        <f>IF('Données projet'!$A$88&gt;35,BD106+BC107-BL106,IF(A107&lt;'Données projet'!$A$88,$BA$205^A107,IF(A107='Données projet'!$A$88,'Données projet'!$B$88,BD106+BC107-BL106)))</f>
        <v>365.41000000000048</v>
      </c>
      <c r="BE107" s="14">
        <f>BD107*VLOOKUP('Données projet'!$B$11,Paramètres!$A$1:$I$89,3,0)*VLOOKUP('Données projet'!$B$11,Paramètres!$A$1:$I$89,5,0)</f>
        <v>393.32732400000049</v>
      </c>
      <c r="BF107" s="14">
        <f t="shared" si="91"/>
        <v>90.42256095670065</v>
      </c>
      <c r="BG107" s="22">
        <f t="shared" si="61"/>
        <v>842.53104963292105</v>
      </c>
      <c r="BH107" s="62">
        <f t="shared" si="62"/>
        <v>1135.8643829662544</v>
      </c>
      <c r="BI107" s="62">
        <f ca="1">AVERAGE(OFFSET($BH$3,0,0,'Données projet'!$E$11+1,1))-AVERAGE(OFFSET($H$3,0,0,'Données projet'!$E$11+1,1))</f>
        <v>683.36974161977764</v>
      </c>
      <c r="BJ107" s="62">
        <f t="shared" si="92"/>
        <v>312.6921234697457</v>
      </c>
      <c r="BK107" s="16">
        <f>IF(ISNA(VLOOKUP(A107,'Données projet'!$A$87:$I$107,3,0)),0,VLOOKUP(A107,'Données projet'!$A$87:$I$107,3,0))</f>
        <v>8</v>
      </c>
      <c r="BL107" s="16">
        <f>IF(ISNA(VLOOKUP(A107,'Données projet'!$A$87:$I$107,4,0)),0,VLOOKUP(A107,'Données projet'!$A$87:$I$107,4,0))</f>
        <v>60.19</v>
      </c>
      <c r="BM107" s="17">
        <f>IF(ISNA(VLOOKUP(A107,'Données projet'!$A$87:$I$107,5,0)),0%,VLOOKUP(A107,'Données projet'!$A$87:$I$107,5,0)*VLOOKUP('Données projet'!$B$11,Paramètres!$A$1:$I$89,7,0))</f>
        <v>0.215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50.204437084830474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50.204437084830474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>
        <f>VLOOKUP(A107,'Données projet'!$A$113:$I$133,2,0)</f>
        <v>365.41</v>
      </c>
      <c r="BW107" s="13">
        <f>VLOOKUP(A107,'Données projet'!$A$113:$I$133,9,0)</f>
        <v>8.0470000000000024</v>
      </c>
      <c r="BX107" s="13">
        <f t="array" ref="BX107">INDEX(BW:BW,MIN(IF(ISNUMBER(BW107:BW303),ROW(BW107:BW303),"")))</f>
        <v>8.0470000000000024</v>
      </c>
      <c r="BY107" s="13">
        <f>IF('Données projet'!$A$114&gt;35,BY106+BX107-CG106,IF(A107&lt;'Données projet'!$A$114,$BV$205^A107,IF(A107='Données projet'!$A$114,'Données projet'!$B$114,BY106+BX107-CG106)))</f>
        <v>365.41000000000048</v>
      </c>
      <c r="BZ107" s="14">
        <f>BY107*VLOOKUP('Données projet'!$B$12,Paramètres!$A$1:$I$89,3,0)*VLOOKUP('Données projet'!$B$12,Paramètres!$A$1:$I$89,5,0)</f>
        <v>353.42455200000046</v>
      </c>
      <c r="CA107" s="14">
        <f t="shared" si="93"/>
        <v>82.267261964148275</v>
      </c>
      <c r="CB107" s="22">
        <f t="shared" si="64"/>
        <v>758.8299093208924</v>
      </c>
      <c r="CC107" s="62">
        <f t="shared" si="65"/>
        <v>1052.1632426542258</v>
      </c>
      <c r="CD107" s="62">
        <f ca="1">AVERAGE(OFFSET($CC$3,0,0,'Données projet'!$E$12+1,1))-AVERAGE(OFFSET($H$3,0,0,'Données projet'!$E$12+1,1))</f>
        <v>618.83149423524605</v>
      </c>
      <c r="CE107" s="62">
        <f t="shared" si="94"/>
        <v>285.33582535802435</v>
      </c>
      <c r="CF107" s="16">
        <f>IF(ISNA(VLOOKUP(A107,'Données projet'!$A$113:$I$133,3,0)),0,VLOOKUP(A107,'Données projet'!$A$113:$I$133,3,0))</f>
        <v>8</v>
      </c>
      <c r="CG107" s="16">
        <f>IF(ISNA(VLOOKUP(A107,'Données projet'!$A$113:$I$133,4,0)),0,VLOOKUP(A107,'Données projet'!$A$113:$I$133,4,0))</f>
        <v>60.19</v>
      </c>
      <c r="CH107" s="17">
        <f>IF(ISNA(VLOOKUP(A107,'Données projet'!$A$113:$I$133,5,0)),0%,VLOOKUP(A107,'Données projet'!$A$113:$I$133,5,0)*VLOOKUP('Données projet'!$B$12,Paramètres!$A$1:$I$89,7,0))</f>
        <v>0.215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45.111233322601294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45.111233322601294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354.24684313982857</v>
      </c>
      <c r="CZ107" s="62">
        <f t="shared" si="96"/>
        <v>322.65043486962185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103.74006135631157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103.74006135631157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313.15500000000048</v>
      </c>
      <c r="O108" s="14">
        <f>N108*VLOOKUP('Données projet'!$B$9,Paramètres!$A$1:$I$89,3,0)*VLOOKUP('Données projet'!$B$9,Paramètres!$A$1:$I$89,5,0)</f>
        <v>283.34264400000046</v>
      </c>
      <c r="P108" s="14">
        <f t="shared" si="87"/>
        <v>67.672917015543916</v>
      </c>
      <c r="Q108" s="22">
        <f t="shared" si="107"/>
        <v>611.3521021020731</v>
      </c>
      <c r="R108" s="62">
        <f t="shared" si="55"/>
        <v>904.68543543540636</v>
      </c>
      <c r="S108" s="62">
        <f ca="1">AVERAGE(OFFSET($R$3,0,0,'Données projet'!$E$9+1,1))-AVERAGE(OFFSET($H$3,0,0,'Données projet'!$E$9+1,1))</f>
        <v>581.88778927327667</v>
      </c>
      <c r="T108" s="62">
        <f t="shared" si="88"/>
        <v>269.67340993773422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41.373298613423721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41.373298613423721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307</v>
      </c>
      <c r="AG108" s="13">
        <f>VLOOKUP(A108,'Données projet'!$A$61:$I$81,9,0)</f>
        <v>6.2</v>
      </c>
      <c r="AH108" s="13">
        <f t="array" ref="AH108">INDEX(AG:AG,MIN(IF(ISNUMBER(AG108:AG304),ROW(AG108:AG304),"")))</f>
        <v>6.2</v>
      </c>
      <c r="AI108" s="14">
        <f>IF('Données projet'!$A$62&gt;35,AI107+AH108-AQ107,IF(A108&lt;'Données projet'!$A$62,$AF$205^A108,IF(A108='Données projet'!$A$62,'Données projet'!$B$62,AI107+AH108-AQ107)))</f>
        <v>307.00000000000006</v>
      </c>
      <c r="AJ108" s="14">
        <f>AI108*VLOOKUP('Données projet'!$B$10,Paramètres!$A$1:$I$89,3,0)*VLOOKUP('Données projet'!$B$10,Paramètres!$A$1:$I$89,5,0)</f>
        <v>292.14120000000008</v>
      </c>
      <c r="AK108" s="14">
        <f t="shared" si="89"/>
        <v>69.526420504752267</v>
      </c>
      <c r="AL108" s="22">
        <f t="shared" si="58"/>
        <v>629.90443904577694</v>
      </c>
      <c r="AM108" s="62">
        <f t="shared" si="59"/>
        <v>923.23777237911031</v>
      </c>
      <c r="AN108" s="62">
        <f ca="1">AVERAGE(OFFSET($AM$3,0,0,'Données projet'!$E$10+1,1))-AVERAGE(OFFSET($H$3,0,0,'Données projet'!$E$10+1,1))</f>
        <v>444.81608506581125</v>
      </c>
      <c r="AO108" s="62">
        <f t="shared" si="90"/>
        <v>306.75289431725565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28</v>
      </c>
      <c r="AR108" s="17">
        <f>IF(ISNA(VLOOKUP(A108,'Données projet'!$A$61:$I$81,5,0)),0%,VLOOKUP(A108,'Données projet'!$A$61:$I$81,5,0)*VLOOKUP('Données projet'!$B$10,Paramètres!$A$1:$I$89,7,0))</f>
        <v>0.34400000000000003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65.535073787118421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65.535073787118421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7.9349999999999969</v>
      </c>
      <c r="BD108" s="13">
        <f>IF('Données projet'!$A$88&gt;35,BD107+BC108-BL107,IF(A108&lt;'Données projet'!$A$88,$BA$205^A108,IF(A108='Données projet'!$A$88,'Données projet'!$B$88,BD107+BC108-BL107)))</f>
        <v>313.15500000000048</v>
      </c>
      <c r="BE108" s="14">
        <f>BD108*VLOOKUP('Données projet'!$B$11,Paramètres!$A$1:$I$89,3,0)*VLOOKUP('Données projet'!$B$11,Paramètres!$A$1:$I$89,5,0)</f>
        <v>337.0800420000005</v>
      </c>
      <c r="BF108" s="14">
        <f t="shared" si="91"/>
        <v>78.896362106429635</v>
      </c>
      <c r="BG108" s="22">
        <f t="shared" si="61"/>
        <v>724.49223715203243</v>
      </c>
      <c r="BH108" s="62">
        <f t="shared" si="62"/>
        <v>1017.8255704853657</v>
      </c>
      <c r="BI108" s="62">
        <f ca="1">AVERAGE(OFFSET($BH$3,0,0,'Données projet'!$E$11+1,1))-AVERAGE(OFFSET($H$3,0,0,'Données projet'!$E$11+1,1))</f>
        <v>683.36974161977764</v>
      </c>
      <c r="BJ108" s="62">
        <f t="shared" si="92"/>
        <v>312.6921234697457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49.219958695279928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49.219958695279928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7.9349999999999969</v>
      </c>
      <c r="BY108" s="13">
        <f>IF('Données projet'!$A$114&gt;35,BY107+BX108-CG107,IF(A108&lt;'Données projet'!$A$114,$BV$205^A108,IF(A108='Données projet'!$A$114,'Données projet'!$B$114,BY107+BX108-CG107)))</f>
        <v>313.15500000000048</v>
      </c>
      <c r="BZ108" s="14">
        <f>BY108*VLOOKUP('Données projet'!$B$12,Paramètres!$A$1:$I$89,3,0)*VLOOKUP('Données projet'!$B$12,Paramètres!$A$1:$I$89,5,0)</f>
        <v>302.88351600000044</v>
      </c>
      <c r="CA108" s="14">
        <f t="shared" si="93"/>
        <v>71.780622233603793</v>
      </c>
      <c r="CB108" s="22">
        <f t="shared" si="64"/>
        <v>652.54004075686078</v>
      </c>
      <c r="CC108" s="62">
        <f t="shared" si="65"/>
        <v>945.87337409019415</v>
      </c>
      <c r="CD108" s="62">
        <f ca="1">AVERAGE(OFFSET($CC$3,0,0,'Données projet'!$E$12+1,1))-AVERAGE(OFFSET($H$3,0,0,'Données projet'!$E$12+1,1))</f>
        <v>618.83149423524605</v>
      </c>
      <c r="CE108" s="62">
        <f t="shared" si="94"/>
        <v>285.33582535802435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44.226629552280514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44.226629552280514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354.24684313982857</v>
      </c>
      <c r="CZ108" s="62">
        <f t="shared" si="96"/>
        <v>322.65043486962185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101.70578202830383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101.70578202830383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321.09000000000049</v>
      </c>
      <c r="O109" s="14">
        <f>N109*VLOOKUP('Données projet'!$B$9,Paramètres!$A$1:$I$89,3,0)*VLOOKUP('Données projet'!$B$9,Paramètres!$A$1:$I$89,5,0)</f>
        <v>290.52223200000043</v>
      </c>
      <c r="P109" s="14">
        <f t="shared" si="87"/>
        <v>69.185862279978352</v>
      </c>
      <c r="Q109" s="22">
        <f t="shared" si="107"/>
        <v>626.49159753762979</v>
      </c>
      <c r="R109" s="62">
        <f t="shared" si="55"/>
        <v>919.82493087096304</v>
      </c>
      <c r="S109" s="62">
        <f ca="1">AVERAGE(OFFSET($R$3,0,0,'Données projet'!$E$9+1,1))-AVERAGE(OFFSET($H$3,0,0,'Données projet'!$E$9+1,1))</f>
        <v>581.88778927327667</v>
      </c>
      <c r="T109" s="62">
        <f t="shared" si="88"/>
        <v>269.67340993773422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40.561993462834863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40.561993462834863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</v>
      </c>
      <c r="AI109" s="14">
        <f>IF('Données projet'!$A$62&gt;35,AI108+AH109-AQ108,IF(A109&lt;'Données projet'!$A$62,$AF$205^A109,IF(A109='Données projet'!$A$62,'Données projet'!$B$62,AI108+AH109-AQ108)))</f>
        <v>285.00000000000006</v>
      </c>
      <c r="AJ109" s="14">
        <f>AI109*VLOOKUP('Données projet'!$B$10,Paramètres!$A$1:$I$89,3,0)*VLOOKUP('Données projet'!$B$10,Paramètres!$A$1:$I$89,5,0)</f>
        <v>271.20600000000002</v>
      </c>
      <c r="AK109" s="14">
        <f t="shared" si="89"/>
        <v>65.105146500462041</v>
      </c>
      <c r="AL109" s="22">
        <f t="shared" si="58"/>
        <v>585.7419134883047</v>
      </c>
      <c r="AM109" s="62">
        <f t="shared" si="59"/>
        <v>879.07524682163807</v>
      </c>
      <c r="AN109" s="62">
        <f ca="1">AVERAGE(OFFSET($AM$3,0,0,'Données projet'!$E$10+1,1))-AVERAGE(OFFSET($H$3,0,0,'Données projet'!$E$10+1,1))</f>
        <v>444.81608506581125</v>
      </c>
      <c r="AO109" s="62">
        <f t="shared" si="90"/>
        <v>306.75289431725565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64.249970962601083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64.249970962601083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7.9349999999999969</v>
      </c>
      <c r="BD109" s="13">
        <f>IF('Données projet'!$A$88&gt;35,BD108+BC109-BL108,IF(A109&lt;'Données projet'!$A$88,$BA$205^A109,IF(A109='Données projet'!$A$88,'Données projet'!$B$88,BD108+BC109-BL108)))</f>
        <v>321.09000000000049</v>
      </c>
      <c r="BE109" s="14">
        <f>BD109*VLOOKUP('Données projet'!$B$11,Paramètres!$A$1:$I$89,3,0)*VLOOKUP('Données projet'!$B$11,Paramètres!$A$1:$I$89,5,0)</f>
        <v>345.62127600000048</v>
      </c>
      <c r="BF109" s="14">
        <f t="shared" si="91"/>
        <v>80.660226924058378</v>
      </c>
      <c r="BG109" s="22">
        <f t="shared" si="61"/>
        <v>742.44028425940235</v>
      </c>
      <c r="BH109" s="62">
        <f t="shared" si="62"/>
        <v>1035.7736175927357</v>
      </c>
      <c r="BI109" s="62">
        <f ca="1">AVERAGE(OFFSET($BH$3,0,0,'Données projet'!$E$11+1,1))-AVERAGE(OFFSET($H$3,0,0,'Données projet'!$E$11+1,1))</f>
        <v>683.36974161977764</v>
      </c>
      <c r="BJ109" s="62">
        <f t="shared" si="92"/>
        <v>312.6921234697457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48.254785326475947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48.254785326475947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7.9349999999999969</v>
      </c>
      <c r="BY109" s="13">
        <f>IF('Données projet'!$A$114&gt;35,BY108+BX109-CG108,IF(A109&lt;'Données projet'!$A$114,$BV$205^A109,IF(A109='Données projet'!$A$114,'Données projet'!$B$114,BY108+BX109-CG108)))</f>
        <v>321.09000000000049</v>
      </c>
      <c r="BZ109" s="14">
        <f>BY109*VLOOKUP('Données projet'!$B$12,Paramètres!$A$1:$I$89,3,0)*VLOOKUP('Données projet'!$B$12,Paramètres!$A$1:$I$89,5,0)</f>
        <v>310.5582480000005</v>
      </c>
      <c r="CA109" s="14">
        <f t="shared" si="93"/>
        <v>73.385402362433595</v>
      </c>
      <c r="CB109" s="22">
        <f t="shared" si="64"/>
        <v>668.70185771457261</v>
      </c>
      <c r="CC109" s="62">
        <f t="shared" si="65"/>
        <v>962.03519104790598</v>
      </c>
      <c r="CD109" s="62">
        <f ca="1">AVERAGE(OFFSET($CC$3,0,0,'Données projet'!$E$12+1,1))-AVERAGE(OFFSET($H$3,0,0,'Données projet'!$E$12+1,1))</f>
        <v>618.83149423524605</v>
      </c>
      <c r="CE109" s="62">
        <f t="shared" si="94"/>
        <v>285.33582535802435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43.359372322340704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43.359372322340704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354.24684313982857</v>
      </c>
      <c r="CZ109" s="62">
        <f t="shared" si="96"/>
        <v>322.65043486962185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99.711393677130445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99.711393677130445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329.02500000000049</v>
      </c>
      <c r="O110" s="14">
        <f>N110*VLOOKUP('Données projet'!$B$9,Paramètres!$A$1:$I$89,3,0)*VLOOKUP('Données projet'!$B$9,Paramètres!$A$1:$I$89,5,0)</f>
        <v>297.70182000000045</v>
      </c>
      <c r="P110" s="14">
        <f t="shared" si="87"/>
        <v>70.69446125561177</v>
      </c>
      <c r="Q110" s="22">
        <f t="shared" si="107"/>
        <v>641.62352318685794</v>
      </c>
      <c r="R110" s="62">
        <f t="shared" si="55"/>
        <v>934.9568565201912</v>
      </c>
      <c r="S110" s="62">
        <f ca="1">AVERAGE(OFFSET($R$3,0,0,'Données projet'!$E$9+1,1))-AVERAGE(OFFSET($H$3,0,0,'Données projet'!$E$9+1,1))</f>
        <v>581.88778927327667</v>
      </c>
      <c r="T110" s="62">
        <f t="shared" si="88"/>
        <v>269.67340993773422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39.766597511401777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39.766597511401777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</v>
      </c>
      <c r="AI110" s="14">
        <f>IF('Données projet'!$A$62&gt;35,AI109+AH110-AQ109,IF(A110&lt;'Données projet'!$A$62,$AF$205^A110,IF(A110='Données projet'!$A$62,'Données projet'!$B$62,AI109+AH110-AQ109)))</f>
        <v>291.00000000000006</v>
      </c>
      <c r="AJ110" s="14">
        <f>AI110*VLOOKUP('Données projet'!$B$10,Paramètres!$A$1:$I$89,3,0)*VLOOKUP('Données projet'!$B$10,Paramètres!$A$1:$I$89,5,0)</f>
        <v>276.91560000000004</v>
      </c>
      <c r="AK110" s="14">
        <f t="shared" si="89"/>
        <v>66.314766879144798</v>
      </c>
      <c r="AL110" s="22">
        <f t="shared" si="58"/>
        <v>597.79288898117727</v>
      </c>
      <c r="AM110" s="62">
        <f t="shared" si="59"/>
        <v>891.12622231451064</v>
      </c>
      <c r="AN110" s="62">
        <f ca="1">AVERAGE(OFFSET($AM$3,0,0,'Données projet'!$E$10+1,1))-AVERAGE(OFFSET($H$3,0,0,'Données projet'!$E$10+1,1))</f>
        <v>444.81608506581125</v>
      </c>
      <c r="AO110" s="62">
        <f t="shared" si="90"/>
        <v>306.75289431725565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62.990068220637205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62.990068220637205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7.9349999999999969</v>
      </c>
      <c r="BD110" s="13">
        <f>IF('Données projet'!$A$88&gt;35,BD109+BC110-BL109,IF(A110&lt;'Données projet'!$A$88,$BA$205^A110,IF(A110='Données projet'!$A$88,'Données projet'!$B$88,BD109+BC110-BL109)))</f>
        <v>329.02500000000049</v>
      </c>
      <c r="BE110" s="14">
        <f>BD110*VLOOKUP('Données projet'!$B$11,Paramètres!$A$1:$I$89,3,0)*VLOOKUP('Données projet'!$B$11,Paramètres!$A$1:$I$89,5,0)</f>
        <v>354.16251000000051</v>
      </c>
      <c r="BF110" s="14">
        <f t="shared" si="91"/>
        <v>82.419024627837416</v>
      </c>
      <c r="BG110" s="22">
        <f t="shared" si="61"/>
        <v>760.37950614348438</v>
      </c>
      <c r="BH110" s="62">
        <f t="shared" si="62"/>
        <v>1053.7128394768176</v>
      </c>
      <c r="BI110" s="62">
        <f ca="1">AVERAGE(OFFSET($BH$3,0,0,'Données projet'!$E$11+1,1))-AVERAGE(OFFSET($H$3,0,0,'Données projet'!$E$11+1,1))</f>
        <v>683.36974161977764</v>
      </c>
      <c r="BJ110" s="62">
        <f t="shared" si="92"/>
        <v>312.6921234697457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47.308538418736582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47.308538418736582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7.9349999999999969</v>
      </c>
      <c r="BY110" s="13">
        <f>IF('Données projet'!$A$114&gt;35,BY109+BX110-CG109,IF(A110&lt;'Données projet'!$A$114,$BV$205^A110,IF(A110='Données projet'!$A$114,'Données projet'!$B$114,BY109+BX110-CG109)))</f>
        <v>329.02500000000049</v>
      </c>
      <c r="BZ110" s="14">
        <f>BY110*VLOOKUP('Données projet'!$B$12,Paramètres!$A$1:$I$89,3,0)*VLOOKUP('Données projet'!$B$12,Paramètres!$A$1:$I$89,5,0)</f>
        <v>318.23298000000051</v>
      </c>
      <c r="CA110" s="14">
        <f t="shared" si="93"/>
        <v>74.985572385355411</v>
      </c>
      <c r="CB110" s="22">
        <f t="shared" si="64"/>
        <v>684.85564540449479</v>
      </c>
      <c r="CC110" s="62">
        <f t="shared" si="65"/>
        <v>978.18897873782817</v>
      </c>
      <c r="CD110" s="62">
        <f ca="1">AVERAGE(OFFSET($CC$3,0,0,'Données projet'!$E$12+1,1))-AVERAGE(OFFSET($H$3,0,0,'Données projet'!$E$12+1,1))</f>
        <v>618.83149423524605</v>
      </c>
      <c r="CE110" s="62">
        <f t="shared" si="94"/>
        <v>285.33582535802435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42.509121477705335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42.509121477705335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354.24684313982857</v>
      </c>
      <c r="CZ110" s="62">
        <f t="shared" si="96"/>
        <v>322.65043486962185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97.756114065066782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97.756114065066782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336.96000000000049</v>
      </c>
      <c r="O111" s="14">
        <f>N111*VLOOKUP('Données projet'!$B$9,Paramètres!$A$1:$I$89,3,0)*VLOOKUP('Données projet'!$B$9,Paramètres!$A$1:$I$89,5,0)</f>
        <v>304.88140800000042</v>
      </c>
      <c r="P111" s="14">
        <f t="shared" si="87"/>
        <v>72.198830820277394</v>
      </c>
      <c r="Q111" s="22">
        <f t="shared" si="107"/>
        <v>656.74808261198393</v>
      </c>
      <c r="R111" s="62">
        <f t="shared" si="55"/>
        <v>950.0814159453173</v>
      </c>
      <c r="S111" s="62">
        <f ca="1">AVERAGE(OFFSET($R$3,0,0,'Données projet'!$E$9+1,1))-AVERAGE(OFFSET($H$3,0,0,'Données projet'!$E$9+1,1))</f>
        <v>581.88778927327667</v>
      </c>
      <c r="T111" s="62">
        <f t="shared" si="88"/>
        <v>269.67340993773422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38.986798789432662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38.986798789432662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</v>
      </c>
      <c r="AI111" s="14">
        <f>IF('Données projet'!$A$62&gt;35,AI110+AH111-AQ110,IF(A111&lt;'Données projet'!$A$62,$AF$205^A111,IF(A111='Données projet'!$A$62,'Données projet'!$B$62,AI110+AH111-AQ110)))</f>
        <v>297.00000000000006</v>
      </c>
      <c r="AJ111" s="14">
        <f>AI111*VLOOKUP('Données projet'!$B$10,Paramètres!$A$1:$I$89,3,0)*VLOOKUP('Données projet'!$B$10,Paramètres!$A$1:$I$89,5,0)</f>
        <v>282.62520000000006</v>
      </c>
      <c r="AK111" s="14">
        <f t="shared" si="89"/>
        <v>67.521487432655931</v>
      </c>
      <c r="AL111" s="22">
        <f t="shared" si="58"/>
        <v>609.83881394520915</v>
      </c>
      <c r="AM111" s="62">
        <f t="shared" si="59"/>
        <v>903.17214727854252</v>
      </c>
      <c r="AN111" s="62">
        <f ca="1">AVERAGE(OFFSET($AM$3,0,0,'Données projet'!$E$10+1,1))-AVERAGE(OFFSET($H$3,0,0,'Données projet'!$E$10+1,1))</f>
        <v>444.81608506581125</v>
      </c>
      <c r="AO111" s="62">
        <f t="shared" si="90"/>
        <v>306.75289431725565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61.754871402978452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61.754871402978452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7.9349999999999969</v>
      </c>
      <c r="BD111" s="13">
        <f>IF('Données projet'!$A$88&gt;35,BD110+BC111-BL110,IF(A111&lt;'Données projet'!$A$88,$BA$205^A111,IF(A111='Données projet'!$A$88,'Données projet'!$B$88,BD110+BC111-BL110)))</f>
        <v>336.96000000000049</v>
      </c>
      <c r="BE111" s="14">
        <f>BD111*VLOOKUP('Données projet'!$B$11,Paramètres!$A$1:$I$89,3,0)*VLOOKUP('Données projet'!$B$11,Paramètres!$A$1:$I$89,5,0)</f>
        <v>362.70374400000048</v>
      </c>
      <c r="BF111" s="14">
        <f t="shared" si="91"/>
        <v>84.172891479601518</v>
      </c>
      <c r="BG111" s="22">
        <f t="shared" si="61"/>
        <v>778.31014012697335</v>
      </c>
      <c r="BH111" s="62">
        <f t="shared" si="62"/>
        <v>1071.6434734603067</v>
      </c>
      <c r="BI111" s="62">
        <f ca="1">AVERAGE(OFFSET($BH$3,0,0,'Données projet'!$E$11+1,1))-AVERAGE(OFFSET($H$3,0,0,'Données projet'!$E$11+1,1))</f>
        <v>683.36974161977764</v>
      </c>
      <c r="BJ111" s="62">
        <f t="shared" si="92"/>
        <v>312.6921234697457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46.380846835704361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46.380846835704361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7.9349999999999969</v>
      </c>
      <c r="BY111" s="13">
        <f>IF('Données projet'!$A$114&gt;35,BY110+BX111-CG110,IF(A111&lt;'Données projet'!$A$114,$BV$205^A111,IF(A111='Données projet'!$A$114,'Données projet'!$B$114,BY110+BX111-CG110)))</f>
        <v>336.96000000000049</v>
      </c>
      <c r="BZ111" s="14">
        <f>BY111*VLOOKUP('Données projet'!$B$12,Paramètres!$A$1:$I$89,3,0)*VLOOKUP('Données projet'!$B$12,Paramètres!$A$1:$I$89,5,0)</f>
        <v>325.90771200000052</v>
      </c>
      <c r="CA111" s="14">
        <f t="shared" si="93"/>
        <v>76.581256274616251</v>
      </c>
      <c r="CB111" s="22">
        <f t="shared" si="64"/>
        <v>701.00161974495734</v>
      </c>
      <c r="CC111" s="62">
        <f t="shared" si="65"/>
        <v>994.33495307829071</v>
      </c>
      <c r="CD111" s="62">
        <f ca="1">AVERAGE(OFFSET($CC$3,0,0,'Données projet'!$E$12+1,1))-AVERAGE(OFFSET($H$3,0,0,'Données projet'!$E$12+1,1))</f>
        <v>618.83149423524605</v>
      </c>
      <c r="CE111" s="62">
        <f t="shared" si="94"/>
        <v>285.33582535802435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41.67554353353146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41.67554353353146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354.24684313982857</v>
      </c>
      <c r="CZ111" s="62">
        <f t="shared" si="96"/>
        <v>322.65043486962185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95.839176293592885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95.839176293592885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344.89500000000049</v>
      </c>
      <c r="O112" s="14">
        <f>N112*VLOOKUP('Données projet'!$B$9,Paramètres!$A$1:$I$89,3,0)*VLOOKUP('Données projet'!$B$9,Paramètres!$A$1:$I$89,5,0)</f>
        <v>312.06099600000044</v>
      </c>
      <c r="P112" s="14">
        <f t="shared" si="87"/>
        <v>73.699082033131035</v>
      </c>
      <c r="Q112" s="22">
        <f t="shared" si="107"/>
        <v>671.86546924103743</v>
      </c>
      <c r="R112" s="62">
        <f t="shared" si="55"/>
        <v>965.1988025743708</v>
      </c>
      <c r="S112" s="62">
        <f ca="1">AVERAGE(OFFSET($R$3,0,0,'Données projet'!$E$9+1,1))-AVERAGE(OFFSET($H$3,0,0,'Données projet'!$E$9+1,1))</f>
        <v>581.88778927327667</v>
      </c>
      <c r="T112" s="62">
        <f t="shared" si="88"/>
        <v>269.67340993773422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38.222291444771109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38.222291444771109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</v>
      </c>
      <c r="AI112" s="14">
        <f>IF('Données projet'!$A$62&gt;35,AI111+AH112-AQ111,IF(A112&lt;'Données projet'!$A$62,$AF$205^A112,IF(A112='Données projet'!$A$62,'Données projet'!$B$62,AI111+AH112-AQ111)))</f>
        <v>303.00000000000006</v>
      </c>
      <c r="AJ112" s="14">
        <f>AI112*VLOOKUP('Données projet'!$B$10,Paramètres!$A$1:$I$89,3,0)*VLOOKUP('Données projet'!$B$10,Paramètres!$A$1:$I$89,5,0)</f>
        <v>288.33480000000009</v>
      </c>
      <c r="AK112" s="14">
        <f t="shared" si="89"/>
        <v>68.725373494438969</v>
      </c>
      <c r="AL112" s="22">
        <f t="shared" si="58"/>
        <v>621.8798021694812</v>
      </c>
      <c r="AM112" s="62">
        <f t="shared" si="59"/>
        <v>915.21313550281457</v>
      </c>
      <c r="AN112" s="62">
        <f ca="1">AVERAGE(OFFSET($AM$3,0,0,'Données projet'!$E$10+1,1))-AVERAGE(OFFSET($H$3,0,0,'Données projet'!$E$10+1,1))</f>
        <v>444.81608506581125</v>
      </c>
      <c r="AO112" s="62">
        <f t="shared" si="90"/>
        <v>306.75289431725565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60.543896041518316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60.543896041518316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7.9349999999999969</v>
      </c>
      <c r="BD112" s="13">
        <f>IF('Données projet'!$A$88&gt;35,BD111+BC112-BL111,IF(A112&lt;'Données projet'!$A$88,$BA$205^A112,IF(A112='Données projet'!$A$88,'Données projet'!$B$88,BD111+BC112-BL111)))</f>
        <v>344.89500000000049</v>
      </c>
      <c r="BE112" s="14">
        <f>BD112*VLOOKUP('Données projet'!$B$11,Paramètres!$A$1:$I$89,3,0)*VLOOKUP('Données projet'!$B$11,Paramètres!$A$1:$I$89,5,0)</f>
        <v>371.24497800000051</v>
      </c>
      <c r="BF112" s="14">
        <f t="shared" si="91"/>
        <v>85.921956957490252</v>
      </c>
      <c r="BG112" s="22">
        <f t="shared" si="61"/>
        <v>796.23241171762959</v>
      </c>
      <c r="BH112" s="62">
        <f t="shared" si="62"/>
        <v>1089.565745050963</v>
      </c>
      <c r="BI112" s="62">
        <f ca="1">AVERAGE(OFFSET($BH$3,0,0,'Données projet'!$E$11+1,1))-AVERAGE(OFFSET($H$3,0,0,'Données projet'!$E$11+1,1))</f>
        <v>683.36974161977764</v>
      </c>
      <c r="BJ112" s="62">
        <f t="shared" si="92"/>
        <v>312.6921234697457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45.471346718779408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45.471346718779408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7.9349999999999969</v>
      </c>
      <c r="BY112" s="13">
        <f>IF('Données projet'!$A$114&gt;35,BY111+BX112-CG111,IF(A112&lt;'Données projet'!$A$114,$BV$205^A112,IF(A112='Données projet'!$A$114,'Données projet'!$B$114,BY111+BX112-CG111)))</f>
        <v>344.89500000000049</v>
      </c>
      <c r="BZ112" s="14">
        <f>BY112*VLOOKUP('Données projet'!$B$12,Paramètres!$A$1:$I$89,3,0)*VLOOKUP('Données projet'!$B$12,Paramètres!$A$1:$I$89,5,0)</f>
        <v>333.58244400000052</v>
      </c>
      <c r="CA112" s="14">
        <f t="shared" si="93"/>
        <v>78.172571830595942</v>
      </c>
      <c r="CB112" s="22">
        <f t="shared" si="64"/>
        <v>717.13998590495532</v>
      </c>
      <c r="CC112" s="62">
        <f t="shared" si="65"/>
        <v>1010.4733192382887</v>
      </c>
      <c r="CD112" s="62">
        <f ca="1">AVERAGE(OFFSET($CC$3,0,0,'Données projet'!$E$12+1,1))-AVERAGE(OFFSET($H$3,0,0,'Données projet'!$E$12+1,1))</f>
        <v>618.83149423524605</v>
      </c>
      <c r="CE112" s="62">
        <f t="shared" si="94"/>
        <v>285.33582535802435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40.858311544410491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40.858311544410491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354.24684313982857</v>
      </c>
      <c r="CZ112" s="62">
        <f t="shared" si="96"/>
        <v>322.65043486962185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93.959828502600999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93.959828502600999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352.8300000000005</v>
      </c>
      <c r="O113" s="14">
        <f>N113*VLOOKUP('Données projet'!$B$9,Paramètres!$A$1:$I$89,3,0)*VLOOKUP('Données projet'!$B$9,Paramètres!$A$1:$I$89,5,0)</f>
        <v>319.24058400000041</v>
      </c>
      <c r="P113" s="14">
        <f t="shared" si="87"/>
        <v>75.195320551435159</v>
      </c>
      <c r="Q113" s="22">
        <f t="shared" si="107"/>
        <v>686.97586709375025</v>
      </c>
      <c r="R113" s="62">
        <f t="shared" si="55"/>
        <v>980.30920042708362</v>
      </c>
      <c r="S113" s="62">
        <f ca="1">AVERAGE(OFFSET($R$3,0,0,'Données projet'!$E$9+1,1))-AVERAGE(OFFSET($H$3,0,0,'Données projet'!$E$9+1,1))</f>
        <v>581.88778927327667</v>
      </c>
      <c r="T113" s="62">
        <f t="shared" si="88"/>
        <v>269.67340993773422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37.472775622834931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37.472775622834931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309</v>
      </c>
      <c r="AG113" s="13">
        <f>VLOOKUP(A113,'Données projet'!$A$61:$I$81,9,0)</f>
        <v>6</v>
      </c>
      <c r="AH113" s="13">
        <f t="array" ref="AH113">INDEX(AG:AG,MIN(IF(ISNUMBER(AG113:AG309),ROW(AG113:AG309),"")))</f>
        <v>6</v>
      </c>
      <c r="AI113" s="14">
        <f>IF('Données projet'!$A$62&gt;35,AI112+AH113-AQ112,IF(A113&lt;'Données projet'!$A$62,$AF$205^A113,IF(A113='Données projet'!$A$62,'Données projet'!$B$62,AI112+AH113-AQ112)))</f>
        <v>309.00000000000006</v>
      </c>
      <c r="AJ113" s="14">
        <f>AI113*VLOOKUP('Données projet'!$B$10,Paramètres!$A$1:$I$89,3,0)*VLOOKUP('Données projet'!$B$10,Paramètres!$A$1:$I$89,5,0)</f>
        <v>294.04440000000005</v>
      </c>
      <c r="AK113" s="14">
        <f t="shared" si="89"/>
        <v>69.926487662501046</v>
      </c>
      <c r="AL113" s="22">
        <f t="shared" si="58"/>
        <v>633.91596267885609</v>
      </c>
      <c r="AM113" s="62">
        <f t="shared" si="59"/>
        <v>927.24929601218946</v>
      </c>
      <c r="AN113" s="62">
        <f ca="1">AVERAGE(OFFSET($AM$3,0,0,'Données projet'!$E$10+1,1))-AVERAGE(OFFSET($H$3,0,0,'Données projet'!$E$10+1,1))</f>
        <v>444.81608506581125</v>
      </c>
      <c r="AO113" s="62">
        <f t="shared" si="90"/>
        <v>306.75289431725565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27</v>
      </c>
      <c r="AR113" s="17">
        <f>IF(ISNA(VLOOKUP(A113,'Données projet'!$A$61:$I$81,5,0)),0%,VLOOKUP(A113,'Données projet'!$A$61:$I$81,5,0)*VLOOKUP('Données projet'!$B$10,Paramètres!$A$1:$I$89,7,0))</f>
        <v>0.34400000000000003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69.127323783337474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69.127323783337474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7.9349999999999969</v>
      </c>
      <c r="BD113" s="13">
        <f>IF('Données projet'!$A$88&gt;35,BD112+BC113-BL112,IF(A113&lt;'Données projet'!$A$88,$BA$205^A113,IF(A113='Données projet'!$A$88,'Données projet'!$B$88,BD112+BC113-BL112)))</f>
        <v>352.8300000000005</v>
      </c>
      <c r="BE113" s="14">
        <f>BD113*VLOOKUP('Données projet'!$B$11,Paramètres!$A$1:$I$89,3,0)*VLOOKUP('Données projet'!$B$11,Paramètres!$A$1:$I$89,5,0)</f>
        <v>379.78621200000055</v>
      </c>
      <c r="BF113" s="14">
        <f t="shared" si="91"/>
        <v>87.666344241853807</v>
      </c>
      <c r="BG113" s="22">
        <f t="shared" si="61"/>
        <v>814.14653545456304</v>
      </c>
      <c r="BH113" s="62">
        <f t="shared" si="62"/>
        <v>1107.4798687878963</v>
      </c>
      <c r="BI113" s="62">
        <f ca="1">AVERAGE(OFFSET($BH$3,0,0,'Données projet'!$E$11+1,1))-AVERAGE(OFFSET($H$3,0,0,'Données projet'!$E$11+1,1))</f>
        <v>683.36974161977764</v>
      </c>
      <c r="BJ113" s="62">
        <f t="shared" si="92"/>
        <v>312.6921234697457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44.579681344407057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44.579681344407057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7.9349999999999969</v>
      </c>
      <c r="BY113" s="13">
        <f>IF('Données projet'!$A$114&gt;35,BY112+BX113-CG112,IF(A113&lt;'Données projet'!$A$114,$BV$205^A113,IF(A113='Données projet'!$A$114,'Données projet'!$B$114,BY112+BX113-CG112)))</f>
        <v>352.8300000000005</v>
      </c>
      <c r="BZ113" s="14">
        <f>BY113*VLOOKUP('Données projet'!$B$12,Paramètres!$A$1:$I$89,3,0)*VLOOKUP('Données projet'!$B$12,Paramètres!$A$1:$I$89,5,0)</f>
        <v>341.25717600000047</v>
      </c>
      <c r="CA113" s="14">
        <f t="shared" si="93"/>
        <v>79.759631123888809</v>
      </c>
      <c r="CB113" s="22">
        <f t="shared" si="64"/>
        <v>733.2709390741071</v>
      </c>
      <c r="CC113" s="62">
        <f t="shared" si="65"/>
        <v>1026.6042724074405</v>
      </c>
      <c r="CD113" s="62">
        <f ca="1">AVERAGE(OFFSET($CC$3,0,0,'Données projet'!$E$12+1,1))-AVERAGE(OFFSET($H$3,0,0,'Données projet'!$E$12+1,1))</f>
        <v>618.83149423524605</v>
      </c>
      <c r="CE113" s="62">
        <f t="shared" si="94"/>
        <v>285.33582535802435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40.057104976133886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40.057104976133886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354.24684313982857</v>
      </c>
      <c r="CZ113" s="62">
        <f t="shared" si="96"/>
        <v>322.65043486962185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92.117333575501505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92.117333575501505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360.7650000000005</v>
      </c>
      <c r="O114" s="14">
        <f>N114*VLOOKUP('Données projet'!$B$9,Paramètres!$A$1:$I$89,3,0)*VLOOKUP('Données projet'!$B$9,Paramètres!$A$1:$I$89,5,0)</f>
        <v>326.42017200000043</v>
      </c>
      <c r="P114" s="14">
        <f t="shared" si="87"/>
        <v>76.687647008791089</v>
      </c>
      <c r="Q114" s="22">
        <f t="shared" si="107"/>
        <v>702.07945144031191</v>
      </c>
      <c r="R114" s="62">
        <f t="shared" si="55"/>
        <v>995.41278477364517</v>
      </c>
      <c r="S114" s="62">
        <f ca="1">AVERAGE(OFFSET($R$3,0,0,'Données projet'!$E$9+1,1))-AVERAGE(OFFSET($H$3,0,0,'Données projet'!$E$9+1,1))</f>
        <v>581.88778927327667</v>
      </c>
      <c r="T114" s="62">
        <f t="shared" si="88"/>
        <v>269.67340993773422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36.737957349007409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36.737957349007409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5.6</v>
      </c>
      <c r="AI114" s="14">
        <f>IF('Données projet'!$A$62&gt;35,AI113+AH114-AQ113,IF(A114&lt;'Données projet'!$A$62,$AF$205^A114,IF(A114='Données projet'!$A$62,'Données projet'!$B$62,AI113+AH114-AQ113)))</f>
        <v>287.60000000000008</v>
      </c>
      <c r="AJ114" s="14">
        <f>AI114*VLOOKUP('Données projet'!$B$10,Paramètres!$A$1:$I$89,3,0)*VLOOKUP('Données projet'!$B$10,Paramètres!$A$1:$I$89,5,0)</f>
        <v>273.68016000000006</v>
      </c>
      <c r="AK114" s="14">
        <f t="shared" si="89"/>
        <v>65.629675672026494</v>
      </c>
      <c r="AL114" s="22">
        <f t="shared" si="58"/>
        <v>590.96463046211295</v>
      </c>
      <c r="AM114" s="62">
        <f t="shared" si="59"/>
        <v>884.29796379544632</v>
      </c>
      <c r="AN114" s="62">
        <f ca="1">AVERAGE(OFFSET($AM$3,0,0,'Données projet'!$E$10+1,1))-AVERAGE(OFFSET($H$3,0,0,'Données projet'!$E$10+1,1))</f>
        <v>444.81608506581125</v>
      </c>
      <c r="AO114" s="62">
        <f t="shared" si="90"/>
        <v>306.75289431725565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67.771779127450429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67.771779127450429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7.9349999999999969</v>
      </c>
      <c r="BD114" s="13">
        <f>IF('Données projet'!$A$88&gt;35,BD113+BC114-BL113,IF(A114&lt;'Données projet'!$A$88,$BA$205^A114,IF(A114='Données projet'!$A$88,'Données projet'!$B$88,BD113+BC114-BL113)))</f>
        <v>360.7650000000005</v>
      </c>
      <c r="BE114" s="14">
        <f>BD114*VLOOKUP('Données projet'!$B$11,Paramètres!$A$1:$I$89,3,0)*VLOOKUP('Données projet'!$B$11,Paramètres!$A$1:$I$89,5,0)</f>
        <v>388.32744600000052</v>
      </c>
      <c r="BF114" s="14">
        <f t="shared" si="91"/>
        <v>89.406170656215622</v>
      </c>
      <c r="BG114" s="22">
        <f t="shared" si="61"/>
        <v>832.05271567624311</v>
      </c>
      <c r="BH114" s="62">
        <f t="shared" si="62"/>
        <v>1125.3860490095765</v>
      </c>
      <c r="BI114" s="62">
        <f ca="1">AVERAGE(OFFSET($BH$3,0,0,'Données projet'!$E$11+1,1))-AVERAGE(OFFSET($H$3,0,0,'Données projet'!$E$11+1,1))</f>
        <v>683.36974161977764</v>
      </c>
      <c r="BJ114" s="62">
        <f t="shared" si="92"/>
        <v>312.6921234697457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43.705500984163976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43.705500984163976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7.9349999999999969</v>
      </c>
      <c r="BY114" s="13">
        <f>IF('Données projet'!$A$114&gt;35,BY113+BX114-CG113,IF(A114&lt;'Données projet'!$A$114,$BV$205^A114,IF(A114='Données projet'!$A$114,'Données projet'!$B$114,BY113+BX114-CG113)))</f>
        <v>360.7650000000005</v>
      </c>
      <c r="BZ114" s="14">
        <f>BY114*VLOOKUP('Données projet'!$B$12,Paramètres!$A$1:$I$89,3,0)*VLOOKUP('Données projet'!$B$12,Paramètres!$A$1:$I$89,5,0)</f>
        <v>348.93190800000048</v>
      </c>
      <c r="CA114" s="14">
        <f t="shared" si="93"/>
        <v>81.342540896495009</v>
      </c>
      <c r="CB114" s="22">
        <f t="shared" si="64"/>
        <v>749.39466516139635</v>
      </c>
      <c r="CC114" s="62">
        <f t="shared" si="65"/>
        <v>1042.7279984947297</v>
      </c>
      <c r="CD114" s="62">
        <f ca="1">AVERAGE(OFFSET($CC$3,0,0,'Données projet'!$E$12+1,1))-AVERAGE(OFFSET($H$3,0,0,'Données projet'!$E$12+1,1))</f>
        <v>618.83149423524605</v>
      </c>
      <c r="CE114" s="62">
        <f t="shared" si="94"/>
        <v>285.33582535802435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39.271609579973436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39.271609579973436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354.24684313982857</v>
      </c>
      <c r="CZ114" s="62">
        <f t="shared" si="96"/>
        <v>322.65043486962185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90.310968850111493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90.310968850111493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368.7000000000005</v>
      </c>
      <c r="O115" s="14">
        <f>N115*VLOOKUP('Données projet'!$B$9,Paramètres!$A$1:$I$89,3,0)*VLOOKUP('Données projet'!$B$9,Paramètres!$A$1:$I$89,5,0)</f>
        <v>333.59976000000046</v>
      </c>
      <c r="P115" s="14">
        <f t="shared" si="87"/>
        <v>78.17615735915706</v>
      </c>
      <c r="Q115" s="22">
        <f t="shared" si="107"/>
        <v>717.17638940053257</v>
      </c>
      <c r="R115" s="62">
        <f t="shared" si="55"/>
        <v>1010.5097227338658</v>
      </c>
      <c r="S115" s="62">
        <f ca="1">AVERAGE(OFFSET($R$3,0,0,'Données projet'!$E$9+1,1))-AVERAGE(OFFSET($H$3,0,0,'Données projet'!$E$9+1,1))</f>
        <v>581.88778927327667</v>
      </c>
      <c r="T115" s="62">
        <f t="shared" si="88"/>
        <v>269.67340993773422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36.017548413334758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36.017548413334758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5.6</v>
      </c>
      <c r="AI115" s="14">
        <f>IF('Données projet'!$A$62&gt;35,AI114+AH115-AQ114,IF(A115&lt;'Données projet'!$A$62,$AF$205^A115,IF(A115='Données projet'!$A$62,'Données projet'!$B$62,AI114+AH115-AQ114)))</f>
        <v>293.2000000000001</v>
      </c>
      <c r="AJ115" s="14">
        <f>AI115*VLOOKUP('Données projet'!$B$10,Paramètres!$A$1:$I$89,3,0)*VLOOKUP('Données projet'!$B$10,Paramètres!$A$1:$I$89,5,0)</f>
        <v>279.00912000000011</v>
      </c>
      <c r="AK115" s="14">
        <f t="shared" si="89"/>
        <v>66.757564267146194</v>
      </c>
      <c r="AL115" s="22">
        <f t="shared" si="58"/>
        <v>602.21030843194649</v>
      </c>
      <c r="AM115" s="62">
        <f t="shared" si="59"/>
        <v>895.54364176527974</v>
      </c>
      <c r="AN115" s="62">
        <f ca="1">AVERAGE(OFFSET($AM$3,0,0,'Données projet'!$E$10+1,1))-AVERAGE(OFFSET($H$3,0,0,'Données projet'!$E$10+1,1))</f>
        <v>444.81608506581125</v>
      </c>
      <c r="AO115" s="62">
        <f t="shared" si="90"/>
        <v>306.75289431725565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66.442815875464731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66.442815875464731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7.9349999999999969</v>
      </c>
      <c r="BD115" s="13">
        <f>IF('Données projet'!$A$88&gt;35,BD114+BC115-BL114,IF(A115&lt;'Données projet'!$A$88,$BA$205^A115,IF(A115='Données projet'!$A$88,'Données projet'!$B$88,BD114+BC115-BL114)))</f>
        <v>368.7000000000005</v>
      </c>
      <c r="BE115" s="14">
        <f>BD115*VLOOKUP('Données projet'!$B$11,Paramètres!$A$1:$I$89,3,0)*VLOOKUP('Données projet'!$B$11,Paramètres!$A$1:$I$89,5,0)</f>
        <v>396.86868000000055</v>
      </c>
      <c r="BF115" s="14">
        <f t="shared" si="91"/>
        <v>91.14154806834452</v>
      </c>
      <c r="BG115" s="22">
        <f t="shared" si="61"/>
        <v>849.95114721903428</v>
      </c>
      <c r="BH115" s="62">
        <f t="shared" si="62"/>
        <v>1143.2844805523675</v>
      </c>
      <c r="BI115" s="62">
        <f ca="1">AVERAGE(OFFSET($BH$3,0,0,'Données projet'!$E$11+1,1))-AVERAGE(OFFSET($H$3,0,0,'Données projet'!$E$11+1,1))</f>
        <v>683.36974161977764</v>
      </c>
      <c r="BJ115" s="62">
        <f t="shared" si="92"/>
        <v>312.6921234697457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42.84846276758789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42.84846276758789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7.9349999999999969</v>
      </c>
      <c r="BY115" s="13">
        <f>IF('Données projet'!$A$114&gt;35,BY114+BX115-CG114,IF(A115&lt;'Données projet'!$A$114,$BV$205^A115,IF(A115='Données projet'!$A$114,'Données projet'!$B$114,BY114+BX115-CG114)))</f>
        <v>368.7000000000005</v>
      </c>
      <c r="BZ115" s="14">
        <f>BY115*VLOOKUP('Données projet'!$B$12,Paramètres!$A$1:$I$89,3,0)*VLOOKUP('Données projet'!$B$12,Paramètres!$A$1:$I$89,5,0)</f>
        <v>356.60664000000048</v>
      </c>
      <c r="CA115" s="14">
        <f t="shared" si="93"/>
        <v>82.921402926720376</v>
      </c>
      <c r="CB115" s="22">
        <f t="shared" si="64"/>
        <v>765.51134143070556</v>
      </c>
      <c r="CC115" s="62">
        <f t="shared" si="65"/>
        <v>1058.8446747640389</v>
      </c>
      <c r="CD115" s="62">
        <f ca="1">AVERAGE(OFFSET($CC$3,0,0,'Données projet'!$E$12+1,1))-AVERAGE(OFFSET($H$3,0,0,'Données projet'!$E$12+1,1))</f>
        <v>618.83149423524605</v>
      </c>
      <c r="CE115" s="62">
        <f t="shared" si="94"/>
        <v>285.33582535802435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38.501517269426806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38.501517269426806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354.24684313982857</v>
      </c>
      <c r="CZ115" s="62">
        <f t="shared" si="96"/>
        <v>322.65043486962185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88.540025835212688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88.540025835212688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376.6350000000005</v>
      </c>
      <c r="O116" s="14">
        <f>N116*VLOOKUP('Données projet'!$B$9,Paramètres!$A$1:$I$89,3,0)*VLOOKUP('Données projet'!$B$9,Paramètres!$A$1:$I$89,5,0)</f>
        <v>340.77934800000043</v>
      </c>
      <c r="P116" s="14">
        <f t="shared" si="87"/>
        <v>79.660943190415296</v>
      </c>
      <c r="Q116" s="22">
        <f t="shared" si="107"/>
        <v>732.26684048997402</v>
      </c>
      <c r="R116" s="62">
        <f t="shared" si="55"/>
        <v>1025.6001738233074</v>
      </c>
      <c r="S116" s="62">
        <f ca="1">AVERAGE(OFFSET($R$3,0,0,'Données projet'!$E$9+1,1))-AVERAGE(OFFSET($H$3,0,0,'Données projet'!$E$9+1,1))</f>
        <v>581.88778927327667</v>
      </c>
      <c r="T116" s="62">
        <f t="shared" si="88"/>
        <v>269.67340993773422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35.311266257484583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35.311266257484583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5.6</v>
      </c>
      <c r="AI116" s="14">
        <f>IF('Données projet'!$A$62&gt;35,AI115+AH116-AQ115,IF(A116&lt;'Données projet'!$A$62,$AF$205^A116,IF(A116='Données projet'!$A$62,'Données projet'!$B$62,AI115+AH116-AQ115)))</f>
        <v>298.80000000000013</v>
      </c>
      <c r="AJ116" s="14">
        <f>AI116*VLOOKUP('Données projet'!$B$10,Paramètres!$A$1:$I$89,3,0)*VLOOKUP('Données projet'!$B$10,Paramètres!$A$1:$I$89,5,0)</f>
        <v>284.33808000000016</v>
      </c>
      <c r="AK116" s="14">
        <f t="shared" si="89"/>
        <v>67.882947973242224</v>
      </c>
      <c r="AL116" s="22">
        <f t="shared" si="58"/>
        <v>613.45162372006382</v>
      </c>
      <c r="AM116" s="62">
        <f t="shared" si="59"/>
        <v>906.78495705339719</v>
      </c>
      <c r="AN116" s="62">
        <f ca="1">AVERAGE(OFFSET($AM$3,0,0,'Données projet'!$E$10+1,1))-AVERAGE(OFFSET($H$3,0,0,'Données projet'!$E$10+1,1))</f>
        <v>444.81608506581125</v>
      </c>
      <c r="AO116" s="62">
        <f t="shared" si="90"/>
        <v>306.75289431725565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65.139912782262925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65.139912782262925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7.9349999999999969</v>
      </c>
      <c r="BD116" s="13">
        <f>IF('Données projet'!$A$88&gt;35,BD115+BC116-BL115,IF(A116&lt;'Données projet'!$A$88,$BA$205^A116,IF(A116='Données projet'!$A$88,'Données projet'!$B$88,BD115+BC116-BL115)))</f>
        <v>376.6350000000005</v>
      </c>
      <c r="BE116" s="14">
        <f>BD116*VLOOKUP('Données projet'!$B$11,Paramètres!$A$1:$I$89,3,0)*VLOOKUP('Données projet'!$B$11,Paramètres!$A$1:$I$89,5,0)</f>
        <v>405.40991400000053</v>
      </c>
      <c r="BF116" s="14">
        <f t="shared" si="91"/>
        <v>92.872583255826356</v>
      </c>
      <c r="BG116" s="22">
        <f t="shared" si="61"/>
        <v>867.84201605389853</v>
      </c>
      <c r="BH116" s="62">
        <f t="shared" si="62"/>
        <v>1161.1753493872318</v>
      </c>
      <c r="BI116" s="62">
        <f ca="1">AVERAGE(OFFSET($BH$3,0,0,'Données projet'!$E$11+1,1))-AVERAGE(OFFSET($H$3,0,0,'Données projet'!$E$11+1,1))</f>
        <v>683.36974161977764</v>
      </c>
      <c r="BJ116" s="62">
        <f t="shared" si="92"/>
        <v>312.6921234697457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42.008230547697167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42.008230547697167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7.9349999999999969</v>
      </c>
      <c r="BY116" s="13">
        <f>IF('Données projet'!$A$114&gt;35,BY115+BX116-CG115,IF(A116&lt;'Données projet'!$A$114,$BV$205^A116,IF(A116='Données projet'!$A$114,'Données projet'!$B$114,BY115+BX116-CG115)))</f>
        <v>376.6350000000005</v>
      </c>
      <c r="BZ116" s="14">
        <f>BY116*VLOOKUP('Données projet'!$B$12,Paramètres!$A$1:$I$89,3,0)*VLOOKUP('Données projet'!$B$12,Paramètres!$A$1:$I$89,5,0)</f>
        <v>364.28137200000049</v>
      </c>
      <c r="CA116" s="14">
        <f t="shared" si="93"/>
        <v>84.496314361776058</v>
      </c>
      <c r="CB116" s="22">
        <f t="shared" si="64"/>
        <v>781.62113708009417</v>
      </c>
      <c r="CC116" s="62">
        <f t="shared" si="65"/>
        <v>1074.9544704134275</v>
      </c>
      <c r="CD116" s="62">
        <f ca="1">AVERAGE(OFFSET($CC$3,0,0,'Données projet'!$E$12+1,1))-AVERAGE(OFFSET($H$3,0,0,'Données projet'!$E$12+1,1))</f>
        <v>618.83149423524605</v>
      </c>
      <c r="CE116" s="62">
        <f t="shared" si="94"/>
        <v>285.33582535802435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37.746525999380069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37.746525999380069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354.24684313982857</v>
      </c>
      <c r="CZ116" s="62">
        <f t="shared" si="96"/>
        <v>322.65043486962185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86.803809932667463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86.803809932667463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384.5700000000005</v>
      </c>
      <c r="O117" s="14">
        <f>N117*VLOOKUP('Données projet'!$B$9,Paramètres!$A$1:$I$89,3,0)*VLOOKUP('Données projet'!$B$9,Paramètres!$A$1:$I$89,5,0)</f>
        <v>347.95893600000045</v>
      </c>
      <c r="P117" s="14">
        <f t="shared" si="87"/>
        <v>81.142092010767954</v>
      </c>
      <c r="Q117" s="22">
        <f t="shared" si="107"/>
        <v>747.35095711875499</v>
      </c>
      <c r="R117" s="62">
        <f t="shared" si="55"/>
        <v>1040.6842904520884</v>
      </c>
      <c r="S117" s="62">
        <f ca="1">AVERAGE(OFFSET($R$3,0,0,'Données projet'!$E$9+1,1))-AVERAGE(OFFSET($H$3,0,0,'Données projet'!$E$9+1,1))</f>
        <v>581.88778927327667</v>
      </c>
      <c r="T117" s="62">
        <f t="shared" si="88"/>
        <v>269.67340993773422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0.25800000000000001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49.088215262637867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49.088215262637867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5.6</v>
      </c>
      <c r="AI117" s="14">
        <f>IF('Données projet'!$A$62&gt;35,AI116+AH117-AQ116,IF(A117&lt;'Données projet'!$A$62,$AF$205^A117,IF(A117='Données projet'!$A$62,'Données projet'!$B$62,AI116+AH117-AQ116)))</f>
        <v>304.40000000000015</v>
      </c>
      <c r="AJ117" s="14">
        <f>AI117*VLOOKUP('Données projet'!$B$10,Paramètres!$A$1:$I$89,3,0)*VLOOKUP('Données projet'!$B$10,Paramètres!$A$1:$I$89,5,0)</f>
        <v>289.66704000000016</v>
      </c>
      <c r="AK117" s="14">
        <f t="shared" si="89"/>
        <v>69.005879149563839</v>
      </c>
      <c r="AL117" s="22">
        <f t="shared" si="58"/>
        <v>624.68866751882388</v>
      </c>
      <c r="AM117" s="62">
        <f t="shared" si="59"/>
        <v>918.02200085215713</v>
      </c>
      <c r="AN117" s="62">
        <f ca="1">AVERAGE(OFFSET($AM$3,0,0,'Données projet'!$E$10+1,1))-AVERAGE(OFFSET($H$3,0,0,'Données projet'!$E$10+1,1))</f>
        <v>444.81608506581125</v>
      </c>
      <c r="AO117" s="62">
        <f t="shared" si="90"/>
        <v>306.75289431725565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63.862558824026394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63.862558824026394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384.57</v>
      </c>
      <c r="BB117" s="13">
        <f>VLOOKUP(A117,'Données projet'!$A$87:$I$107,9,0)</f>
        <v>7.9349999999999969</v>
      </c>
      <c r="BC117" s="13">
        <f t="array" ref="BC117">INDEX(BB:BB,MIN(IF(ISNUMBER(BB117:BB313),ROW(BB117:BB313),"")))</f>
        <v>7.9349999999999969</v>
      </c>
      <c r="BD117" s="13">
        <f>IF('Données projet'!$A$88&gt;35,BD116+BC117-BL116,IF(A117&lt;'Données projet'!$A$88,$BA$205^A117,IF(A117='Données projet'!$A$88,'Données projet'!$B$88,BD116+BC117-BL116)))</f>
        <v>384.5700000000005</v>
      </c>
      <c r="BE117" s="14">
        <f>BD117*VLOOKUP('Données projet'!$B$11,Paramètres!$A$1:$I$89,3,0)*VLOOKUP('Données projet'!$B$11,Paramètres!$A$1:$I$89,5,0)</f>
        <v>413.95114800000056</v>
      </c>
      <c r="BF117" s="14">
        <f t="shared" si="91"/>
        <v>94.599378239958753</v>
      </c>
      <c r="BG117" s="22">
        <f t="shared" si="61"/>
        <v>885.7254998679291</v>
      </c>
      <c r="BH117" s="62">
        <f t="shared" si="62"/>
        <v>1179.0588332012624</v>
      </c>
      <c r="BI117" s="62">
        <f ca="1">AVERAGE(OFFSET($BH$3,0,0,'Données projet'!$E$11+1,1))-AVERAGE(OFFSET($H$3,0,0,'Données projet'!$E$11+1,1))</f>
        <v>683.36974161977764</v>
      </c>
      <c r="BJ117" s="62">
        <f t="shared" si="92"/>
        <v>312.6921234697457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56.07</v>
      </c>
      <c r="BM117" s="17">
        <f>IF(ISNA(VLOOKUP(A117,'Données projet'!$A$87:$I$107,5,0)),0%,VLOOKUP(A117,'Données projet'!$A$87:$I$107,5,0)*VLOOKUP('Données projet'!$B$11,Paramètres!$A$1:$I$89,7,0))</f>
        <v>0.25800000000000001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58.39804919175883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58.39804919175883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384.57</v>
      </c>
      <c r="BW117" s="13">
        <f>VLOOKUP(A117,'Données projet'!$A$113:$I$133,9,0)</f>
        <v>7.9349999999999969</v>
      </c>
      <c r="BX117" s="13">
        <f t="array" ref="BX117">INDEX(BW:BW,MIN(IF(ISNUMBER(BW117:BW313),ROW(BW117:BW313),"")))</f>
        <v>7.9349999999999969</v>
      </c>
      <c r="BY117" s="13">
        <f>IF('Données projet'!$A$114&gt;35,BY116+BX117-CG116,IF(A117&lt;'Données projet'!$A$114,$BV$205^A117,IF(A117='Données projet'!$A$114,'Données projet'!$B$114,BY116+BX117-CG116)))</f>
        <v>384.5700000000005</v>
      </c>
      <c r="BZ117" s="14">
        <f>BY117*VLOOKUP('Données projet'!$B$12,Paramètres!$A$1:$I$89,3,0)*VLOOKUP('Données projet'!$B$12,Paramètres!$A$1:$I$89,5,0)</f>
        <v>371.95610400000049</v>
      </c>
      <c r="CA117" s="14">
        <f t="shared" si="93"/>
        <v>86.067368021559375</v>
      </c>
      <c r="CB117" s="22">
        <f t="shared" si="64"/>
        <v>797.72421377088347</v>
      </c>
      <c r="CC117" s="62">
        <f t="shared" si="65"/>
        <v>1091.0575471042168</v>
      </c>
      <c r="CD117" s="62">
        <f ca="1">AVERAGE(OFFSET($CC$3,0,0,'Données projet'!$E$12+1,1))-AVERAGE(OFFSET($H$3,0,0,'Données projet'!$E$12+1,1))</f>
        <v>618.83149423524605</v>
      </c>
      <c r="CE117" s="62">
        <f t="shared" si="94"/>
        <v>285.33582535802435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56.07</v>
      </c>
      <c r="CH117" s="17">
        <f>IF(ISNA(VLOOKUP(A117,'Données projet'!$A$113:$I$133,5,0)),0%,VLOOKUP(A117,'Données projet'!$A$113:$I$133,5,0)*VLOOKUP('Données projet'!$B$12,Paramètres!$A$1:$I$89,7,0))</f>
        <v>0.25800000000000001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52.473609418681846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52.473609418681846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354.24684313982857</v>
      </c>
      <c r="CZ117" s="62">
        <f t="shared" si="96"/>
        <v>322.65043486962185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85.101640164984019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85.101640164984019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336.49200000000053</v>
      </c>
      <c r="O118" s="14">
        <f>N118*VLOOKUP('Données projet'!$B$9,Paramètres!$A$1:$I$89,3,0)*VLOOKUP('Données projet'!$B$9,Paramètres!$A$1:$I$89,5,0)</f>
        <v>304.45796160000049</v>
      </c>
      <c r="P118" s="14">
        <f t="shared" si="87"/>
        <v>72.11021964481435</v>
      </c>
      <c r="Q118" s="22">
        <f t="shared" si="107"/>
        <v>655.85624900138566</v>
      </c>
      <c r="R118" s="62">
        <f t="shared" si="55"/>
        <v>949.18958233471903</v>
      </c>
      <c r="S118" s="62">
        <f ca="1">AVERAGE(OFFSET($R$3,0,0,'Données projet'!$E$9+1,1))-AVERAGE(OFFSET($H$3,0,0,'Données projet'!$E$9+1,1))</f>
        <v>581.88778927327667</v>
      </c>
      <c r="T118" s="62">
        <f t="shared" si="88"/>
        <v>269.67340993773422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48.125625302192432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48.125625302192432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310</v>
      </c>
      <c r="AG118" s="13">
        <f>VLOOKUP(A118,'Données projet'!$A$61:$I$81,9,0)</f>
        <v>5.6</v>
      </c>
      <c r="AH118" s="13">
        <f t="array" ref="AH118">INDEX(AG:AG,MIN(IF(ISNUMBER(AG118:AG314),ROW(AG118:AG314),"")))</f>
        <v>5.6</v>
      </c>
      <c r="AI118" s="14">
        <f>IF('Données projet'!$A$62&gt;35,AI117+AH118-AQ117,IF(A118&lt;'Données projet'!$A$62,$AF$205^A118,IF(A118='Données projet'!$A$62,'Données projet'!$B$62,AI117+AH118-AQ117)))</f>
        <v>310.00000000000017</v>
      </c>
      <c r="AJ118" s="14">
        <f>AI118*VLOOKUP('Données projet'!$B$10,Paramètres!$A$1:$I$89,3,0)*VLOOKUP('Données projet'!$B$10,Paramètres!$A$1:$I$89,5,0)</f>
        <v>294.99600000000015</v>
      </c>
      <c r="AK118" s="14">
        <f t="shared" si="89"/>
        <v>70.126408118585445</v>
      </c>
      <c r="AL118" s="22">
        <f t="shared" si="58"/>
        <v>635.92152747320313</v>
      </c>
      <c r="AM118" s="62">
        <f t="shared" si="59"/>
        <v>929.2548608065365</v>
      </c>
      <c r="AN118" s="62">
        <f ca="1">AVERAGE(OFFSET($AM$3,0,0,'Données projet'!$E$10+1,1))-AVERAGE(OFFSET($H$3,0,0,'Données projet'!$E$10+1,1))</f>
        <v>444.81608506581125</v>
      </c>
      <c r="AO118" s="62">
        <f t="shared" si="90"/>
        <v>306.75289431725565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26</v>
      </c>
      <c r="AR118" s="17">
        <f>IF(ISNA(VLOOKUP(A118,'Données projet'!$A$61:$I$81,5,0)),0%,VLOOKUP(A118,'Données projet'!$A$61:$I$81,5,0)*VLOOKUP('Données projet'!$B$10,Paramètres!$A$1:$I$89,7,0))</f>
        <v>0.34400000000000003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72.019033441936742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72.019033441936742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7.9920000000000018</v>
      </c>
      <c r="BD118" s="13">
        <f>IF('Données projet'!$A$88&gt;35,BD117+BC118-BL117,IF(A118&lt;'Données projet'!$A$88,$BA$205^A118,IF(A118='Données projet'!$A$88,'Données projet'!$B$88,BD117+BC118-BL117)))</f>
        <v>336.49200000000053</v>
      </c>
      <c r="BE118" s="14">
        <f>BD118*VLOOKUP('Données projet'!$B$11,Paramètres!$A$1:$I$89,3,0)*VLOOKUP('Données projet'!$B$11,Paramètres!$A$1:$I$89,5,0)</f>
        <v>362.19998880000054</v>
      </c>
      <c r="BF118" s="14">
        <f t="shared" si="91"/>
        <v>84.069584282360367</v>
      </c>
      <c r="BG118" s="22">
        <f t="shared" si="61"/>
        <v>777.25283978511197</v>
      </c>
      <c r="BH118" s="62">
        <f t="shared" si="62"/>
        <v>1070.5861731184452</v>
      </c>
      <c r="BI118" s="62">
        <f ca="1">AVERAGE(OFFSET($BH$3,0,0,'Données projet'!$E$11+1,1))-AVERAGE(OFFSET($H$3,0,0,'Données projet'!$E$11+1,1))</f>
        <v>683.36974161977764</v>
      </c>
      <c r="BJ118" s="62">
        <f t="shared" si="92"/>
        <v>312.6921234697457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57.252899066401334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57.252899066401334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7.9920000000000018</v>
      </c>
      <c r="BY118" s="13">
        <f>IF('Données projet'!$A$114&gt;35,BY117+BX118-CG117,IF(A118&lt;'Données projet'!$A$114,$BV$205^A118,IF(A118='Données projet'!$A$114,'Données projet'!$B$114,BY117+BX118-CG117)))</f>
        <v>336.49200000000053</v>
      </c>
      <c r="BZ118" s="14">
        <f>BY118*VLOOKUP('Données projet'!$B$12,Paramètres!$A$1:$I$89,3,0)*VLOOKUP('Données projet'!$B$12,Paramètres!$A$1:$I$89,5,0)</f>
        <v>325.45506240000054</v>
      </c>
      <c r="CA118" s="14">
        <f t="shared" si="93"/>
        <v>76.487266454284907</v>
      </c>
      <c r="CB118" s="22">
        <f t="shared" si="64"/>
        <v>700.04955608788043</v>
      </c>
      <c r="CC118" s="62">
        <f t="shared" si="65"/>
        <v>993.3828894212138</v>
      </c>
      <c r="CD118" s="62">
        <f ca="1">AVERAGE(OFFSET($CC$3,0,0,'Données projet'!$E$12+1,1))-AVERAGE(OFFSET($H$3,0,0,'Données projet'!$E$12+1,1))</f>
        <v>618.83149423524605</v>
      </c>
      <c r="CE118" s="62">
        <f t="shared" si="94"/>
        <v>285.33582535802435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51.444633943722934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51.444633943722934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354.24684313982857</v>
      </c>
      <c r="CZ118" s="62">
        <f t="shared" si="96"/>
        <v>322.65043486962185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83.432848908223804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83.432848908223804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344.48400000000055</v>
      </c>
      <c r="O119" s="14">
        <f>N119*VLOOKUP('Données projet'!$B$9,Paramètres!$A$1:$I$89,3,0)*VLOOKUP('Données projet'!$B$9,Paramètres!$A$1:$I$89,5,0)</f>
        <v>311.68912320000049</v>
      </c>
      <c r="P119" s="14">
        <f t="shared" si="87"/>
        <v>73.621474685301479</v>
      </c>
      <c r="Q119" s="22">
        <f t="shared" si="107"/>
        <v>671.08262465023415</v>
      </c>
      <c r="R119" s="62">
        <f t="shared" si="55"/>
        <v>964.41595798356752</v>
      </c>
      <c r="S119" s="62">
        <f ca="1">AVERAGE(OFFSET($R$3,0,0,'Données projet'!$E$9+1,1))-AVERAGE(OFFSET($H$3,0,0,'Données projet'!$E$9+1,1))</f>
        <v>581.88778927327667</v>
      </c>
      <c r="T119" s="62">
        <f t="shared" si="88"/>
        <v>269.67340993773422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47.181911143749431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47.181911143749431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5.6</v>
      </c>
      <c r="AI119" s="14">
        <f>IF('Données projet'!$A$62&gt;35,AI118+AH119-AQ118,IF(A119&lt;'Données projet'!$A$62,$AF$205^A119,IF(A119='Données projet'!$A$62,'Données projet'!$B$62,AI118+AH119-AQ118)))</f>
        <v>289.60000000000019</v>
      </c>
      <c r="AJ119" s="14">
        <f>AI119*VLOOKUP('Données projet'!$B$10,Paramètres!$A$1:$I$89,3,0)*VLOOKUP('Données projet'!$B$10,Paramètres!$A$1:$I$89,5,0)</f>
        <v>275.5833600000002</v>
      </c>
      <c r="AK119" s="14">
        <f t="shared" si="89"/>
        <v>66.032783958273242</v>
      </c>
      <c r="AL119" s="22">
        <f t="shared" si="58"/>
        <v>594.98145072732621</v>
      </c>
      <c r="AM119" s="62">
        <f t="shared" si="59"/>
        <v>888.31478406065958</v>
      </c>
      <c r="AN119" s="62">
        <f ca="1">AVERAGE(OFFSET($AM$3,0,0,'Données projet'!$E$10+1,1))-AVERAGE(OFFSET($H$3,0,0,'Données projet'!$E$10+1,1))</f>
        <v>444.81608506581125</v>
      </c>
      <c r="AO119" s="62">
        <f t="shared" si="90"/>
        <v>306.75289431725565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70.606784123413306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70.606784123413306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7.9920000000000018</v>
      </c>
      <c r="BD119" s="13">
        <f>IF('Données projet'!$A$88&gt;35,BD118+BC119-BL118,IF(A119&lt;'Données projet'!$A$88,$BA$205^A119,IF(A119='Données projet'!$A$88,'Données projet'!$B$88,BD118+BC119-BL118)))</f>
        <v>344.48400000000055</v>
      </c>
      <c r="BE119" s="14">
        <f>BD119*VLOOKUP('Données projet'!$B$11,Paramètres!$A$1:$I$89,3,0)*VLOOKUP('Données projet'!$B$11,Paramètres!$A$1:$I$89,5,0)</f>
        <v>370.80257760000057</v>
      </c>
      <c r="BF119" s="14">
        <f t="shared" si="91"/>
        <v>85.831478555102493</v>
      </c>
      <c r="BG119" s="22">
        <f t="shared" si="61"/>
        <v>795.3043144701378</v>
      </c>
      <c r="BH119" s="62">
        <f t="shared" si="62"/>
        <v>1088.6376478034711</v>
      </c>
      <c r="BI119" s="62">
        <f ca="1">AVERAGE(OFFSET($BH$3,0,0,'Données projet'!$E$11+1,1))-AVERAGE(OFFSET($H$3,0,0,'Données projet'!$E$11+1,1))</f>
        <v>683.36974161977764</v>
      </c>
      <c r="BJ119" s="62">
        <f t="shared" si="92"/>
        <v>312.6921234697457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56.130204636529491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56.130204636529491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7.9920000000000018</v>
      </c>
      <c r="BY119" s="13">
        <f>IF('Données projet'!$A$114&gt;35,BY118+BX119-CG118,IF(A119&lt;'Données projet'!$A$114,$BV$205^A119,IF(A119='Données projet'!$A$114,'Données projet'!$B$114,BY118+BX119-CG118)))</f>
        <v>344.48400000000055</v>
      </c>
      <c r="BZ119" s="14">
        <f>BY119*VLOOKUP('Données projet'!$B$12,Paramètres!$A$1:$I$89,3,0)*VLOOKUP('Données projet'!$B$12,Paramètres!$A$1:$I$89,5,0)</f>
        <v>333.18492480000054</v>
      </c>
      <c r="CA119" s="14">
        <f t="shared" si="93"/>
        <v>78.090253763593893</v>
      </c>
      <c r="CB119" s="22">
        <f t="shared" si="64"/>
        <v>716.30426933159345</v>
      </c>
      <c r="CC119" s="62">
        <f t="shared" si="65"/>
        <v>1009.6376026649268</v>
      </c>
      <c r="CD119" s="62">
        <f ca="1">AVERAGE(OFFSET($CC$3,0,0,'Données projet'!$E$12+1,1))-AVERAGE(OFFSET($H$3,0,0,'Données projet'!$E$12+1,1))</f>
        <v>618.83149423524605</v>
      </c>
      <c r="CE119" s="62">
        <f t="shared" si="94"/>
        <v>285.33582535802435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50.435836050214903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50.435836050214903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354.24684313982857</v>
      </c>
      <c r="CZ119" s="62">
        <f t="shared" si="96"/>
        <v>322.65043486962185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81.796781630146498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81.796781630146498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352.47600000000057</v>
      </c>
      <c r="O120" s="14">
        <f>N120*VLOOKUP('Données projet'!$B$9,Paramètres!$A$1:$I$89,3,0)*VLOOKUP('Données projet'!$B$9,Paramètres!$A$1:$I$89,5,0)</f>
        <v>318.9202848000005</v>
      </c>
      <c r="P120" s="14">
        <f t="shared" si="87"/>
        <v>75.128653745521831</v>
      </c>
      <c r="Q120" s="22">
        <f t="shared" si="107"/>
        <v>686.30190130011806</v>
      </c>
      <c r="R120" s="62">
        <f t="shared" si="55"/>
        <v>979.63523463345132</v>
      </c>
      <c r="S120" s="62">
        <f ca="1">AVERAGE(OFFSET($R$3,0,0,'Données projet'!$E$9+1,1))-AVERAGE(OFFSET($H$3,0,0,'Données projet'!$E$9+1,1))</f>
        <v>581.88778927327667</v>
      </c>
      <c r="T120" s="62">
        <f t="shared" si="88"/>
        <v>269.67340993773422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46.256702644344699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46.256702644344699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5.6</v>
      </c>
      <c r="AI120" s="14">
        <f>IF('Données projet'!$A$62&gt;35,AI119+AH120-AQ119,IF(A120&lt;'Données projet'!$A$62,$AF$205^A120,IF(A120='Données projet'!$A$62,'Données projet'!$B$62,AI119+AH120-AQ119)))</f>
        <v>295.20000000000022</v>
      </c>
      <c r="AJ120" s="14">
        <f>AI120*VLOOKUP('Données projet'!$B$10,Paramètres!$A$1:$I$89,3,0)*VLOOKUP('Données projet'!$B$10,Paramètres!$A$1:$I$89,5,0)</f>
        <v>280.91232000000019</v>
      </c>
      <c r="AK120" s="14">
        <f t="shared" si="89"/>
        <v>67.159771806470744</v>
      </c>
      <c r="AL120" s="22">
        <f t="shared" si="58"/>
        <v>606.22555989627028</v>
      </c>
      <c r="AM120" s="62">
        <f t="shared" si="59"/>
        <v>899.55889322960365</v>
      </c>
      <c r="AN120" s="62">
        <f ca="1">AVERAGE(OFFSET($AM$3,0,0,'Données projet'!$E$10+1,1))-AVERAGE(OFFSET($H$3,0,0,'Données projet'!$E$10+1,1))</f>
        <v>444.81608506581125</v>
      </c>
      <c r="AO120" s="62">
        <f t="shared" si="90"/>
        <v>306.75289431725565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69.222228152639076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69.222228152639076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7.9920000000000018</v>
      </c>
      <c r="BD120" s="13">
        <f>IF('Données projet'!$A$88&gt;35,BD119+BC120-BL119,IF(A120&lt;'Données projet'!$A$88,$BA$205^A120,IF(A120='Données projet'!$A$88,'Données projet'!$B$88,BD119+BC120-BL119)))</f>
        <v>352.47600000000057</v>
      </c>
      <c r="BE120" s="14">
        <f>BD120*VLOOKUP('Données projet'!$B$11,Paramètres!$A$1:$I$89,3,0)*VLOOKUP('Données projet'!$B$11,Paramètres!$A$1:$I$89,5,0)</f>
        <v>379.40516640000061</v>
      </c>
      <c r="BF120" s="14">
        <f t="shared" si="91"/>
        <v>87.588620852767377</v>
      </c>
      <c r="BG120" s="22">
        <f t="shared" si="61"/>
        <v>813.34751279857085</v>
      </c>
      <c r="BH120" s="62">
        <f t="shared" si="62"/>
        <v>1106.6808461319042</v>
      </c>
      <c r="BI120" s="62">
        <f ca="1">AVERAGE(OFFSET($BH$3,0,0,'Données projet'!$E$11+1,1))-AVERAGE(OFFSET($H$3,0,0,'Données projet'!$E$11+1,1))</f>
        <v>683.36974161977764</v>
      </c>
      <c r="BJ120" s="62">
        <f t="shared" si="92"/>
        <v>312.6921234697457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55.029525559651447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55.029525559651447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7.9920000000000018</v>
      </c>
      <c r="BY120" s="13">
        <f>IF('Données projet'!$A$114&gt;35,BY119+BX120-CG119,IF(A120&lt;'Données projet'!$A$114,$BV$205^A120,IF(A120='Données projet'!$A$114,'Données projet'!$B$114,BY119+BX120-CG119)))</f>
        <v>352.47600000000057</v>
      </c>
      <c r="BZ120" s="14">
        <f>BY120*VLOOKUP('Données projet'!$B$12,Paramètres!$A$1:$I$89,3,0)*VLOOKUP('Données projet'!$B$12,Paramètres!$A$1:$I$89,5,0)</f>
        <v>340.91478720000055</v>
      </c>
      <c r="CA120" s="14">
        <f t="shared" si="93"/>
        <v>79.68891768309399</v>
      </c>
      <c r="CB120" s="22">
        <f t="shared" si="64"/>
        <v>732.55145267138971</v>
      </c>
      <c r="CC120" s="62">
        <f t="shared" si="65"/>
        <v>1025.8847860047231</v>
      </c>
      <c r="CD120" s="62">
        <f ca="1">AVERAGE(OFFSET($CC$3,0,0,'Données projet'!$E$12+1,1))-AVERAGE(OFFSET($H$3,0,0,'Données projet'!$E$12+1,1))</f>
        <v>618.83149423524605</v>
      </c>
      <c r="CE120" s="62">
        <f t="shared" si="94"/>
        <v>285.33582535802435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49.446820068092606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49.446820068092606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354.24684313982857</v>
      </c>
      <c r="CZ120" s="62">
        <f t="shared" si="96"/>
        <v>322.65043486962185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80.192796633489777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80.192796633489777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360.46800000000059</v>
      </c>
      <c r="O121" s="14">
        <f>N121*VLOOKUP('Données projet'!$B$9,Paramètres!$A$1:$I$89,3,0)*VLOOKUP('Données projet'!$B$9,Paramètres!$A$1:$I$89,5,0)</f>
        <v>326.15144640000051</v>
      </c>
      <c r="P121" s="14">
        <f t="shared" si="87"/>
        <v>76.631859883081802</v>
      </c>
      <c r="Q121" s="22">
        <f t="shared" si="107"/>
        <v>701.51425844303503</v>
      </c>
      <c r="R121" s="62">
        <f t="shared" si="55"/>
        <v>994.84759177636829</v>
      </c>
      <c r="S121" s="62">
        <f ca="1">AVERAGE(OFFSET($R$3,0,0,'Données projet'!$E$9+1,1))-AVERAGE(OFFSET($H$3,0,0,'Données projet'!$E$9+1,1))</f>
        <v>581.88778927327667</v>
      </c>
      <c r="T121" s="62">
        <f t="shared" si="88"/>
        <v>269.67340993773422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45.349636919291832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45.349636919291832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5.6</v>
      </c>
      <c r="AI121" s="14">
        <f>IF('Données projet'!$A$62&gt;35,AI120+AH121-AQ120,IF(A121&lt;'Données projet'!$A$62,$AF$205^A121,IF(A121='Données projet'!$A$62,'Données projet'!$B$62,AI120+AH121-AQ120)))</f>
        <v>300.80000000000024</v>
      </c>
      <c r="AJ121" s="14">
        <f>AI121*VLOOKUP('Données projet'!$B$10,Paramètres!$A$1:$I$89,3,0)*VLOOKUP('Données projet'!$B$10,Paramètres!$A$1:$I$89,5,0)</f>
        <v>286.24128000000024</v>
      </c>
      <c r="AK121" s="14">
        <f t="shared" si="89"/>
        <v>68.284273706763912</v>
      </c>
      <c r="AL121" s="22">
        <f t="shared" si="58"/>
        <v>617.46533937261427</v>
      </c>
      <c r="AM121" s="62">
        <f t="shared" si="59"/>
        <v>910.79867270594764</v>
      </c>
      <c r="AN121" s="62">
        <f ca="1">AVERAGE(OFFSET($AM$3,0,0,'Données projet'!$E$10+1,1))-AVERAGE(OFFSET($H$3,0,0,'Données projet'!$E$10+1,1))</f>
        <v>444.81608506581125</v>
      </c>
      <c r="AO121" s="62">
        <f t="shared" si="90"/>
        <v>306.75289431725565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67.864822479955976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67.864822479955976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7.9920000000000018</v>
      </c>
      <c r="BD121" s="13">
        <f>IF('Données projet'!$A$88&gt;35,BD120+BC121-BL120,IF(A121&lt;'Données projet'!$A$88,$BA$205^A121,IF(A121='Données projet'!$A$88,'Données projet'!$B$88,BD120+BC121-BL120)))</f>
        <v>360.46800000000059</v>
      </c>
      <c r="BE121" s="14">
        <f>BD121*VLOOKUP('Données projet'!$B$11,Paramètres!$A$1:$I$89,3,0)*VLOOKUP('Données projet'!$B$11,Paramètres!$A$1:$I$89,5,0)</f>
        <v>388.00775520000059</v>
      </c>
      <c r="BF121" s="14">
        <f t="shared" si="91"/>
        <v>89.341131324900545</v>
      </c>
      <c r="BG121" s="22">
        <f t="shared" si="61"/>
        <v>831.38264403086941</v>
      </c>
      <c r="BH121" s="62">
        <f t="shared" si="62"/>
        <v>1124.7159773642027</v>
      </c>
      <c r="BI121" s="62">
        <f ca="1">AVERAGE(OFFSET($BH$3,0,0,'Données projet'!$E$11+1,1))-AVERAGE(OFFSET($H$3,0,0,'Données projet'!$E$11+1,1))</f>
        <v>683.36974161977764</v>
      </c>
      <c r="BJ121" s="62">
        <f t="shared" si="92"/>
        <v>312.6921234697457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53.950430128123031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53.950430128123031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7.9920000000000018</v>
      </c>
      <c r="BY121" s="13">
        <f>IF('Données projet'!$A$114&gt;35,BY120+BX121-CG120,IF(A121&lt;'Données projet'!$A$114,$BV$205^A121,IF(A121='Données projet'!$A$114,'Données projet'!$B$114,BY120+BX121-CG120)))</f>
        <v>360.46800000000059</v>
      </c>
      <c r="BZ121" s="14">
        <f>BY121*VLOOKUP('Données projet'!$B$12,Paramètres!$A$1:$I$89,3,0)*VLOOKUP('Données projet'!$B$12,Paramètres!$A$1:$I$89,5,0)</f>
        <v>348.64464960000061</v>
      </c>
      <c r="CA121" s="14">
        <f t="shared" si="93"/>
        <v>81.283367525926224</v>
      </c>
      <c r="CB121" s="22">
        <f t="shared" si="64"/>
        <v>748.79129649432252</v>
      </c>
      <c r="CC121" s="62">
        <f t="shared" si="65"/>
        <v>1042.1246298276558</v>
      </c>
      <c r="CD121" s="62">
        <f ca="1">AVERAGE(OFFSET($CC$3,0,0,'Données projet'!$E$12+1,1))-AVERAGE(OFFSET($H$3,0,0,'Données projet'!$E$12+1,1))</f>
        <v>618.83149423524605</v>
      </c>
      <c r="CE121" s="62">
        <f t="shared" si="94"/>
        <v>285.33582535802435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48.477198086139538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48.477198086139538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354.24684313982857</v>
      </c>
      <c r="CZ121" s="62">
        <f t="shared" si="96"/>
        <v>322.65043486962185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78.620264804283252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78.620264804283252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368.4600000000006</v>
      </c>
      <c r="O122" s="14">
        <f>N122*VLOOKUP('Données projet'!$B$9,Paramètres!$A$1:$I$89,3,0)*VLOOKUP('Données projet'!$B$9,Paramètres!$A$1:$I$89,5,0)</f>
        <v>333.38260800000052</v>
      </c>
      <c r="P122" s="14">
        <f t="shared" si="87"/>
        <v>78.13119132485231</v>
      </c>
      <c r="Q122" s="22">
        <f t="shared" si="107"/>
        <v>716.71986715745197</v>
      </c>
      <c r="R122" s="62">
        <f t="shared" si="55"/>
        <v>1010.0532004907852</v>
      </c>
      <c r="S122" s="62">
        <f ca="1">AVERAGE(OFFSET($R$3,0,0,'Données projet'!$E$9+1,1))-AVERAGE(OFFSET($H$3,0,0,'Données projet'!$E$9+1,1))</f>
        <v>581.88778927327667</v>
      </c>
      <c r="T122" s="62">
        <f t="shared" si="88"/>
        <v>269.67340993773422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44.46035819985179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44.46035819985179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5.6</v>
      </c>
      <c r="AI122" s="14">
        <f>IF('Données projet'!$A$62&gt;35,AI121+AH122-AQ121,IF(A122&lt;'Données projet'!$A$62,$AF$205^A122,IF(A122='Données projet'!$A$62,'Données projet'!$B$62,AI121+AH122-AQ121)))</f>
        <v>306.40000000000026</v>
      </c>
      <c r="AJ122" s="14">
        <f>AI122*VLOOKUP('Données projet'!$B$10,Paramètres!$A$1:$I$89,3,0)*VLOOKUP('Données projet'!$B$10,Paramètres!$A$1:$I$89,5,0)</f>
        <v>291.5702400000003</v>
      </c>
      <c r="AK122" s="14">
        <f t="shared" si="89"/>
        <v>69.406341277271366</v>
      </c>
      <c r="AL122" s="22">
        <f t="shared" si="58"/>
        <v>628.70087905791468</v>
      </c>
      <c r="AM122" s="62">
        <f t="shared" si="59"/>
        <v>922.03421239124805</v>
      </c>
      <c r="AN122" s="62">
        <f ca="1">AVERAGE(OFFSET($AM$3,0,0,'Données projet'!$E$10+1,1))-AVERAGE(OFFSET($H$3,0,0,'Données projet'!$E$10+1,1))</f>
        <v>444.81608506581125</v>
      </c>
      <c r="AO122" s="62">
        <f t="shared" si="90"/>
        <v>306.75289431725565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66.534034704578488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66.534034704578488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7.9920000000000018</v>
      </c>
      <c r="BD122" s="13">
        <f>IF('Données projet'!$A$88&gt;35,BD121+BC122-BL121,IF(A122&lt;'Données projet'!$A$88,$BA$205^A122,IF(A122='Données projet'!$A$88,'Données projet'!$B$88,BD121+BC122-BL121)))</f>
        <v>368.4600000000006</v>
      </c>
      <c r="BE122" s="14">
        <f>BD122*VLOOKUP('Données projet'!$B$11,Paramètres!$A$1:$I$89,3,0)*VLOOKUP('Données projet'!$B$11,Paramètres!$A$1:$I$89,5,0)</f>
        <v>396.61034400000062</v>
      </c>
      <c r="BF122" s="14">
        <f t="shared" si="91"/>
        <v>91.089124489142378</v>
      </c>
      <c r="BG122" s="22">
        <f t="shared" si="61"/>
        <v>849.40990761859075</v>
      </c>
      <c r="BH122" s="62">
        <f t="shared" si="62"/>
        <v>1142.743240951924</v>
      </c>
      <c r="BI122" s="62">
        <f ca="1">AVERAGE(OFFSET($BH$3,0,0,'Données projet'!$E$11+1,1))-AVERAGE(OFFSET($H$3,0,0,'Données projet'!$E$11+1,1))</f>
        <v>683.36974161977764</v>
      </c>
      <c r="BJ122" s="62">
        <f t="shared" si="92"/>
        <v>312.6921234697457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52.89249509982367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52.89249509982367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7.9920000000000018</v>
      </c>
      <c r="BY122" s="13">
        <f>IF('Données projet'!$A$114&gt;35,BY121+BX122-CG121,IF(A122&lt;'Données projet'!$A$114,$BV$205^A122,IF(A122='Données projet'!$A$114,'Données projet'!$B$114,BY121+BX122-CG121)))</f>
        <v>368.4600000000006</v>
      </c>
      <c r="BZ122" s="14">
        <f>BY122*VLOOKUP('Données projet'!$B$12,Paramètres!$A$1:$I$89,3,0)*VLOOKUP('Données projet'!$B$12,Paramètres!$A$1:$I$89,5,0)</f>
        <v>356.37451200000061</v>
      </c>
      <c r="CA122" s="14">
        <f t="shared" si="93"/>
        <v>82.873707481273101</v>
      </c>
      <c r="CB122" s="22">
        <f t="shared" si="64"/>
        <v>765.02398226321839</v>
      </c>
      <c r="CC122" s="62">
        <f t="shared" si="65"/>
        <v>1058.3573155965516</v>
      </c>
      <c r="CD122" s="62">
        <f ca="1">AVERAGE(OFFSET($CC$3,0,0,'Données projet'!$E$12+1,1))-AVERAGE(OFFSET($H$3,0,0,'Données projet'!$E$12+1,1))</f>
        <v>618.83149423524605</v>
      </c>
      <c r="CE122" s="62">
        <f t="shared" si="94"/>
        <v>285.33582535802435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47.52658979984156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47.52658979984156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354.24684313982857</v>
      </c>
      <c r="CZ122" s="62">
        <f t="shared" si="96"/>
        <v>322.65043486962185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77.078569365097763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77.078569365097763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376.45200000000062</v>
      </c>
      <c r="O123" s="14">
        <f>N123*VLOOKUP('Données projet'!$B$9,Paramètres!$A$1:$I$89,3,0)*VLOOKUP('Données projet'!$B$9,Paramètres!$A$1:$I$89,5,0)</f>
        <v>340.61376960000058</v>
      </c>
      <c r="P123" s="14">
        <f t="shared" si="87"/>
        <v>79.626741793195919</v>
      </c>
      <c r="Q123" s="22">
        <f t="shared" si="107"/>
        <v>731.9188906764839</v>
      </c>
      <c r="R123" s="62">
        <f t="shared" si="55"/>
        <v>1025.2522240098172</v>
      </c>
      <c r="S123" s="62">
        <f ca="1">AVERAGE(OFFSET($R$3,0,0,'Données projet'!$E$9+1,1))-AVERAGE(OFFSET($H$3,0,0,'Données projet'!$E$9+1,1))</f>
        <v>581.88778927327667</v>
      </c>
      <c r="T123" s="62">
        <f t="shared" si="88"/>
        <v>269.67340993773422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43.588517693693504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43.588517693693504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312</v>
      </c>
      <c r="AG123" s="13">
        <f>VLOOKUP(A123,'Données projet'!$A$61:$I$81,9,0)</f>
        <v>5.6</v>
      </c>
      <c r="AH123" s="13">
        <f t="array" ref="AH123">INDEX(AG:AG,MIN(IF(ISNUMBER(AG123:AG319),ROW(AG123:AG319),"")))</f>
        <v>5.6</v>
      </c>
      <c r="AI123" s="14">
        <f>IF('Données projet'!$A$62&gt;35,AI122+AH123-AQ122,IF(A123&lt;'Données projet'!$A$62,$AF$205^A123,IF(A123='Données projet'!$A$62,'Données projet'!$B$62,AI122+AH123-AQ122)))</f>
        <v>312.00000000000028</v>
      </c>
      <c r="AJ123" s="14">
        <f>AI123*VLOOKUP('Données projet'!$B$10,Paramètres!$A$1:$I$89,3,0)*VLOOKUP('Données projet'!$B$10,Paramètres!$A$1:$I$89,5,0)</f>
        <v>296.89920000000029</v>
      </c>
      <c r="AK123" s="14">
        <f t="shared" si="89"/>
        <v>70.52602414126423</v>
      </c>
      <c r="AL123" s="22">
        <f t="shared" si="58"/>
        <v>639.93226537936891</v>
      </c>
      <c r="AM123" s="62">
        <f t="shared" si="59"/>
        <v>933.26559871270229</v>
      </c>
      <c r="AN123" s="62">
        <f ca="1">AVERAGE(OFFSET($AM$3,0,0,'Données projet'!$E$10+1,1))-AVERAGE(OFFSET($H$3,0,0,'Données projet'!$E$10+1,1))</f>
        <v>444.81608506581125</v>
      </c>
      <c r="AO123" s="62">
        <f t="shared" si="90"/>
        <v>306.75289431725565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312</v>
      </c>
      <c r="AR123" s="17">
        <f>IF(ISNA(VLOOKUP(A123,'Données projet'!$A$61:$I$81,5,0)),0%,VLOOKUP(A123,'Données projet'!$A$61:$I$81,5,0)*VLOOKUP('Données projet'!$B$10,Paramètres!$A$1:$I$89,7,0))</f>
        <v>0.34400000000000003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178.13470819539384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178.13470819539384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7.9920000000000018</v>
      </c>
      <c r="BD123" s="13">
        <f>IF('Données projet'!$A$88&gt;35,BD122+BC123-BL122,IF(A123&lt;'Données projet'!$A$88,$BA$205^A123,IF(A123='Données projet'!$A$88,'Données projet'!$B$88,BD122+BC123-BL122)))</f>
        <v>376.45200000000062</v>
      </c>
      <c r="BE123" s="14">
        <f>BD123*VLOOKUP('Données projet'!$B$11,Paramètres!$A$1:$I$89,3,0)*VLOOKUP('Données projet'!$B$11,Paramètres!$A$1:$I$89,5,0)</f>
        <v>405.21293280000066</v>
      </c>
      <c r="BF123" s="14">
        <f t="shared" si="91"/>
        <v>92.832709611559608</v>
      </c>
      <c r="BG123" s="22">
        <f t="shared" si="61"/>
        <v>867.42949386680073</v>
      </c>
      <c r="BH123" s="62">
        <f t="shared" si="62"/>
        <v>1160.7628272001341</v>
      </c>
      <c r="BI123" s="62">
        <f ca="1">AVERAGE(OFFSET($BH$3,0,0,'Données projet'!$E$11+1,1))-AVERAGE(OFFSET($H$3,0,0,'Données projet'!$E$11+1,1))</f>
        <v>683.36974161977764</v>
      </c>
      <c r="BJ123" s="62">
        <f t="shared" si="92"/>
        <v>312.6921234697457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51.855305532152606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51.855305532152606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7.9920000000000018</v>
      </c>
      <c r="BY123" s="13">
        <f>IF('Données projet'!$A$114&gt;35,BY122+BX123-CG122,IF(A123&lt;'Données projet'!$A$114,$BV$205^A123,IF(A123='Données projet'!$A$114,'Données projet'!$B$114,BY122+BX123-CG122)))</f>
        <v>376.45200000000062</v>
      </c>
      <c r="BZ123" s="14">
        <f>BY123*VLOOKUP('Données projet'!$B$12,Paramètres!$A$1:$I$89,3,0)*VLOOKUP('Données projet'!$B$12,Paramètres!$A$1:$I$89,5,0)</f>
        <v>364.10437440000061</v>
      </c>
      <c r="CA123" s="14">
        <f t="shared" si="93"/>
        <v>84.460036960388123</v>
      </c>
      <c r="CB123" s="22">
        <f t="shared" si="64"/>
        <v>781.24968311934356</v>
      </c>
      <c r="CC123" s="62">
        <f t="shared" si="65"/>
        <v>1074.5830164526769</v>
      </c>
      <c r="CD123" s="62">
        <f ca="1">AVERAGE(OFFSET($CC$3,0,0,'Données projet'!$E$12+1,1))-AVERAGE(OFFSET($H$3,0,0,'Données projet'!$E$12+1,1))</f>
        <v>618.83149423524605</v>
      </c>
      <c r="CE123" s="62">
        <f t="shared" si="94"/>
        <v>285.33582535802435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46.594622362224079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46.594622362224079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354.24684313982857</v>
      </c>
      <c r="CZ123" s="62">
        <f t="shared" si="96"/>
        <v>322.65043486962185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75.567105633133338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75.567105633133338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384.44400000000064</v>
      </c>
      <c r="O124" s="14">
        <f>N124*VLOOKUP('Données projet'!$B$9,Paramètres!$A$1:$I$89,3,0)*VLOOKUP('Données projet'!$B$9,Paramètres!$A$1:$I$89,5,0)</f>
        <v>347.84493120000059</v>
      </c>
      <c r="P124" s="14">
        <f t="shared" si="87"/>
        <v>81.11860080370937</v>
      </c>
      <c r="Q124" s="22">
        <f t="shared" si="107"/>
        <v>747.11148490646144</v>
      </c>
      <c r="R124" s="62">
        <f t="shared" si="55"/>
        <v>1040.4448182397948</v>
      </c>
      <c r="S124" s="62">
        <f ca="1">AVERAGE(OFFSET($R$3,0,0,'Données projet'!$E$9+1,1))-AVERAGE(OFFSET($H$3,0,0,'Données projet'!$E$9+1,1))</f>
        <v>581.88778927327667</v>
      </c>
      <c r="T124" s="62">
        <f t="shared" si="88"/>
        <v>269.67340993773422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42.73377344809078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42.73377344809078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2.8421709430404007E-13</v>
      </c>
      <c r="AJ124" s="14">
        <f>AI124*VLOOKUP('Données projet'!$B$10,Paramètres!$A$1:$I$89,3,0)*VLOOKUP('Données projet'!$B$10,Paramètres!$A$1:$I$89,5,0)</f>
        <v>2.7046098693972454E-13</v>
      </c>
      <c r="AK124" s="14">
        <f t="shared" si="89"/>
        <v>3.6187594451142911E-12</v>
      </c>
      <c r="AL124" s="22">
        <f t="shared" si="58"/>
        <v>6.7737255858274096E-12</v>
      </c>
      <c r="AM124" s="62">
        <f t="shared" si="59"/>
        <v>293.33333333334008</v>
      </c>
      <c r="AN124" s="62">
        <f ca="1">AVERAGE(OFFSET($AM$3,0,0,'Données projet'!$E$10+1,1))-AVERAGE(OFFSET($H$3,0,0,'Données projet'!$E$10+1,1))</f>
        <v>444.81608506581125</v>
      </c>
      <c r="AO124" s="62">
        <f t="shared" si="90"/>
        <v>306.75289431725565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174.64159521912572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174.64159521912572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7.9920000000000018</v>
      </c>
      <c r="BD124" s="13">
        <f>IF('Données projet'!$A$88&gt;35,BD123+BC124-BL123,IF(A124&lt;'Données projet'!$A$88,$BA$205^A124,IF(A124='Données projet'!$A$88,'Données projet'!$B$88,BD123+BC124-BL123)))</f>
        <v>384.44400000000064</v>
      </c>
      <c r="BE124" s="14">
        <f>BD124*VLOOKUP('Données projet'!$B$11,Paramètres!$A$1:$I$89,3,0)*VLOOKUP('Données projet'!$B$11,Paramètres!$A$1:$I$89,5,0)</f>
        <v>413.81552160000069</v>
      </c>
      <c r="BF124" s="14">
        <f t="shared" si="91"/>
        <v>94.571991053767576</v>
      </c>
      <c r="BG124" s="22">
        <f t="shared" si="61"/>
        <v>885.44158453864645</v>
      </c>
      <c r="BH124" s="62">
        <f t="shared" si="62"/>
        <v>1178.7749178719798</v>
      </c>
      <c r="BI124" s="62">
        <f ca="1">AVERAGE(OFFSET($BH$3,0,0,'Données projet'!$E$11+1,1))-AVERAGE(OFFSET($H$3,0,0,'Données projet'!$E$11+1,1))</f>
        <v>683.36974161977764</v>
      </c>
      <c r="BJ124" s="62">
        <f t="shared" si="92"/>
        <v>312.6921234697457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50.838454619280405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50.838454619280405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7.9920000000000018</v>
      </c>
      <c r="BY124" s="13">
        <f>IF('Données projet'!$A$114&gt;35,BY123+BX124-CG123,IF(A124&lt;'Données projet'!$A$114,$BV$205^A124,IF(A124='Données projet'!$A$114,'Données projet'!$B$114,BY123+BX124-CG123)))</f>
        <v>384.44400000000064</v>
      </c>
      <c r="BZ124" s="14">
        <f>BY124*VLOOKUP('Données projet'!$B$12,Paramètres!$A$1:$I$89,3,0)*VLOOKUP('Données projet'!$B$12,Paramètres!$A$1:$I$89,5,0)</f>
        <v>371.83423680000061</v>
      </c>
      <c r="CA124" s="14">
        <f t="shared" si="93"/>
        <v>86.042450912410658</v>
      </c>
      <c r="CB124" s="22">
        <f t="shared" si="64"/>
        <v>797.46856443244951</v>
      </c>
      <c r="CC124" s="62">
        <f t="shared" si="65"/>
        <v>1090.8018977657828</v>
      </c>
      <c r="CD124" s="62">
        <f ca="1">AVERAGE(OFFSET($CC$3,0,0,'Données projet'!$E$12+1,1))-AVERAGE(OFFSET($H$3,0,0,'Données projet'!$E$12+1,1))</f>
        <v>618.83149423524605</v>
      </c>
      <c r="CE124" s="62">
        <f t="shared" si="94"/>
        <v>285.33582535802435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45.68093023761427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45.68093023761427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354.24684313982857</v>
      </c>
      <c r="CZ124" s="62">
        <f t="shared" si="96"/>
        <v>322.65043486962185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74.085280783050877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74.085280783050877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392.43600000000066</v>
      </c>
      <c r="O125" s="14">
        <f>N125*VLOOKUP('Données projet'!$B$9,Paramètres!$A$1:$I$89,3,0)*VLOOKUP('Données projet'!$B$9,Paramètres!$A$1:$I$89,5,0)</f>
        <v>355.07609280000059</v>
      </c>
      <c r="P125" s="14">
        <f t="shared" si="87"/>
        <v>82.606853937508674</v>
      </c>
      <c r="Q125" s="22">
        <f t="shared" si="107"/>
        <v>762.29779890116197</v>
      </c>
      <c r="R125" s="62">
        <f t="shared" si="55"/>
        <v>1055.6311322344952</v>
      </c>
      <c r="S125" s="62">
        <f ca="1">AVERAGE(OFFSET($R$3,0,0,'Données projet'!$E$9+1,1))-AVERAGE(OFFSET($H$3,0,0,'Données projet'!$E$9+1,1))</f>
        <v>581.88778927327667</v>
      </c>
      <c r="T125" s="62">
        <f t="shared" si="88"/>
        <v>269.67340993773422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41.895790215801817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41.895790215801817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2.8421709430404007E-13</v>
      </c>
      <c r="AJ125" s="14">
        <f>AI125*VLOOKUP('Données projet'!$B$10,Paramètres!$A$1:$I$89,3,0)*VLOOKUP('Données projet'!$B$10,Paramètres!$A$1:$I$89,5,0)</f>
        <v>2.7046098693972454E-13</v>
      </c>
      <c r="AK125" s="14">
        <f t="shared" si="89"/>
        <v>3.6187594451142911E-12</v>
      </c>
      <c r="AL125" s="22">
        <f t="shared" si="58"/>
        <v>6.7737255858274096E-12</v>
      </c>
      <c r="AM125" s="62">
        <f t="shared" si="59"/>
        <v>293.33333333334008</v>
      </c>
      <c r="AN125" s="62">
        <f ca="1">AVERAGE(OFFSET($AM$3,0,0,'Données projet'!$E$10+1,1))-AVERAGE(OFFSET($H$3,0,0,'Données projet'!$E$10+1,1))</f>
        <v>444.81608506581125</v>
      </c>
      <c r="AO125" s="62">
        <f t="shared" si="90"/>
        <v>306.75289431725565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171.21698005773368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171.21698005773368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7.9920000000000018</v>
      </c>
      <c r="BD125" s="13">
        <f>IF('Données projet'!$A$88&gt;35,BD124+BC125-BL124,IF(A125&lt;'Données projet'!$A$88,$BA$205^A125,IF(A125='Données projet'!$A$88,'Données projet'!$B$88,BD124+BC125-BL124)))</f>
        <v>392.43600000000066</v>
      </c>
      <c r="BE125" s="14">
        <f>BD125*VLOOKUP('Données projet'!$B$11,Paramètres!$A$1:$I$89,3,0)*VLOOKUP('Données projet'!$B$11,Paramètres!$A$1:$I$89,5,0)</f>
        <v>422.41811040000067</v>
      </c>
      <c r="BF125" s="14">
        <f t="shared" si="91"/>
        <v>96.307068590373376</v>
      </c>
      <c r="BG125" s="22">
        <f t="shared" si="61"/>
        <v>903.4463534082347</v>
      </c>
      <c r="BH125" s="62">
        <f t="shared" si="62"/>
        <v>1196.779686741568</v>
      </c>
      <c r="BI125" s="62">
        <f ca="1">AVERAGE(OFFSET($BH$3,0,0,'Données projet'!$E$11+1,1))-AVERAGE(OFFSET($H$3,0,0,'Données projet'!$E$11+1,1))</f>
        <v>683.36974161977764</v>
      </c>
      <c r="BJ125" s="62">
        <f t="shared" si="92"/>
        <v>312.6921234697457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49.841543532591807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49.841543532591807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7.9920000000000018</v>
      </c>
      <c r="BY125" s="13">
        <f>IF('Données projet'!$A$114&gt;35,BY124+BX125-CG124,IF(A125&lt;'Données projet'!$A$114,$BV$205^A125,IF(A125='Données projet'!$A$114,'Données projet'!$B$114,BY124+BX125-CG124)))</f>
        <v>392.43600000000066</v>
      </c>
      <c r="BZ125" s="14">
        <f>BY125*VLOOKUP('Données projet'!$B$12,Paramètres!$A$1:$I$89,3,0)*VLOOKUP('Données projet'!$B$12,Paramètres!$A$1:$I$89,5,0)</f>
        <v>379.56409920000067</v>
      </c>
      <c r="CA125" s="14">
        <f t="shared" si="93"/>
        <v>87.621040113179006</v>
      </c>
      <c r="CB125" s="22">
        <f t="shared" si="64"/>
        <v>813.68078430378785</v>
      </c>
      <c r="CC125" s="62">
        <f t="shared" si="65"/>
        <v>1107.0141176371212</v>
      </c>
      <c r="CD125" s="62">
        <f ca="1">AVERAGE(OFFSET($CC$3,0,0,'Données projet'!$E$12+1,1))-AVERAGE(OFFSET($H$3,0,0,'Données projet'!$E$12+1,1))</f>
        <v>618.83149423524605</v>
      </c>
      <c r="CE125" s="62">
        <f t="shared" si="94"/>
        <v>285.33582535802435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44.785155058270895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44.785155058270895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354.24684313982857</v>
      </c>
      <c r="CZ125" s="62">
        <f t="shared" si="96"/>
        <v>322.65043486962185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72.632513614454624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72.632513614454624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400.42800000000068</v>
      </c>
      <c r="O126" s="14">
        <f>N126*VLOOKUP('Données projet'!$B$9,Paramètres!$A$1:$I$89,3,0)*VLOOKUP('Données projet'!$B$9,Paramètres!$A$1:$I$89,5,0)</f>
        <v>362.3072544000006</v>
      </c>
      <c r="P126" s="14">
        <f t="shared" si="87"/>
        <v>84.09158309070763</v>
      </c>
      <c r="Q126" s="22">
        <f t="shared" si="107"/>
        <v>777.4779752963168</v>
      </c>
      <c r="R126" s="62">
        <f t="shared" si="55"/>
        <v>1070.8113086296501</v>
      </c>
      <c r="S126" s="62">
        <f ca="1">AVERAGE(OFFSET($R$3,0,0,'Données projet'!$E$9+1,1))-AVERAGE(OFFSET($H$3,0,0,'Données projet'!$E$9+1,1))</f>
        <v>581.88778927327667</v>
      </c>
      <c r="T126" s="62">
        <f t="shared" si="88"/>
        <v>269.67340993773422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41.074239323578738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41.074239323578738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2.8421709430404007E-13</v>
      </c>
      <c r="AJ126" s="14">
        <f>AI126*VLOOKUP('Données projet'!$B$10,Paramètres!$A$1:$I$89,3,0)*VLOOKUP('Données projet'!$B$10,Paramètres!$A$1:$I$89,5,0)</f>
        <v>2.7046098693972454E-13</v>
      </c>
      <c r="AK126" s="14">
        <f t="shared" si="89"/>
        <v>3.6187594451142911E-12</v>
      </c>
      <c r="AL126" s="22">
        <f t="shared" si="58"/>
        <v>6.7737255858274096E-12</v>
      </c>
      <c r="AM126" s="62">
        <f t="shared" si="59"/>
        <v>293.33333333334008</v>
      </c>
      <c r="AN126" s="62">
        <f ca="1">AVERAGE(OFFSET($AM$3,0,0,'Données projet'!$E$10+1,1))-AVERAGE(OFFSET($H$3,0,0,'Données projet'!$E$10+1,1))</f>
        <v>444.81608506581125</v>
      </c>
      <c r="AO126" s="62">
        <f t="shared" si="90"/>
        <v>306.75289431725565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167.85951951084755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167.85951951084755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7.9920000000000018</v>
      </c>
      <c r="BD126" s="13">
        <f>IF('Données projet'!$A$88&gt;35,BD125+BC126-BL125,IF(A126&lt;'Données projet'!$A$88,$BA$205^A126,IF(A126='Données projet'!$A$88,'Données projet'!$B$88,BD125+BC126-BL125)))</f>
        <v>400.42800000000068</v>
      </c>
      <c r="BE126" s="14">
        <f>BD126*VLOOKUP('Données projet'!$B$11,Paramètres!$A$1:$I$89,3,0)*VLOOKUP('Données projet'!$B$11,Paramètres!$A$1:$I$89,5,0)</f>
        <v>431.02069920000071</v>
      </c>
      <c r="BF126" s="14">
        <f t="shared" si="91"/>
        <v>98.038037699830426</v>
      </c>
      <c r="BG126" s="22">
        <f t="shared" si="61"/>
        <v>921.44396676720589</v>
      </c>
      <c r="BH126" s="62">
        <f t="shared" si="62"/>
        <v>1214.7773001005392</v>
      </c>
      <c r="BI126" s="62">
        <f ca="1">AVERAGE(OFFSET($BH$3,0,0,'Données projet'!$E$11+1,1))-AVERAGE(OFFSET($H$3,0,0,'Données projet'!$E$11+1,1))</f>
        <v>683.36974161977764</v>
      </c>
      <c r="BJ126" s="62">
        <f t="shared" si="92"/>
        <v>312.6921234697457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48.864181264257454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48.864181264257454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7.9920000000000018</v>
      </c>
      <c r="BY126" s="13">
        <f>IF('Données projet'!$A$114&gt;35,BY125+BX126-CG125,IF(A126&lt;'Données projet'!$A$114,$BV$205^A126,IF(A126='Données projet'!$A$114,'Données projet'!$B$114,BY125+BX126-CG125)))</f>
        <v>400.42800000000068</v>
      </c>
      <c r="BZ126" s="14">
        <f>BY126*VLOOKUP('Données projet'!$B$12,Paramètres!$A$1:$I$89,3,0)*VLOOKUP('Données projet'!$B$12,Paramètres!$A$1:$I$89,5,0)</f>
        <v>387.29396160000067</v>
      </c>
      <c r="CA126" s="14">
        <f t="shared" si="93"/>
        <v>89.195891429851343</v>
      </c>
      <c r="CB126" s="22">
        <f t="shared" si="64"/>
        <v>829.8864940269923</v>
      </c>
      <c r="CC126" s="62">
        <f t="shared" si="65"/>
        <v>1123.2198273603256</v>
      </c>
      <c r="CD126" s="62">
        <f ca="1">AVERAGE(OFFSET($CC$3,0,0,'Données projet'!$E$12+1,1))-AVERAGE(OFFSET($H$3,0,0,'Données projet'!$E$12+1,1))</f>
        <v>618.83149423524605</v>
      </c>
      <c r="CE126" s="62">
        <f t="shared" si="94"/>
        <v>285.33582535802435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43.906945483825531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43.906945483825531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354.24684313982857</v>
      </c>
      <c r="CZ126" s="62">
        <f t="shared" si="96"/>
        <v>322.65043486962185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71.208234323934064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71.208234323934064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408.4200000000007</v>
      </c>
      <c r="O127" s="14">
        <f>N127*VLOOKUP('Données projet'!$B$9,Paramètres!$A$1:$I$89,3,0)*VLOOKUP('Données projet'!$B$9,Paramètres!$A$1:$I$89,5,0)</f>
        <v>369.53841600000061</v>
      </c>
      <c r="P127" s="14">
        <f t="shared" si="87"/>
        <v>85.572866703416025</v>
      </c>
      <c r="Q127" s="22">
        <f t="shared" si="107"/>
        <v>792.65215070845068</v>
      </c>
      <c r="R127" s="62">
        <f t="shared" si="55"/>
        <v>1085.985484041784</v>
      </c>
      <c r="S127" s="62">
        <f ca="1">AVERAGE(OFFSET($R$3,0,0,'Données projet'!$E$9+1,1))-AVERAGE(OFFSET($H$3,0,0,'Données projet'!$E$9+1,1))</f>
        <v>581.88778927327667</v>
      </c>
      <c r="T127" s="62">
        <f t="shared" si="88"/>
        <v>269.67340993773422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52.53</v>
      </c>
      <c r="W127" s="17">
        <f>IF(ISNA(VLOOKUP(A127,'Données projet'!$A$35:$I$55,5,0)),0%,VLOOKUP(A127,'Données projet'!$A$35:$I$55,5,0)*VLOOKUP('Données projet'!$B$9,Paramètres!$A$1:$I$89,7,0))</f>
        <v>0.30099999999999999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56.083958861079012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56.083958861079012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2.8421709430404007E-13</v>
      </c>
      <c r="AJ127" s="14">
        <f>AI127*VLOOKUP('Données projet'!$B$10,Paramètres!$A$1:$I$89,3,0)*VLOOKUP('Données projet'!$B$10,Paramètres!$A$1:$I$89,5,0)</f>
        <v>2.7046098693972454E-13</v>
      </c>
      <c r="AK127" s="14">
        <f t="shared" si="89"/>
        <v>3.6187594451142911E-12</v>
      </c>
      <c r="AL127" s="22">
        <f t="shared" si="58"/>
        <v>6.7737255858274096E-12</v>
      </c>
      <c r="AM127" s="62">
        <f t="shared" si="59"/>
        <v>293.33333333334008</v>
      </c>
      <c r="AN127" s="62">
        <f ca="1">AVERAGE(OFFSET($AM$3,0,0,'Données projet'!$E$10+1,1))-AVERAGE(OFFSET($H$3,0,0,'Données projet'!$E$10+1,1))</f>
        <v>444.81608506581125</v>
      </c>
      <c r="AO127" s="62">
        <f t="shared" si="90"/>
        <v>306.75289431725565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164.56789671743712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164.56789671743712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>
        <f>VLOOKUP(A127,'Données projet'!$A$87:$I$107,2,0)</f>
        <v>408.42</v>
      </c>
      <c r="BB127" s="13">
        <f>VLOOKUP(A127,'Données projet'!$A$87:$I$107,9,0)</f>
        <v>7.9920000000000018</v>
      </c>
      <c r="BC127" s="13">
        <f t="array" ref="BC127">INDEX(BB:BB,MIN(IF(ISNUMBER(BB127:BB323),ROW(BB127:BB323),"")))</f>
        <v>7.9920000000000018</v>
      </c>
      <c r="BD127" s="13">
        <f>IF('Données projet'!$A$88&gt;35,BD126+BC127-BL126,IF(A127&lt;'Données projet'!$A$88,$BA$205^A127,IF(A127='Données projet'!$A$88,'Données projet'!$B$88,BD126+BC127-BL126)))</f>
        <v>408.4200000000007</v>
      </c>
      <c r="BE127" s="14">
        <f>BD127*VLOOKUP('Données projet'!$B$11,Paramètres!$A$1:$I$89,3,0)*VLOOKUP('Données projet'!$B$11,Paramètres!$A$1:$I$89,5,0)</f>
        <v>439.62328800000074</v>
      </c>
      <c r="BF127" s="14">
        <f t="shared" si="91"/>
        <v>99.764989831415335</v>
      </c>
      <c r="BG127" s="22">
        <f t="shared" si="61"/>
        <v>939.43458388971624</v>
      </c>
      <c r="BH127" s="62">
        <f t="shared" si="62"/>
        <v>1232.7679172230496</v>
      </c>
      <c r="BI127" s="62">
        <f ca="1">AVERAGE(OFFSET($BH$3,0,0,'Données projet'!$E$11+1,1))-AVERAGE(OFFSET($H$3,0,0,'Données projet'!$E$11+1,1))</f>
        <v>683.36974161977764</v>
      </c>
      <c r="BJ127" s="62">
        <f t="shared" si="92"/>
        <v>312.6921234697457</v>
      </c>
      <c r="BK127" s="16">
        <f>IF(ISNA(VLOOKUP(A127,'Données projet'!$A$87:$I$107,3,0)),0,VLOOKUP(A127,'Données projet'!$A$87:$I$107,3,0))</f>
        <v>10</v>
      </c>
      <c r="BL127" s="16">
        <f>IF(ISNA(VLOOKUP(A127,'Données projet'!$A$87:$I$107,4,0)),0,VLOOKUP(A127,'Données projet'!$A$87:$I$107,4,0))</f>
        <v>52.53</v>
      </c>
      <c r="BM127" s="17">
        <f>IF(ISNA(VLOOKUP(A127,'Données projet'!$A$87:$I$107,5,0)),0%,VLOOKUP(A127,'Données projet'!$A$87:$I$107,5,0)*VLOOKUP('Données projet'!$B$11,Paramètres!$A$1:$I$89,7,0))</f>
        <v>0.30099999999999999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66.720571748525018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66.720571748525018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>
        <f>VLOOKUP(A127,'Données projet'!$A$113:$I$133,2,0)</f>
        <v>408.42</v>
      </c>
      <c r="BW127" s="13">
        <f>VLOOKUP(A127,'Données projet'!$A$113:$I$133,9,0)</f>
        <v>7.9920000000000018</v>
      </c>
      <c r="BX127" s="13">
        <f t="array" ref="BX127">INDEX(BW:BW,MIN(IF(ISNUMBER(BW127:BW323),ROW(BW127:BW323),"")))</f>
        <v>7.9920000000000018</v>
      </c>
      <c r="BY127" s="13">
        <f>IF('Données projet'!$A$114&gt;35,BY126+BX127-CG126,IF(A127&lt;'Données projet'!$A$114,$BV$205^A127,IF(A127='Données projet'!$A$114,'Données projet'!$B$114,BY126+BX127-CG126)))</f>
        <v>408.4200000000007</v>
      </c>
      <c r="BZ127" s="14">
        <f>BY127*VLOOKUP('Données projet'!$B$12,Paramètres!$A$1:$I$89,3,0)*VLOOKUP('Données projet'!$B$12,Paramètres!$A$1:$I$89,5,0)</f>
        <v>395.02382400000067</v>
      </c>
      <c r="CA127" s="14">
        <f t="shared" si="93"/>
        <v>90.767088063805105</v>
      </c>
      <c r="CB127" s="22">
        <f t="shared" si="64"/>
        <v>846.08583851112826</v>
      </c>
      <c r="CC127" s="62">
        <f t="shared" si="65"/>
        <v>1139.4191718444615</v>
      </c>
      <c r="CD127" s="62">
        <f ca="1">AVERAGE(OFFSET($CC$3,0,0,'Données projet'!$E$12+1,1))-AVERAGE(OFFSET($H$3,0,0,'Données projet'!$E$12+1,1))</f>
        <v>618.83149423524605</v>
      </c>
      <c r="CE127" s="62">
        <f t="shared" si="94"/>
        <v>285.33582535802435</v>
      </c>
      <c r="CF127" s="16">
        <f>IF(ISNA(VLOOKUP(A127,'Données projet'!$A$113:$I$133,3,0)),0,VLOOKUP(A127,'Données projet'!$A$113:$I$133,3,0))</f>
        <v>10</v>
      </c>
      <c r="CG127" s="16">
        <f>IF(ISNA(VLOOKUP(A127,'Données projet'!$A$113:$I$133,4,0)),0,VLOOKUP(A127,'Données projet'!$A$113:$I$133,4,0))</f>
        <v>52.53</v>
      </c>
      <c r="CH127" s="17">
        <f>IF(ISNA(VLOOKUP(A127,'Données projet'!$A$113:$I$133,5,0)),0%,VLOOKUP(A127,'Données projet'!$A$113:$I$133,5,0)*VLOOKUP('Données projet'!$B$12,Paramètres!$A$1:$I$89,7,0))</f>
        <v>0.30099999999999999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59.951818092877552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59.951818092877552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354.24684313982857</v>
      </c>
      <c r="CZ127" s="62">
        <f t="shared" si="96"/>
        <v>322.65043486962185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69.811884281576027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69.811884281576027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8.0699999999999985</v>
      </c>
      <c r="N128" s="14">
        <f>IF('Données projet'!$A$36&gt;35,N127+M128-V127,IF(A128&lt;'Données projet'!$A$36,$K$205^A128,IF(A128='Données projet'!$A$36,'Données projet'!$B$36,N127+M128-V127)))</f>
        <v>363.96000000000072</v>
      </c>
      <c r="O128" s="14">
        <f>N128*VLOOKUP('Données projet'!$B$9,Paramètres!$A$1:$I$89,3,0)*VLOOKUP('Données projet'!$B$9,Paramètres!$A$1:$I$89,5,0)</f>
        <v>329.31100800000064</v>
      </c>
      <c r="P128" s="14">
        <f t="shared" si="87"/>
        <v>77.287444180583748</v>
      </c>
      <c r="Q128" s="22">
        <f t="shared" si="107"/>
        <v>708.15897088118447</v>
      </c>
      <c r="R128" s="62">
        <f t="shared" si="55"/>
        <v>1001.4923042145178</v>
      </c>
      <c r="S128" s="62">
        <f ca="1">AVERAGE(OFFSET($R$3,0,0,'Données projet'!$E$9+1,1))-AVERAGE(OFFSET($H$3,0,0,'Données projet'!$E$9+1,1))</f>
        <v>581.88778927327667</v>
      </c>
      <c r="T128" s="62">
        <f t="shared" si="88"/>
        <v>269.67340993773422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54.984186635650417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54.984186635650417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2.8421709430404007E-13</v>
      </c>
      <c r="AJ128" s="14">
        <f>AI128*VLOOKUP('Données projet'!$B$10,Paramètres!$A$1:$I$89,3,0)*VLOOKUP('Données projet'!$B$10,Paramètres!$A$1:$I$89,5,0)</f>
        <v>2.7046098693972454E-13</v>
      </c>
      <c r="AK128" s="14">
        <f t="shared" si="89"/>
        <v>3.6187594451142911E-12</v>
      </c>
      <c r="AL128" s="22">
        <f t="shared" si="58"/>
        <v>6.7737255858274096E-12</v>
      </c>
      <c r="AM128" s="62">
        <f t="shared" si="59"/>
        <v>293.33333333334008</v>
      </c>
      <c r="AN128" s="62">
        <f ca="1">AVERAGE(OFFSET($AM$3,0,0,'Données projet'!$E$10+1,1))-AVERAGE(OFFSET($H$3,0,0,'Données projet'!$E$10+1,1))</f>
        <v>444.81608506581125</v>
      </c>
      <c r="AO128" s="62">
        <f t="shared" si="90"/>
        <v>306.75289431725565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161.34082063931382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161.34082063931382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8.0699999999999985</v>
      </c>
      <c r="BD128" s="13">
        <f>IF('Données projet'!$A$88&gt;35,BD127+BC128-BL127,IF(A128&lt;'Données projet'!$A$88,$BA$205^A128,IF(A128='Données projet'!$A$88,'Données projet'!$B$88,BD127+BC128-BL127)))</f>
        <v>363.96000000000072</v>
      </c>
      <c r="BE128" s="14">
        <f>BD128*VLOOKUP('Données projet'!$B$11,Paramètres!$A$1:$I$89,3,0)*VLOOKUP('Données projet'!$B$11,Paramètres!$A$1:$I$89,5,0)</f>
        <v>391.76654400000075</v>
      </c>
      <c r="BF128" s="14">
        <f t="shared" si="91"/>
        <v>90.105443229988325</v>
      </c>
      <c r="BG128" s="22">
        <f t="shared" si="61"/>
        <v>839.26037775889756</v>
      </c>
      <c r="BH128" s="62">
        <f t="shared" si="62"/>
        <v>1132.5937110922309</v>
      </c>
      <c r="BI128" s="62">
        <f ca="1">AVERAGE(OFFSET($BH$3,0,0,'Données projet'!$E$11+1,1))-AVERAGE(OFFSET($H$3,0,0,'Données projet'!$E$11+1,1))</f>
        <v>683.36974161977764</v>
      </c>
      <c r="BJ128" s="62">
        <f t="shared" si="92"/>
        <v>312.6921234697457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65.412222032066865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65.412222032066865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8.0699999999999985</v>
      </c>
      <c r="BY128" s="13">
        <f>IF('Données projet'!$A$114&gt;35,BY127+BX128-CG127,IF(A128&lt;'Données projet'!$A$114,$BV$205^A128,IF(A128='Données projet'!$A$114,'Données projet'!$B$114,BY127+BX128-CG127)))</f>
        <v>363.96000000000072</v>
      </c>
      <c r="BZ128" s="14">
        <f>BY128*VLOOKUP('Données projet'!$B$12,Paramètres!$A$1:$I$89,3,0)*VLOOKUP('Données projet'!$B$12,Paramètres!$A$1:$I$89,5,0)</f>
        <v>352.02211200000067</v>
      </c>
      <c r="CA128" s="14">
        <f t="shared" si="93"/>
        <v>81.978745394600864</v>
      </c>
      <c r="CB128" s="22">
        <f t="shared" si="64"/>
        <v>755.88482662893102</v>
      </c>
      <c r="CC128" s="62">
        <f t="shared" si="65"/>
        <v>1049.2181599622643</v>
      </c>
      <c r="CD128" s="62">
        <f ca="1">AVERAGE(OFFSET($CC$3,0,0,'Données projet'!$E$12+1,1))-AVERAGE(OFFSET($H$3,0,0,'Données projet'!$E$12+1,1))</f>
        <v>618.83149423524605</v>
      </c>
      <c r="CE128" s="62">
        <f t="shared" si="94"/>
        <v>285.33582535802435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58.776199507074566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58.776199507074566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354.24684313982857</v>
      </c>
      <c r="CZ128" s="62">
        <f t="shared" si="96"/>
        <v>322.65043486962185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68.442915811859208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68.442915811859208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8.0699999999999985</v>
      </c>
      <c r="N129" s="14">
        <f>IF('Données projet'!$A$36&gt;35,N128+M129-V128,IF(A129&lt;'Données projet'!$A$36,$K$205^A129,IF(A129='Données projet'!$A$36,'Données projet'!$B$36,N128+M129-V128)))</f>
        <v>372.03000000000071</v>
      </c>
      <c r="O129" s="14">
        <f>N129*VLOOKUP('Données projet'!$B$9,Paramètres!$A$1:$I$89,3,0)*VLOOKUP('Données projet'!$B$9,Paramètres!$A$1:$I$89,5,0)</f>
        <v>336.61274400000065</v>
      </c>
      <c r="P129" s="14">
        <f t="shared" si="87"/>
        <v>78.799710600410648</v>
      </c>
      <c r="Q129" s="22">
        <f t="shared" si="107"/>
        <v>723.51002509571629</v>
      </c>
      <c r="R129" s="62">
        <f t="shared" si="55"/>
        <v>1016.8433584290497</v>
      </c>
      <c r="S129" s="62">
        <f ca="1">AVERAGE(OFFSET($R$3,0,0,'Données projet'!$E$9+1,1))-AVERAGE(OFFSET($H$3,0,0,'Données projet'!$E$9+1,1))</f>
        <v>581.88778927327667</v>
      </c>
      <c r="T129" s="62">
        <f t="shared" si="88"/>
        <v>269.67340993773422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53.90598027276765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53.90598027276765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2.8421709430404007E-13</v>
      </c>
      <c r="AJ129" s="14">
        <f>AI129*VLOOKUP('Données projet'!$B$10,Paramètres!$A$1:$I$89,3,0)*VLOOKUP('Données projet'!$B$10,Paramètres!$A$1:$I$89,5,0)</f>
        <v>2.7046098693972454E-13</v>
      </c>
      <c r="AK129" s="14">
        <f t="shared" si="89"/>
        <v>3.6187594451142911E-12</v>
      </c>
      <c r="AL129" s="22">
        <f t="shared" si="58"/>
        <v>6.7737255858274096E-12</v>
      </c>
      <c r="AM129" s="62">
        <f t="shared" si="59"/>
        <v>293.33333333334008</v>
      </c>
      <c r="AN129" s="62">
        <f ca="1">AVERAGE(OFFSET($AM$3,0,0,'Données projet'!$E$10+1,1))-AVERAGE(OFFSET($H$3,0,0,'Données projet'!$E$10+1,1))</f>
        <v>444.81608506581125</v>
      </c>
      <c r="AO129" s="62">
        <f t="shared" si="90"/>
        <v>306.75289431725565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158.17702555476046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158.17702555476046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8.0699999999999985</v>
      </c>
      <c r="BD129" s="13">
        <f>IF('Données projet'!$A$88&gt;35,BD128+BC129-BL128,IF(A129&lt;'Données projet'!$A$88,$BA$205^A129,IF(A129='Données projet'!$A$88,'Données projet'!$B$88,BD128+BC129-BL128)))</f>
        <v>372.03000000000071</v>
      </c>
      <c r="BE129" s="14">
        <f>BD129*VLOOKUP('Données projet'!$B$11,Paramètres!$A$1:$I$89,3,0)*VLOOKUP('Données projet'!$B$11,Paramètres!$A$1:$I$89,5,0)</f>
        <v>400.45309200000077</v>
      </c>
      <c r="BF129" s="14">
        <f t="shared" si="91"/>
        <v>91.868516617716708</v>
      </c>
      <c r="BG129" s="22">
        <f t="shared" si="61"/>
        <v>857.46013500919116</v>
      </c>
      <c r="BH129" s="62">
        <f t="shared" si="62"/>
        <v>1150.7934683425244</v>
      </c>
      <c r="BI129" s="62">
        <f ca="1">AVERAGE(OFFSET($BH$3,0,0,'Données projet'!$E$11+1,1))-AVERAGE(OFFSET($H$3,0,0,'Données projet'!$E$11+1,1))</f>
        <v>683.36974161977764</v>
      </c>
      <c r="BJ129" s="62">
        <f t="shared" si="92"/>
        <v>312.6921234697457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64.129528255533927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64.129528255533927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8.0699999999999985</v>
      </c>
      <c r="BY129" s="13">
        <f>IF('Données projet'!$A$114&gt;35,BY128+BX129-CG128,IF(A129&lt;'Données projet'!$A$114,$BV$205^A129,IF(A129='Données projet'!$A$114,'Données projet'!$B$114,BY128+BX129-CG128)))</f>
        <v>372.03000000000071</v>
      </c>
      <c r="BZ129" s="14">
        <f>BY129*VLOOKUP('Données projet'!$B$12,Paramètres!$A$1:$I$89,3,0)*VLOOKUP('Données projet'!$B$12,Paramètres!$A$1:$I$89,5,0)</f>
        <v>359.82741600000071</v>
      </c>
      <c r="CA129" s="14">
        <f t="shared" si="93"/>
        <v>83.582805473365028</v>
      </c>
      <c r="CB129" s="22">
        <f t="shared" si="64"/>
        <v>772.27280239944514</v>
      </c>
      <c r="CC129" s="62">
        <f t="shared" si="65"/>
        <v>1065.6061357327785</v>
      </c>
      <c r="CD129" s="62">
        <f ca="1">AVERAGE(OFFSET($CC$3,0,0,'Données projet'!$E$12+1,1))-AVERAGE(OFFSET($H$3,0,0,'Données projet'!$E$12+1,1))</f>
        <v>618.83149423524605</v>
      </c>
      <c r="CE129" s="62">
        <f t="shared" si="94"/>
        <v>285.33582535802435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57.623634084682642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57.623634084682642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354.24684313982857</v>
      </c>
      <c r="CZ129" s="62">
        <f t="shared" si="96"/>
        <v>322.65043486962185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67.100791978845209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67.100791978845209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8.0699999999999985</v>
      </c>
      <c r="N130" s="14">
        <f>IF('Données projet'!$A$36&gt;35,N129+M130-V129,IF(A130&lt;'Données projet'!$A$36,$K$205^A130,IF(A130='Données projet'!$A$36,'Données projet'!$B$36,N129+M130-V129)))</f>
        <v>380.1000000000007</v>
      </c>
      <c r="O130" s="14">
        <f>N130*VLOOKUP('Données projet'!$B$9,Paramètres!$A$1:$I$89,3,0)*VLOOKUP('Données projet'!$B$9,Paramètres!$A$1:$I$89,5,0)</f>
        <v>343.91448000000065</v>
      </c>
      <c r="P130" s="14">
        <f t="shared" si="87"/>
        <v>80.308163160675235</v>
      </c>
      <c r="Q130" s="22">
        <f t="shared" si="107"/>
        <v>738.85443683817709</v>
      </c>
      <c r="R130" s="62">
        <f t="shared" si="55"/>
        <v>1032.1877701715105</v>
      </c>
      <c r="S130" s="62">
        <f ca="1">AVERAGE(OFFSET($R$3,0,0,'Données projet'!$E$9+1,1))-AVERAGE(OFFSET($H$3,0,0,'Données projet'!$E$9+1,1))</f>
        <v>581.88778927327667</v>
      </c>
      <c r="T130" s="62">
        <f t="shared" si="88"/>
        <v>269.67340993773422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52.848916879020074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52.848916879020074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2.8421709430404007E-13</v>
      </c>
      <c r="AJ130" s="14">
        <f>AI130*VLOOKUP('Données projet'!$B$10,Paramètres!$A$1:$I$89,3,0)*VLOOKUP('Données projet'!$B$10,Paramètres!$A$1:$I$89,5,0)</f>
        <v>2.7046098693972454E-13</v>
      </c>
      <c r="AK130" s="14">
        <f t="shared" si="89"/>
        <v>3.6187594451142911E-12</v>
      </c>
      <c r="AL130" s="22">
        <f t="shared" si="58"/>
        <v>6.7737255858274096E-12</v>
      </c>
      <c r="AM130" s="62">
        <f t="shared" si="59"/>
        <v>293.33333333334008</v>
      </c>
      <c r="AN130" s="62">
        <f ca="1">AVERAGE(OFFSET($AM$3,0,0,'Données projet'!$E$10+1,1))-AVERAGE(OFFSET($H$3,0,0,'Données projet'!$E$10+1,1))</f>
        <v>444.81608506581125</v>
      </c>
      <c r="AO130" s="62">
        <f t="shared" si="90"/>
        <v>306.75289431725565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155.07527056209074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155.07527056209074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8.0699999999999985</v>
      </c>
      <c r="BD130" s="13">
        <f>IF('Données projet'!$A$88&gt;35,BD129+BC130-BL129,IF(A130&lt;'Données projet'!$A$88,$BA$205^A130,IF(A130='Données projet'!$A$88,'Données projet'!$B$88,BD129+BC130-BL129)))</f>
        <v>380.1000000000007</v>
      </c>
      <c r="BE130" s="14">
        <f>BD130*VLOOKUP('Données projet'!$B$11,Paramètres!$A$1:$I$89,3,0)*VLOOKUP('Données projet'!$B$11,Paramètres!$A$1:$I$89,5,0)</f>
        <v>409.13964000000072</v>
      </c>
      <c r="BF130" s="14">
        <f t="shared" si="91"/>
        <v>93.627143623372021</v>
      </c>
      <c r="BG130" s="22">
        <f t="shared" si="61"/>
        <v>875.65214814404089</v>
      </c>
      <c r="BH130" s="62">
        <f t="shared" si="62"/>
        <v>1168.9854814773742</v>
      </c>
      <c r="BI130" s="62">
        <f ca="1">AVERAGE(OFFSET($BH$3,0,0,'Données projet'!$E$11+1,1))-AVERAGE(OFFSET($H$3,0,0,'Données projet'!$E$11+1,1))</f>
        <v>683.36974161977764</v>
      </c>
      <c r="BJ130" s="62">
        <f t="shared" si="92"/>
        <v>312.6921234697457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62.87198732159284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62.87198732159284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8.0699999999999985</v>
      </c>
      <c r="BY130" s="13">
        <f>IF('Données projet'!$A$114&gt;35,BY129+BX130-CG129,IF(A130&lt;'Données projet'!$A$114,$BV$205^A130,IF(A130='Données projet'!$A$114,'Données projet'!$B$114,BY129+BX130-CG129)))</f>
        <v>380.1000000000007</v>
      </c>
      <c r="BZ130" s="14">
        <f>BY130*VLOOKUP('Données projet'!$B$12,Paramètres!$A$1:$I$89,3,0)*VLOOKUP('Données projet'!$B$12,Paramètres!$A$1:$I$89,5,0)</f>
        <v>367.63272000000069</v>
      </c>
      <c r="CA130" s="14">
        <f t="shared" si="93"/>
        <v>85.182820193593429</v>
      </c>
      <c r="CB130" s="22">
        <f t="shared" si="64"/>
        <v>788.65373250384312</v>
      </c>
      <c r="CC130" s="62">
        <f t="shared" si="65"/>
        <v>1081.9870658371765</v>
      </c>
      <c r="CD130" s="62">
        <f ca="1">AVERAGE(OFFSET($CC$3,0,0,'Données projet'!$E$12+1,1))-AVERAGE(OFFSET($H$3,0,0,'Données projet'!$E$12+1,1))</f>
        <v>618.83149423524605</v>
      </c>
      <c r="CE130" s="62">
        <f t="shared" si="94"/>
        <v>285.33582535802435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56.493669767228333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56.493669767228333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354.24684313982857</v>
      </c>
      <c r="CZ130" s="62">
        <f t="shared" si="96"/>
        <v>322.65043486962185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65.784986375581909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65.784986375581909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8.0699999999999985</v>
      </c>
      <c r="N131" s="14">
        <f>IF('Données projet'!$A$36&gt;35,N130+M131-V130,IF(A131&lt;'Données projet'!$A$36,$K$205^A131,IF(A131='Données projet'!$A$36,'Données projet'!$B$36,N130+M131-V130)))</f>
        <v>388.1700000000007</v>
      </c>
      <c r="O131" s="14">
        <f>N131*VLOOKUP('Données projet'!$B$9,Paramètres!$A$1:$I$89,3,0)*VLOOKUP('Données projet'!$B$9,Paramètres!$A$1:$I$89,5,0)</f>
        <v>351.2162160000006</v>
      </c>
      <c r="P131" s="14">
        <f t="shared" si="87"/>
        <v>81.812892161752615</v>
      </c>
      <c r="Q131" s="22">
        <f t="shared" ref="Q131:Q153" si="108">(O131+P131)*0.475*44/12</f>
        <v>754.19236338172016</v>
      </c>
      <c r="R131" s="62">
        <f t="shared" ref="R131:R194" si="109">Q131+(I131+J131)*44/12</f>
        <v>1047.5256967150535</v>
      </c>
      <c r="S131" s="62">
        <f ca="1">AVERAGE(OFFSET($R$3,0,0,'Données projet'!$E$9+1,1))-AVERAGE(OFFSET($H$3,0,0,'Données projet'!$E$9+1,1))</f>
        <v>581.88778927327667</v>
      </c>
      <c r="T131" s="62">
        <f t="shared" si="88"/>
        <v>269.67340993773422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51.812581853678878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51.812581853678878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2.8421709430404007E-13</v>
      </c>
      <c r="AJ131" s="14">
        <f>AI131*VLOOKUP('Données projet'!$B$10,Paramètres!$A$1:$I$89,3,0)*VLOOKUP('Données projet'!$B$10,Paramètres!$A$1:$I$89,5,0)</f>
        <v>2.7046098693972454E-13</v>
      </c>
      <c r="AK131" s="14">
        <f t="shared" si="89"/>
        <v>3.6187594451142911E-12</v>
      </c>
      <c r="AL131" s="22">
        <f t="shared" si="58"/>
        <v>6.7737255858274096E-12</v>
      </c>
      <c r="AM131" s="62">
        <f t="shared" si="59"/>
        <v>293.33333333334008</v>
      </c>
      <c r="AN131" s="62">
        <f ca="1">AVERAGE(OFFSET($AM$3,0,0,'Données projet'!$E$10+1,1))-AVERAGE(OFFSET($H$3,0,0,'Données projet'!$E$10+1,1))</f>
        <v>444.81608506581125</v>
      </c>
      <c r="AO131" s="62">
        <f t="shared" si="90"/>
        <v>306.75289431725565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152.03433909294353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152.03433909294353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8.0699999999999985</v>
      </c>
      <c r="BD131" s="13">
        <f>IF('Données projet'!$A$88&gt;35,BD130+BC131-BL130,IF(A131&lt;'Données projet'!$A$88,$BA$205^A131,IF(A131='Données projet'!$A$88,'Données projet'!$B$88,BD130+BC131-BL130)))</f>
        <v>388.1700000000007</v>
      </c>
      <c r="BE131" s="14">
        <f>BD131*VLOOKUP('Données projet'!$B$11,Paramètres!$A$1:$I$89,3,0)*VLOOKUP('Données projet'!$B$11,Paramètres!$A$1:$I$89,5,0)</f>
        <v>417.82618800000074</v>
      </c>
      <c r="BF131" s="14">
        <f t="shared" si="91"/>
        <v>95.381429523502177</v>
      </c>
      <c r="BG131" s="22">
        <f t="shared" si="61"/>
        <v>893.83660052010089</v>
      </c>
      <c r="BH131" s="62">
        <f t="shared" si="62"/>
        <v>1187.1699338534343</v>
      </c>
      <c r="BI131" s="62">
        <f ca="1">AVERAGE(OFFSET($BH$3,0,0,'Données projet'!$E$11+1,1))-AVERAGE(OFFSET($H$3,0,0,'Données projet'!$E$11+1,1))</f>
        <v>683.36974161977764</v>
      </c>
      <c r="BJ131" s="62">
        <f t="shared" si="92"/>
        <v>312.6921234697457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61.63910599834211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61.63910599834211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8.0699999999999985</v>
      </c>
      <c r="BY131" s="13">
        <f>IF('Données projet'!$A$114&gt;35,BY130+BX131-CG130,IF(A131&lt;'Données projet'!$A$114,$BV$205^A131,IF(A131='Données projet'!$A$114,'Données projet'!$B$114,BY130+BX131-CG130)))</f>
        <v>388.1700000000007</v>
      </c>
      <c r="BZ131" s="14">
        <f>BY131*VLOOKUP('Données projet'!$B$12,Paramètres!$A$1:$I$89,3,0)*VLOOKUP('Données projet'!$B$12,Paramètres!$A$1:$I$89,5,0)</f>
        <v>375.43802400000067</v>
      </c>
      <c r="CA131" s="14">
        <f t="shared" si="93"/>
        <v>86.778885336839423</v>
      </c>
      <c r="CB131" s="22">
        <f t="shared" si="64"/>
        <v>805.02778376166316</v>
      </c>
      <c r="CC131" s="62">
        <f t="shared" si="65"/>
        <v>1098.3611170949964</v>
      </c>
      <c r="CD131" s="62">
        <f ca="1">AVERAGE(OFFSET($CC$3,0,0,'Données projet'!$E$12+1,1))-AVERAGE(OFFSET($H$3,0,0,'Données projet'!$E$12+1,1))</f>
        <v>618.83149423524605</v>
      </c>
      <c r="CE131" s="62">
        <f t="shared" si="94"/>
        <v>285.33582535802435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55.385863360829127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55.385863360829127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354.24684313982857</v>
      </c>
      <c r="CZ131" s="62">
        <f t="shared" si="96"/>
        <v>322.65043486962185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64.494982917636435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64.494982917636435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8.0699999999999985</v>
      </c>
      <c r="N132" s="14">
        <f>IF('Données projet'!$A$36&gt;35,N131+M132-V131,IF(A132&lt;'Données projet'!$A$36,$K$205^A132,IF(A132='Données projet'!$A$36,'Données projet'!$B$36,N131+M132-V131)))</f>
        <v>396.24000000000069</v>
      </c>
      <c r="O132" s="14">
        <f>N132*VLOOKUP('Données projet'!$B$9,Paramètres!$A$1:$I$89,3,0)*VLOOKUP('Données projet'!$B$9,Paramètres!$A$1:$I$89,5,0)</f>
        <v>358.51795200000061</v>
      </c>
      <c r="P132" s="14">
        <f t="shared" si="87"/>
        <v>83.313983934777241</v>
      </c>
      <c r="Q132" s="22">
        <f t="shared" si="108"/>
        <v>769.52395508640473</v>
      </c>
      <c r="R132" s="62">
        <f t="shared" si="109"/>
        <v>1062.8572884197381</v>
      </c>
      <c r="S132" s="62">
        <f ca="1">AVERAGE(OFFSET($R$3,0,0,'Données projet'!$E$9+1,1))-AVERAGE(OFFSET($H$3,0,0,'Données projet'!$E$9+1,1))</f>
        <v>581.88778927327667</v>
      </c>
      <c r="T132" s="62">
        <f t="shared" si="88"/>
        <v>269.67340993773422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50.796568726082675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50.796568726082675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2.8421709430404007E-13</v>
      </c>
      <c r="AJ132" s="14">
        <f>AI132*VLOOKUP('Données projet'!$B$10,Paramètres!$A$1:$I$89,3,0)*VLOOKUP('Données projet'!$B$10,Paramètres!$A$1:$I$89,5,0)</f>
        <v>2.7046098693972454E-13</v>
      </c>
      <c r="AK132" s="14">
        <f t="shared" si="89"/>
        <v>3.6187594451142911E-12</v>
      </c>
      <c r="AL132" s="22">
        <f t="shared" ref="AL132:AL153" si="112">(AJ132+AK132)*0.475*44/12</f>
        <v>6.7737255858274096E-12</v>
      </c>
      <c r="AM132" s="62">
        <f t="shared" ref="AM132:AM195" si="113">AL132+(AD132+AE132)*44/12</f>
        <v>293.33333333334008</v>
      </c>
      <c r="AN132" s="62">
        <f ca="1">AVERAGE(OFFSET($AM$3,0,0,'Données projet'!$E$10+1,1))-AVERAGE(OFFSET($H$3,0,0,'Données projet'!$E$10+1,1))</f>
        <v>444.81608506581125</v>
      </c>
      <c r="AO132" s="62">
        <f t="shared" si="90"/>
        <v>306.75289431725565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149.05303843512124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149.05303843512124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8.0699999999999985</v>
      </c>
      <c r="BD132" s="13">
        <f>IF('Données projet'!$A$88&gt;35,BD131+BC132-BL131,IF(A132&lt;'Données projet'!$A$88,$BA$205^A132,IF(A132='Données projet'!$A$88,'Données projet'!$B$88,BD131+BC132-BL131)))</f>
        <v>396.24000000000069</v>
      </c>
      <c r="BE132" s="14">
        <f>BD132*VLOOKUP('Données projet'!$B$11,Paramètres!$A$1:$I$89,3,0)*VLOOKUP('Données projet'!$B$11,Paramètres!$A$1:$I$89,5,0)</f>
        <v>426.5127360000007</v>
      </c>
      <c r="BF132" s="14">
        <f t="shared" si="91"/>
        <v>97.131474967122273</v>
      </c>
      <c r="BG132" s="22">
        <f t="shared" ref="BG132:BG153" si="115">(BE132+BF132)*0.475*44/12</f>
        <v>912.01366743440576</v>
      </c>
      <c r="BH132" s="62">
        <f t="shared" ref="BH132:BH195" si="116">BG132+(AY132+AZ132)*44/12</f>
        <v>1205.347000767739</v>
      </c>
      <c r="BI132" s="62">
        <f ca="1">AVERAGE(OFFSET($BH$3,0,0,'Données projet'!$E$11+1,1))-AVERAGE(OFFSET($H$3,0,0,'Données projet'!$E$11+1,1))</f>
        <v>683.36974161977764</v>
      </c>
      <c r="BJ132" s="62">
        <f t="shared" si="92"/>
        <v>312.6921234697457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60.43040072585697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60.43040072585697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8.0699999999999985</v>
      </c>
      <c r="BY132" s="13">
        <f>IF('Données projet'!$A$114&gt;35,BY131+BX132-CG131,IF(A132&lt;'Données projet'!$A$114,$BV$205^A132,IF(A132='Données projet'!$A$114,'Données projet'!$B$114,BY131+BX132-CG131)))</f>
        <v>396.24000000000069</v>
      </c>
      <c r="BZ132" s="14">
        <f>BY132*VLOOKUP('Données projet'!$B$12,Paramètres!$A$1:$I$89,3,0)*VLOOKUP('Données projet'!$B$12,Paramètres!$A$1:$I$89,5,0)</f>
        <v>383.2433280000007</v>
      </c>
      <c r="CA132" s="14">
        <f t="shared" si="93"/>
        <v>88.371092474485081</v>
      </c>
      <c r="CB132" s="22">
        <f t="shared" ref="CB132:CB153" si="118">(BZ132+CA132)*0.475*44/12</f>
        <v>821.39511565972941</v>
      </c>
      <c r="CC132" s="62">
        <f t="shared" ref="CC132:CC195" si="119">CB132+(BT132+BU132)*44/12</f>
        <v>1114.7284489930628</v>
      </c>
      <c r="CD132" s="62">
        <f ca="1">AVERAGE(OFFSET($CC$3,0,0,'Données projet'!$E$12+1,1))-AVERAGE(OFFSET($H$3,0,0,'Données projet'!$E$12+1,1))</f>
        <v>618.83149423524605</v>
      </c>
      <c r="CE132" s="62">
        <f t="shared" si="94"/>
        <v>285.33582535802435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54.299780362364217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54.299780362364217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354.24684313982857</v>
      </c>
      <c r="CZ132" s="62">
        <f t="shared" si="96"/>
        <v>322.65043486962185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63.230275640676851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63.230275640676851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8.0699999999999985</v>
      </c>
      <c r="N133" s="14">
        <f>IF('Données projet'!$A$36&gt;35,N132+M133-V132,IF(A133&lt;'Données projet'!$A$36,$K$205^A133,IF(A133='Données projet'!$A$36,'Données projet'!$B$36,N132+M133-V132)))</f>
        <v>404.31000000000068</v>
      </c>
      <c r="O133" s="14">
        <f>N133*VLOOKUP('Données projet'!$B$9,Paramètres!$A$1:$I$89,3,0)*VLOOKUP('Données projet'!$B$9,Paramètres!$A$1:$I$89,5,0)</f>
        <v>365.81968800000061</v>
      </c>
      <c r="P133" s="14">
        <f t="shared" ref="P133:P196" si="141">EXP(-1.0587+0.8836*LN(O133)+0.284)</f>
        <v>84.811521093342051</v>
      </c>
      <c r="Q133" s="22">
        <f t="shared" si="108"/>
        <v>784.84935583757169</v>
      </c>
      <c r="R133" s="62">
        <f t="shared" si="109"/>
        <v>1078.182689170905</v>
      </c>
      <c r="S133" s="62">
        <f ca="1">AVERAGE(OFFSET($R$3,0,0,'Données projet'!$E$9+1,1))-AVERAGE(OFFSET($H$3,0,0,'Données projet'!$E$9+1,1))</f>
        <v>581.88778927327667</v>
      </c>
      <c r="T133" s="62">
        <f t="shared" ref="T133:T196" si="142">$T$3</f>
        <v>269.67340993773422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49.800478996211815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49.800478996211815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2.8421709430404007E-13</v>
      </c>
      <c r="AJ133" s="14">
        <f>AI133*VLOOKUP('Données projet'!$B$10,Paramètres!$A$1:$I$89,3,0)*VLOOKUP('Données projet'!$B$10,Paramètres!$A$1:$I$89,5,0)</f>
        <v>2.7046098693972454E-13</v>
      </c>
      <c r="AK133" s="14">
        <f t="shared" ref="AK133:AK153" si="143">EXP(-1.0587+0.8836*LN(AJ133)+0.284)</f>
        <v>3.6187594451142911E-12</v>
      </c>
      <c r="AL133" s="22">
        <f t="shared" si="112"/>
        <v>6.7737255858274096E-12</v>
      </c>
      <c r="AM133" s="62">
        <f t="shared" si="113"/>
        <v>293.33333333334008</v>
      </c>
      <c r="AN133" s="62">
        <f ca="1">AVERAGE(OFFSET($AM$3,0,0,'Données projet'!$E$10+1,1))-AVERAGE(OFFSET($H$3,0,0,'Données projet'!$E$10+1,1))</f>
        <v>444.81608506581125</v>
      </c>
      <c r="AO133" s="62">
        <f t="shared" ref="AO133:AO196" si="144">$AO$3</f>
        <v>306.75289431725565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146.13019926478501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146.13019926478501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8.0699999999999985</v>
      </c>
      <c r="BD133" s="13">
        <f>IF('Données projet'!$A$88&gt;35,BD132+BC133-BL132,IF(A133&lt;'Données projet'!$A$88,$BA$205^A133,IF(A133='Données projet'!$A$88,'Données projet'!$B$88,BD132+BC133-BL132)))</f>
        <v>404.31000000000068</v>
      </c>
      <c r="BE133" s="14">
        <f>BD133*VLOOKUP('Données projet'!$B$11,Paramètres!$A$1:$I$89,3,0)*VLOOKUP('Données projet'!$B$11,Paramètres!$A$1:$I$89,5,0)</f>
        <v>435.19928400000077</v>
      </c>
      <c r="BF133" s="14">
        <f t="shared" ref="BF133:BF153" si="145">EXP(-1.0587+0.8836*LN(BE133)+0.284)</f>
        <v>98.877376269157637</v>
      </c>
      <c r="BG133" s="22">
        <f t="shared" si="115"/>
        <v>930.18351663545093</v>
      </c>
      <c r="BH133" s="62">
        <f t="shared" si="116"/>
        <v>1223.5168499687843</v>
      </c>
      <c r="BI133" s="62">
        <f ca="1">AVERAGE(OFFSET($BH$3,0,0,'Données projet'!$E$11+1,1))-AVERAGE(OFFSET($H$3,0,0,'Données projet'!$E$11+1,1))</f>
        <v>683.36974161977764</v>
      </c>
      <c r="BJ133" s="62">
        <f t="shared" ref="BJ133:BJ196" si="146">$BJ$3</f>
        <v>312.6921234697457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59.245397426527845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59.245397426527845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8.0699999999999985</v>
      </c>
      <c r="BY133" s="13">
        <f>IF('Données projet'!$A$114&gt;35,BY132+BX133-CG132,IF(A133&lt;'Données projet'!$A$114,$BV$205^A133,IF(A133='Données projet'!$A$114,'Données projet'!$B$114,BY132+BX133-CG132)))</f>
        <v>404.31000000000068</v>
      </c>
      <c r="BZ133" s="14">
        <f>BY133*VLOOKUP('Données projet'!$B$12,Paramètres!$A$1:$I$89,3,0)*VLOOKUP('Données projet'!$B$12,Paramètres!$A$1:$I$89,5,0)</f>
        <v>391.04863200000068</v>
      </c>
      <c r="CA133" s="14">
        <f t="shared" ref="CA133:CA153" si="147">EXP(-1.0587+0.8836*LN(BZ133)+0.284)</f>
        <v>89.959529234718644</v>
      </c>
      <c r="CB133" s="22">
        <f t="shared" si="118"/>
        <v>837.75588081713613</v>
      </c>
      <c r="CC133" s="62">
        <f t="shared" si="119"/>
        <v>1131.0892141504694</v>
      </c>
      <c r="CD133" s="62">
        <f ca="1">AVERAGE(OFFSET($CC$3,0,0,'Données projet'!$E$12+1,1))-AVERAGE(OFFSET($H$3,0,0,'Données projet'!$E$12+1,1))</f>
        <v>618.83149423524605</v>
      </c>
      <c r="CE133" s="62">
        <f t="shared" ref="CE133:CE196" si="148">$CE$3</f>
        <v>285.33582535802435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53.234994789053985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53.234994789053985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354.24684313982857</v>
      </c>
      <c r="CZ133" s="62">
        <f t="shared" ref="CZ133:CZ196" si="150">$CZ$3</f>
        <v>322.65043486962185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61.99036850202318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61.99036850202318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8.0699999999999985</v>
      </c>
      <c r="N134" s="14">
        <f>IF('Données projet'!$A$36&gt;35,N133+M134-V133,IF(A134&lt;'Données projet'!$A$36,$K$205^A134,IF(A134='Données projet'!$A$36,'Données projet'!$B$36,N133+M134-V133)))</f>
        <v>412.38000000000068</v>
      </c>
      <c r="O134" s="14">
        <f>N134*VLOOKUP('Données projet'!$B$9,Paramètres!$A$1:$I$89,3,0)*VLOOKUP('Données projet'!$B$9,Paramètres!$A$1:$I$89,5,0)</f>
        <v>373.12142400000062</v>
      </c>
      <c r="P134" s="14">
        <f t="shared" si="141"/>
        <v>86.305582764533938</v>
      </c>
      <c r="Q134" s="22">
        <f t="shared" si="108"/>
        <v>800.16870344823099</v>
      </c>
      <c r="R134" s="62">
        <f t="shared" si="109"/>
        <v>1093.5020367815644</v>
      </c>
      <c r="S134" s="62">
        <f ca="1">AVERAGE(OFFSET($R$3,0,0,'Données projet'!$E$9+1,1))-AVERAGE(OFFSET($H$3,0,0,'Données projet'!$E$9+1,1))</f>
        <v>581.88778927327667</v>
      </c>
      <c r="T134" s="62">
        <f t="shared" si="142"/>
        <v>269.67340993773422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48.823921978388981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48.823921978388981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2.8421709430404007E-13</v>
      </c>
      <c r="AJ134" s="14">
        <f>AI134*VLOOKUP('Données projet'!$B$10,Paramètres!$A$1:$I$89,3,0)*VLOOKUP('Données projet'!$B$10,Paramètres!$A$1:$I$89,5,0)</f>
        <v>2.7046098693972454E-13</v>
      </c>
      <c r="AK134" s="14">
        <f t="shared" si="143"/>
        <v>3.6187594451142911E-12</v>
      </c>
      <c r="AL134" s="22">
        <f t="shared" si="112"/>
        <v>6.7737255858274096E-12</v>
      </c>
      <c r="AM134" s="62">
        <f t="shared" si="113"/>
        <v>293.33333333334008</v>
      </c>
      <c r="AN134" s="62">
        <f ca="1">AVERAGE(OFFSET($AM$3,0,0,'Données projet'!$E$10+1,1))-AVERAGE(OFFSET($H$3,0,0,'Données projet'!$E$10+1,1))</f>
        <v>444.81608506581125</v>
      </c>
      <c r="AO134" s="62">
        <f t="shared" si="144"/>
        <v>306.75289431725565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143.2646751878232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143.2646751878232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8.0699999999999985</v>
      </c>
      <c r="BD134" s="13">
        <f>IF('Données projet'!$A$88&gt;35,BD133+BC134-BL133,IF(A134&lt;'Données projet'!$A$88,$BA$205^A134,IF(A134='Données projet'!$A$88,'Données projet'!$B$88,BD133+BC134-BL133)))</f>
        <v>412.38000000000068</v>
      </c>
      <c r="BE134" s="14">
        <f>BD134*VLOOKUP('Données projet'!$B$11,Paramètres!$A$1:$I$89,3,0)*VLOOKUP('Données projet'!$B$11,Paramètres!$A$1:$I$89,5,0)</f>
        <v>443.88583200000068</v>
      </c>
      <c r="BF134" s="14">
        <f t="shared" si="145"/>
        <v>100.61922567979573</v>
      </c>
      <c r="BG134" s="22">
        <f t="shared" si="115"/>
        <v>948.34630879231224</v>
      </c>
      <c r="BH134" s="62">
        <f t="shared" si="116"/>
        <v>1241.6796421256456</v>
      </c>
      <c r="BI134" s="62">
        <f ca="1">AVERAGE(OFFSET($BH$3,0,0,'Données projet'!$E$11+1,1))-AVERAGE(OFFSET($H$3,0,0,'Données projet'!$E$11+1,1))</f>
        <v>683.36974161977764</v>
      </c>
      <c r="BJ134" s="62">
        <f t="shared" si="146"/>
        <v>312.6921234697457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58.08363131911792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58.08363131911792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8.0699999999999985</v>
      </c>
      <c r="BY134" s="13">
        <f>IF('Données projet'!$A$114&gt;35,BY133+BX134-CG133,IF(A134&lt;'Données projet'!$A$114,$BV$205^A134,IF(A134='Données projet'!$A$114,'Données projet'!$B$114,BY133+BX134-CG133)))</f>
        <v>412.38000000000068</v>
      </c>
      <c r="BZ134" s="14">
        <f>BY134*VLOOKUP('Données projet'!$B$12,Paramètres!$A$1:$I$89,3,0)*VLOOKUP('Données projet'!$B$12,Paramètres!$A$1:$I$89,5,0)</f>
        <v>398.85393600000066</v>
      </c>
      <c r="CA134" s="14">
        <f t="shared" si="147"/>
        <v>91.54427954759349</v>
      </c>
      <c r="CB134" s="22">
        <f t="shared" si="118"/>
        <v>854.11022541205978</v>
      </c>
      <c r="CC134" s="62">
        <f t="shared" si="119"/>
        <v>1147.4435587453931</v>
      </c>
      <c r="CD134" s="62">
        <f ca="1">AVERAGE(OFFSET($CC$3,0,0,'Données projet'!$E$12+1,1))-AVERAGE(OFFSET($H$3,0,0,'Données projet'!$E$12+1,1))</f>
        <v>618.83149423524605</v>
      </c>
      <c r="CE134" s="62">
        <f t="shared" si="148"/>
        <v>285.33582535802435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52.191089011381301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52.191089011381301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354.24684313982857</v>
      </c>
      <c r="CZ134" s="62">
        <f t="shared" si="150"/>
        <v>322.65043486962185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60.774775186089826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60.774775186089826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8.0699999999999985</v>
      </c>
      <c r="N135" s="14">
        <f>IF('Données projet'!$A$36&gt;35,N134+M135-V134,IF(A135&lt;'Données projet'!$A$36,$K$205^A135,IF(A135='Données projet'!$A$36,'Données projet'!$B$36,N134+M135-V134)))</f>
        <v>420.45000000000067</v>
      </c>
      <c r="O135" s="14">
        <f>N135*VLOOKUP('Données projet'!$B$9,Paramètres!$A$1:$I$89,3,0)*VLOOKUP('Données projet'!$B$9,Paramètres!$A$1:$I$89,5,0)</f>
        <v>380.42316000000056</v>
      </c>
      <c r="P135" s="14">
        <f t="shared" si="141"/>
        <v>87.79624480137376</v>
      </c>
      <c r="Q135" s="22">
        <f t="shared" si="108"/>
        <v>815.48213002906016</v>
      </c>
      <c r="R135" s="62">
        <f t="shared" si="109"/>
        <v>1108.8154633623935</v>
      </c>
      <c r="S135" s="62">
        <f ca="1">AVERAGE(OFFSET($R$3,0,0,'Données projet'!$E$9+1,1))-AVERAGE(OFFSET($H$3,0,0,'Données projet'!$E$9+1,1))</f>
        <v>581.88778927327667</v>
      </c>
      <c r="T135" s="62">
        <f t="shared" si="142"/>
        <v>269.67340993773422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47.866514648044685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47.866514648044685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2.8421709430404007E-13</v>
      </c>
      <c r="AJ135" s="14">
        <f>AI135*VLOOKUP('Données projet'!$B$10,Paramètres!$A$1:$I$89,3,0)*VLOOKUP('Données projet'!$B$10,Paramètres!$A$1:$I$89,5,0)</f>
        <v>2.7046098693972454E-13</v>
      </c>
      <c r="AK135" s="14">
        <f t="shared" si="143"/>
        <v>3.6187594451142911E-12</v>
      </c>
      <c r="AL135" s="22">
        <f t="shared" si="112"/>
        <v>6.7737255858274096E-12</v>
      </c>
      <c r="AM135" s="62">
        <f t="shared" si="113"/>
        <v>293.33333333334008</v>
      </c>
      <c r="AN135" s="62">
        <f ca="1">AVERAGE(OFFSET($AM$3,0,0,'Données projet'!$E$10+1,1))-AVERAGE(OFFSET($H$3,0,0,'Données projet'!$E$10+1,1))</f>
        <v>444.81608506581125</v>
      </c>
      <c r="AO135" s="62">
        <f t="shared" si="144"/>
        <v>306.75289431725565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140.45534229021351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140.45534229021351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8.0699999999999985</v>
      </c>
      <c r="BD135" s="13">
        <f>IF('Données projet'!$A$88&gt;35,BD134+BC135-BL134,IF(A135&lt;'Données projet'!$A$88,$BA$205^A135,IF(A135='Données projet'!$A$88,'Données projet'!$B$88,BD134+BC135-BL134)))</f>
        <v>420.45000000000067</v>
      </c>
      <c r="BE135" s="14">
        <f>BD135*VLOOKUP('Données projet'!$B$11,Paramètres!$A$1:$I$89,3,0)*VLOOKUP('Données projet'!$B$11,Paramètres!$A$1:$I$89,5,0)</f>
        <v>452.57238000000075</v>
      </c>
      <c r="BF135" s="14">
        <f t="shared" si="145"/>
        <v>102.35711163216003</v>
      </c>
      <c r="BG135" s="22">
        <f t="shared" si="115"/>
        <v>966.50219792601331</v>
      </c>
      <c r="BH135" s="62">
        <f t="shared" si="116"/>
        <v>1259.8355312593467</v>
      </c>
      <c r="BI135" s="62">
        <f ca="1">AVERAGE(OFFSET($BH$3,0,0,'Données projet'!$E$11+1,1))-AVERAGE(OFFSET($H$3,0,0,'Données projet'!$E$11+1,1))</f>
        <v>683.36974161977764</v>
      </c>
      <c r="BJ135" s="62">
        <f t="shared" si="146"/>
        <v>312.6921234697457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56.944646736466943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56.944646736466943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8.0699999999999985</v>
      </c>
      <c r="BY135" s="13">
        <f>IF('Données projet'!$A$114&gt;35,BY134+BX135-CG134,IF(A135&lt;'Données projet'!$A$114,$BV$205^A135,IF(A135='Données projet'!$A$114,'Données projet'!$B$114,BY134+BX135-CG134)))</f>
        <v>420.45000000000067</v>
      </c>
      <c r="BZ135" s="14">
        <f>BY135*VLOOKUP('Données projet'!$B$12,Paramètres!$A$1:$I$89,3,0)*VLOOKUP('Données projet'!$B$12,Paramètres!$A$1:$I$89,5,0)</f>
        <v>406.65924000000069</v>
      </c>
      <c r="CA135" s="14">
        <f t="shared" si="147"/>
        <v>93.125423870362923</v>
      </c>
      <c r="CB135" s="22">
        <f t="shared" si="118"/>
        <v>870.45828957421656</v>
      </c>
      <c r="CC135" s="62">
        <f t="shared" si="119"/>
        <v>1163.7916229075499</v>
      </c>
      <c r="CD135" s="62">
        <f ca="1">AVERAGE(OFFSET($CC$3,0,0,'Données projet'!$E$12+1,1))-AVERAGE(OFFSET($H$3,0,0,'Données projet'!$E$12+1,1))</f>
        <v>618.83149423524605</v>
      </c>
      <c r="CE135" s="62">
        <f t="shared" si="148"/>
        <v>285.33582535802435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51.167653589289124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51.167653589289124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354.24684313982857</v>
      </c>
      <c r="CZ135" s="62">
        <f t="shared" si="150"/>
        <v>322.65043486962185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59.583018913643215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59.583018913643215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8.0699999999999985</v>
      </c>
      <c r="N136" s="14">
        <f>IF('Données projet'!$A$36&gt;35,N135+M136-V135,IF(A136&lt;'Données projet'!$A$36,$K$205^A136,IF(A136='Données projet'!$A$36,'Données projet'!$B$36,N135+M136-V135)))</f>
        <v>428.52000000000066</v>
      </c>
      <c r="O136" s="14">
        <f>N136*VLOOKUP('Données projet'!$B$9,Paramètres!$A$1:$I$89,3,0)*VLOOKUP('Données projet'!$B$9,Paramètres!$A$1:$I$89,5,0)</f>
        <v>387.72489600000057</v>
      </c>
      <c r="P136" s="14">
        <f t="shared" si="141"/>
        <v>89.283579978484866</v>
      </c>
      <c r="Q136" s="22">
        <f t="shared" si="108"/>
        <v>830.78976232919547</v>
      </c>
      <c r="R136" s="62">
        <f t="shared" si="109"/>
        <v>1124.1230956625288</v>
      </c>
      <c r="S136" s="62">
        <f ca="1">AVERAGE(OFFSET($R$3,0,0,'Données projet'!$E$9+1,1))-AVERAGE(OFFSET($H$3,0,0,'Données projet'!$E$9+1,1))</f>
        <v>581.88778927327667</v>
      </c>
      <c r="T136" s="62">
        <f t="shared" si="142"/>
        <v>269.67340993773422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46.927881491487632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46.927881491487632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2.8421709430404007E-13</v>
      </c>
      <c r="AJ136" s="14">
        <f>AI136*VLOOKUP('Données projet'!$B$10,Paramètres!$A$1:$I$89,3,0)*VLOOKUP('Données projet'!$B$10,Paramètres!$A$1:$I$89,5,0)</f>
        <v>2.7046098693972454E-13</v>
      </c>
      <c r="AK136" s="14">
        <f t="shared" si="143"/>
        <v>3.6187594451142911E-12</v>
      </c>
      <c r="AL136" s="22">
        <f t="shared" si="112"/>
        <v>6.7737255858274096E-12</v>
      </c>
      <c r="AM136" s="62">
        <f t="shared" si="113"/>
        <v>293.33333333334008</v>
      </c>
      <c r="AN136" s="62">
        <f ca="1">AVERAGE(OFFSET($AM$3,0,0,'Données projet'!$E$10+1,1))-AVERAGE(OFFSET($H$3,0,0,'Données projet'!$E$10+1,1))</f>
        <v>444.81608506581125</v>
      </c>
      <c r="AO136" s="62">
        <f t="shared" si="144"/>
        <v>306.75289431725565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137.70109869720207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137.70109869720207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8.0699999999999985</v>
      </c>
      <c r="BD136" s="13">
        <f>IF('Données projet'!$A$88&gt;35,BD135+BC136-BL135,IF(A136&lt;'Données projet'!$A$88,$BA$205^A136,IF(A136='Données projet'!$A$88,'Données projet'!$B$88,BD135+BC136-BL135)))</f>
        <v>428.52000000000066</v>
      </c>
      <c r="BE136" s="14">
        <f>BD136*VLOOKUP('Données projet'!$B$11,Paramètres!$A$1:$I$89,3,0)*VLOOKUP('Données projet'!$B$11,Paramètres!$A$1:$I$89,5,0)</f>
        <v>461.25892800000065</v>
      </c>
      <c r="BF136" s="14">
        <f t="shared" si="145"/>
        <v>104.09111897042844</v>
      </c>
      <c r="BG136" s="22">
        <f t="shared" si="115"/>
        <v>984.65133180683051</v>
      </c>
      <c r="BH136" s="62">
        <f t="shared" si="116"/>
        <v>1277.9846651401638</v>
      </c>
      <c r="BI136" s="62">
        <f ca="1">AVERAGE(OFFSET($BH$3,0,0,'Données projet'!$E$11+1,1))-AVERAGE(OFFSET($H$3,0,0,'Données projet'!$E$11+1,1))</f>
        <v>683.36974161977764</v>
      </c>
      <c r="BJ136" s="62">
        <f t="shared" si="146"/>
        <v>312.6921234697457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55.827996946769758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55.827996946769758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8.0699999999999985</v>
      </c>
      <c r="BY136" s="13">
        <f>IF('Données projet'!$A$114&gt;35,BY135+BX136-CG135,IF(A136&lt;'Données projet'!$A$114,$BV$205^A136,IF(A136='Données projet'!$A$114,'Données projet'!$B$114,BY135+BX136-CG135)))</f>
        <v>428.52000000000066</v>
      </c>
      <c r="BZ136" s="14">
        <f>BY136*VLOOKUP('Données projet'!$B$12,Paramètres!$A$1:$I$89,3,0)*VLOOKUP('Données projet'!$B$12,Paramètres!$A$1:$I$89,5,0)</f>
        <v>414.46454400000067</v>
      </c>
      <c r="CA136" s="14">
        <f t="shared" si="147"/>
        <v>94.703039395025982</v>
      </c>
      <c r="CB136" s="22">
        <f t="shared" si="118"/>
        <v>886.80020774633806</v>
      </c>
      <c r="CC136" s="62">
        <f t="shared" si="119"/>
        <v>1180.1335410796714</v>
      </c>
      <c r="CD136" s="62">
        <f ca="1">AVERAGE(OFFSET($CC$3,0,0,'Données projet'!$E$12+1,1))-AVERAGE(OFFSET($H$3,0,0,'Données projet'!$E$12+1,1))</f>
        <v>618.83149423524605</v>
      </c>
      <c r="CE136" s="62">
        <f t="shared" si="148"/>
        <v>285.33582535802435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50.164287111590205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50.164287111590205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354.24684313982857</v>
      </c>
      <c r="CZ136" s="62">
        <f t="shared" si="150"/>
        <v>322.65043486962185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58.414632254799727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58.414632254799727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>
        <f>VLOOKUP(A137,'Données projet'!$A$35:$I$55,2,0)</f>
        <v>436.59</v>
      </c>
      <c r="L137" s="13">
        <f>VLOOKUP(A137,'Données projet'!$A$35:$I$55,9,0)</f>
        <v>8.0699999999999985</v>
      </c>
      <c r="M137" s="13">
        <f t="array" ref="M137">INDEX(L:L,MIN(IF(ISNUMBER(L137:L333),ROW(L137:L333),"")))</f>
        <v>8.0699999999999985</v>
      </c>
      <c r="N137" s="14">
        <f>IF('Données projet'!$A$36&gt;35,N136+M137-V136,IF(A137&lt;'Données projet'!$A$36,$K$205^A137,IF(A137='Données projet'!$A$36,'Données projet'!$B$36,N136+M137-V136)))</f>
        <v>436.59000000000066</v>
      </c>
      <c r="O137" s="14">
        <f>N137*VLOOKUP('Données projet'!$B$9,Paramètres!$A$1:$I$89,3,0)*VLOOKUP('Données projet'!$B$9,Paramètres!$A$1:$I$89,5,0)</f>
        <v>395.02663200000057</v>
      </c>
      <c r="P137" s="14">
        <f t="shared" si="141"/>
        <v>90.767658172605465</v>
      </c>
      <c r="Q137" s="22">
        <f t="shared" si="108"/>
        <v>846.09172205062214</v>
      </c>
      <c r="R137" s="62">
        <f t="shared" si="109"/>
        <v>1139.4250553839554</v>
      </c>
      <c r="S137" s="62">
        <f ca="1">AVERAGE(OFFSET($R$3,0,0,'Données projet'!$E$9+1,1))-AVERAGE(OFFSET($H$3,0,0,'Données projet'!$E$9+1,1))</f>
        <v>581.88778927327667</v>
      </c>
      <c r="T137" s="62">
        <f t="shared" si="142"/>
        <v>269.67340993773422</v>
      </c>
      <c r="U137" s="16">
        <f>IF(ISNA(VLOOKUP(A137,'Données projet'!$A$35:$I$55,3,0)),0,VLOOKUP(A137,'Données projet'!$A$35:$I$55,3,0))</f>
        <v>11</v>
      </c>
      <c r="V137" s="16">
        <f>IF(ISNA(VLOOKUP(A137,'Données projet'!$A$35:$I$55,4,0)),0,VLOOKUP(A137,'Données projet'!$A$35:$I$55,4,0))</f>
        <v>54.95</v>
      </c>
      <c r="W137" s="17">
        <f>IF(ISNA(VLOOKUP(A137,'Données projet'!$A$35:$I$55,5,0)),0%,VLOOKUP(A137,'Données projet'!$A$35:$I$55,5,0)*VLOOKUP('Données projet'!$B$9,Paramètres!$A$1:$I$89,7,0))</f>
        <v>0.30099999999999999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62.55140192124037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62.55140192124037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2.8421709430404007E-13</v>
      </c>
      <c r="AJ137" s="14">
        <f>AI137*VLOOKUP('Données projet'!$B$10,Paramètres!$A$1:$I$89,3,0)*VLOOKUP('Données projet'!$B$10,Paramètres!$A$1:$I$89,5,0)</f>
        <v>2.7046098693972454E-13</v>
      </c>
      <c r="AK137" s="14">
        <f t="shared" si="143"/>
        <v>3.6187594451142911E-12</v>
      </c>
      <c r="AL137" s="22">
        <f t="shared" si="112"/>
        <v>6.7737255858274096E-12</v>
      </c>
      <c r="AM137" s="62">
        <f t="shared" si="113"/>
        <v>293.33333333334008</v>
      </c>
      <c r="AN137" s="62">
        <f ca="1">AVERAGE(OFFSET($AM$3,0,0,'Données projet'!$E$10+1,1))-AVERAGE(OFFSET($H$3,0,0,'Données projet'!$E$10+1,1))</f>
        <v>444.81608506581125</v>
      </c>
      <c r="AO137" s="62">
        <f t="shared" si="144"/>
        <v>306.75289431725565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135.00086414112687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135.00086414112687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>
        <f>VLOOKUP(A137,'Données projet'!$A$87:$I$107,2,0)</f>
        <v>436.59</v>
      </c>
      <c r="BB137" s="13">
        <f>VLOOKUP(A137,'Données projet'!$A$87:$I$107,9,0)</f>
        <v>8.0699999999999985</v>
      </c>
      <c r="BC137" s="13">
        <f t="array" ref="BC137">INDEX(BB:BB,MIN(IF(ISNUMBER(BB137:BB333),ROW(BB137:BB333),"")))</f>
        <v>8.0699999999999985</v>
      </c>
      <c r="BD137" s="13">
        <f>IF('Données projet'!$A$88&gt;35,BD136+BC137-BL136,IF(A137&lt;'Données projet'!$A$88,$BA$205^A137,IF(A137='Données projet'!$A$88,'Données projet'!$B$88,BD136+BC137-BL136)))</f>
        <v>436.59000000000066</v>
      </c>
      <c r="BE137" s="14">
        <f>BD137*VLOOKUP('Données projet'!$B$11,Paramètres!$A$1:$I$89,3,0)*VLOOKUP('Données projet'!$B$11,Paramètres!$A$1:$I$89,5,0)</f>
        <v>469.94547600000072</v>
      </c>
      <c r="BF137" s="14">
        <f t="shared" si="145"/>
        <v>105.82132916028486</v>
      </c>
      <c r="BG137" s="22">
        <f t="shared" si="115"/>
        <v>1002.7938523208308</v>
      </c>
      <c r="BH137" s="62">
        <f t="shared" si="116"/>
        <v>1296.1271856541641</v>
      </c>
      <c r="BI137" s="62">
        <f ca="1">AVERAGE(OFFSET($BH$3,0,0,'Données projet'!$E$11+1,1))-AVERAGE(OFFSET($H$3,0,0,'Données projet'!$E$11+1,1))</f>
        <v>683.36974161977764</v>
      </c>
      <c r="BJ137" s="62">
        <f t="shared" si="146"/>
        <v>312.6921234697457</v>
      </c>
      <c r="BK137" s="16">
        <f>IF(ISNA(VLOOKUP(A137,'Données projet'!$A$87:$I$107,3,0)),0,VLOOKUP(A137,'Données projet'!$A$87:$I$107,3,0))</f>
        <v>11</v>
      </c>
      <c r="BL137" s="16">
        <f>IF(ISNA(VLOOKUP(A137,'Données projet'!$A$87:$I$107,4,0)),0,VLOOKUP(A137,'Données projet'!$A$87:$I$107,4,0))</f>
        <v>54.95</v>
      </c>
      <c r="BM137" s="17">
        <f>IF(ISNA(VLOOKUP(A137,'Données projet'!$A$87:$I$107,5,0)),0%,VLOOKUP(A137,'Données projet'!$A$87:$I$107,5,0)*VLOOKUP('Données projet'!$B$11,Paramètres!$A$1:$I$89,7,0))</f>
        <v>0.30099999999999999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74.414598837337664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74.414598837337664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>
        <f>VLOOKUP(A137,'Données projet'!$A$113:$I$133,2,0)</f>
        <v>436.59</v>
      </c>
      <c r="BW137" s="13">
        <f>VLOOKUP(A137,'Données projet'!$A$113:$I$133,9,0)</f>
        <v>8.0699999999999985</v>
      </c>
      <c r="BX137" s="13">
        <f t="array" ref="BX137">INDEX(BW:BW,MIN(IF(ISNUMBER(BW137:BW333),ROW(BW137:BW333),"")))</f>
        <v>8.0699999999999985</v>
      </c>
      <c r="BY137" s="13">
        <f>IF('Données projet'!$A$114&gt;35,BY136+BX137-CG136,IF(A137&lt;'Données projet'!$A$114,$BV$205^A137,IF(A137='Données projet'!$A$114,'Données projet'!$B$114,BY136+BX137-CG136)))</f>
        <v>436.59000000000066</v>
      </c>
      <c r="BZ137" s="14">
        <f>BY137*VLOOKUP('Données projet'!$B$12,Paramètres!$A$1:$I$89,3,0)*VLOOKUP('Données projet'!$B$12,Paramètres!$A$1:$I$89,5,0)</f>
        <v>422.26984800000071</v>
      </c>
      <c r="CA137" s="14">
        <f t="shared" si="147"/>
        <v>96.277200239796969</v>
      </c>
      <c r="CB137" s="22">
        <f t="shared" si="118"/>
        <v>903.13610901764775</v>
      </c>
      <c r="CC137" s="62">
        <f t="shared" si="119"/>
        <v>1196.4694423509811</v>
      </c>
      <c r="CD137" s="62">
        <f ca="1">AVERAGE(OFFSET($CC$3,0,0,'Données projet'!$E$12+1,1))-AVERAGE(OFFSET($H$3,0,0,'Données projet'!$E$12+1,1))</f>
        <v>618.83149423524605</v>
      </c>
      <c r="CE137" s="62">
        <f t="shared" si="148"/>
        <v>285.33582535802435</v>
      </c>
      <c r="CF137" s="16">
        <f>IF(ISNA(VLOOKUP(A137,'Données projet'!$A$113:$I$133,3,0)),0,VLOOKUP(A137,'Données projet'!$A$113:$I$133,3,0))</f>
        <v>11</v>
      </c>
      <c r="CG137" s="16">
        <f>IF(ISNA(VLOOKUP(A137,'Données projet'!$A$113:$I$133,4,0)),0,VLOOKUP(A137,'Données projet'!$A$113:$I$133,4,0))</f>
        <v>54.95</v>
      </c>
      <c r="CH137" s="17">
        <f>IF(ISNA(VLOOKUP(A137,'Données projet'!$A$113:$I$133,5,0)),0%,VLOOKUP(A137,'Données projet'!$A$113:$I$133,5,0)*VLOOKUP('Données projet'!$B$12,Paramètres!$A$1:$I$89,7,0))</f>
        <v>0.30099999999999999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66.865291708912096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66.865291708912096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354.24684313982857</v>
      </c>
      <c r="CZ137" s="62">
        <f t="shared" si="150"/>
        <v>322.65043486962185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57.269156945690668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57.269156945690668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8.1590000000000025</v>
      </c>
      <c r="N138" s="14">
        <f>IF('Données projet'!$A$36&gt;35,N137+M138-V137,IF(A138&lt;'Données projet'!$A$36,$K$205^A138,IF(A138='Données projet'!$A$36,'Données projet'!$B$36,N137+M138-V137)))</f>
        <v>389.79900000000066</v>
      </c>
      <c r="O138" s="14">
        <f>N138*VLOOKUP('Données projet'!$B$9,Paramètres!$A$1:$I$89,3,0)*VLOOKUP('Données projet'!$B$9,Paramètres!$A$1:$I$89,5,0)</f>
        <v>352.69013520000055</v>
      </c>
      <c r="P138" s="14">
        <f t="shared" si="141"/>
        <v>82.116190931394016</v>
      </c>
      <c r="Q138" s="22">
        <f t="shared" si="108"/>
        <v>757.28768467884549</v>
      </c>
      <c r="R138" s="62">
        <f t="shared" si="109"/>
        <v>1050.6210180121789</v>
      </c>
      <c r="S138" s="62">
        <f ca="1">AVERAGE(OFFSET($R$3,0,0,'Données projet'!$E$9+1,1))-AVERAGE(OFFSET($H$3,0,0,'Données projet'!$E$9+1,1))</f>
        <v>581.88778927327667</v>
      </c>
      <c r="T138" s="62">
        <f t="shared" si="142"/>
        <v>269.67340993773422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61.324807082152766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61.324807082152766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2.8421709430404007E-13</v>
      </c>
      <c r="AJ138" s="14">
        <f>AI138*VLOOKUP('Données projet'!$B$10,Paramètres!$A$1:$I$89,3,0)*VLOOKUP('Données projet'!$B$10,Paramètres!$A$1:$I$89,5,0)</f>
        <v>2.7046098693972454E-13</v>
      </c>
      <c r="AK138" s="14">
        <f t="shared" si="143"/>
        <v>3.6187594451142911E-12</v>
      </c>
      <c r="AL138" s="22">
        <f t="shared" si="112"/>
        <v>6.7737255858274096E-12</v>
      </c>
      <c r="AM138" s="62">
        <f t="shared" si="113"/>
        <v>293.33333333334008</v>
      </c>
      <c r="AN138" s="62">
        <f ca="1">AVERAGE(OFFSET($AM$3,0,0,'Données projet'!$E$10+1,1))-AVERAGE(OFFSET($H$3,0,0,'Données projet'!$E$10+1,1))</f>
        <v>444.81608506581125</v>
      </c>
      <c r="AO138" s="62">
        <f t="shared" si="144"/>
        <v>306.75289431725565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132.35357953771586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132.35357953771586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8.1590000000000025</v>
      </c>
      <c r="BD138" s="13">
        <f>IF('Données projet'!$A$88&gt;35,BD137+BC138-BL137,IF(A138&lt;'Données projet'!$A$88,$BA$205^A138,IF(A138='Données projet'!$A$88,'Données projet'!$B$88,BD137+BC138-BL137)))</f>
        <v>389.79900000000066</v>
      </c>
      <c r="BE138" s="14">
        <f>BD138*VLOOKUP('Données projet'!$B$11,Paramètres!$A$1:$I$89,3,0)*VLOOKUP('Données projet'!$B$11,Paramètres!$A$1:$I$89,5,0)</f>
        <v>419.57964360000068</v>
      </c>
      <c r="BF138" s="14">
        <f t="shared" si="145"/>
        <v>95.735029909171558</v>
      </c>
      <c r="BG138" s="22">
        <f t="shared" si="115"/>
        <v>897.50638969514159</v>
      </c>
      <c r="BH138" s="62">
        <f t="shared" si="116"/>
        <v>1190.839723028475</v>
      </c>
      <c r="BI138" s="62">
        <f ca="1">AVERAGE(OFFSET($BH$3,0,0,'Données projet'!$E$11+1,1))-AVERAGE(OFFSET($H$3,0,0,'Données projet'!$E$11+1,1))</f>
        <v>683.36974161977764</v>
      </c>
      <c r="BJ138" s="62">
        <f t="shared" si="146"/>
        <v>312.6921234697457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72.955373942561025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72.955373942561025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8.1590000000000025</v>
      </c>
      <c r="BY138" s="13">
        <f>IF('Données projet'!$A$114&gt;35,BY137+BX138-CG137,IF(A138&lt;'Données projet'!$A$114,$BV$205^A138,IF(A138='Données projet'!$A$114,'Données projet'!$B$114,BY137+BX138-CG137)))</f>
        <v>389.79900000000066</v>
      </c>
      <c r="BZ138" s="14">
        <f>BY138*VLOOKUP('Données projet'!$B$12,Paramètres!$A$1:$I$89,3,0)*VLOOKUP('Données projet'!$B$12,Paramètres!$A$1:$I$89,5,0)</f>
        <v>377.01359280000065</v>
      </c>
      <c r="CA138" s="14">
        <f t="shared" si="147"/>
        <v>87.100594158738531</v>
      </c>
      <c r="CB138" s="22">
        <f t="shared" si="118"/>
        <v>808.33220895313741</v>
      </c>
      <c r="CC138" s="62">
        <f t="shared" si="119"/>
        <v>1101.6655422864708</v>
      </c>
      <c r="CD138" s="62">
        <f ca="1">AVERAGE(OFFSET($CC$3,0,0,'Données projet'!$E$12+1,1))-AVERAGE(OFFSET($H$3,0,0,'Données projet'!$E$12+1,1))</f>
        <v>618.83149423524605</v>
      </c>
      <c r="CE138" s="62">
        <f t="shared" si="148"/>
        <v>285.33582535802435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65.554104122301212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65.554104122301212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354.24684313982857</v>
      </c>
      <c r="CZ138" s="62">
        <f t="shared" si="150"/>
        <v>322.65043486962185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56.146143708722285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56.146143708722285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8.1590000000000025</v>
      </c>
      <c r="N139" s="14">
        <f>IF('Données projet'!$A$36&gt;35,N138+M139-V138,IF(A139&lt;'Données projet'!$A$36,$K$205^A139,IF(A139='Données projet'!$A$36,'Données projet'!$B$36,N138+M139-V138)))</f>
        <v>397.95800000000065</v>
      </c>
      <c r="O139" s="14">
        <f>N139*VLOOKUP('Données projet'!$B$9,Paramètres!$A$1:$I$89,3,0)*VLOOKUP('Données projet'!$B$9,Paramètres!$A$1:$I$89,5,0)</f>
        <v>360.07239840000057</v>
      </c>
      <c r="P139" s="14">
        <f t="shared" si="141"/>
        <v>83.633085567444908</v>
      </c>
      <c r="Q139" s="22">
        <f t="shared" si="108"/>
        <v>772.78705124330099</v>
      </c>
      <c r="R139" s="62">
        <f t="shared" si="109"/>
        <v>1066.1203845766343</v>
      </c>
      <c r="S139" s="62">
        <f ca="1">AVERAGE(OFFSET($R$3,0,0,'Données projet'!$E$9+1,1))-AVERAGE(OFFSET($H$3,0,0,'Données projet'!$E$9+1,1))</f>
        <v>581.88778927327667</v>
      </c>
      <c r="T139" s="62">
        <f t="shared" si="142"/>
        <v>269.67340993773422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60.122265019710689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60.122265019710689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2.8421709430404007E-13</v>
      </c>
      <c r="AJ139" s="14">
        <f>AI139*VLOOKUP('Données projet'!$B$10,Paramètres!$A$1:$I$89,3,0)*VLOOKUP('Données projet'!$B$10,Paramètres!$A$1:$I$89,5,0)</f>
        <v>2.7046098693972454E-13</v>
      </c>
      <c r="AK139" s="14">
        <f t="shared" si="143"/>
        <v>3.6187594451142911E-12</v>
      </c>
      <c r="AL139" s="22">
        <f t="shared" si="112"/>
        <v>6.7737255858274096E-12</v>
      </c>
      <c r="AM139" s="62">
        <f t="shared" si="113"/>
        <v>293.33333333334008</v>
      </c>
      <c r="AN139" s="62">
        <f ca="1">AVERAGE(OFFSET($AM$3,0,0,'Données projet'!$E$10+1,1))-AVERAGE(OFFSET($H$3,0,0,'Données projet'!$E$10+1,1))</f>
        <v>444.81608506581125</v>
      </c>
      <c r="AO139" s="62">
        <f t="shared" si="144"/>
        <v>306.75289431725565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129.75820657069357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129.75820657069357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8.1590000000000025</v>
      </c>
      <c r="BD139" s="13">
        <f>IF('Données projet'!$A$88&gt;35,BD138+BC139-BL138,IF(A139&lt;'Données projet'!$A$88,$BA$205^A139,IF(A139='Données projet'!$A$88,'Données projet'!$B$88,BD138+BC139-BL138)))</f>
        <v>397.95800000000065</v>
      </c>
      <c r="BE139" s="14">
        <f>BD139*VLOOKUP('Données projet'!$B$11,Paramètres!$A$1:$I$89,3,0)*VLOOKUP('Données projet'!$B$11,Paramètres!$A$1:$I$89,5,0)</f>
        <v>428.36199120000066</v>
      </c>
      <c r="BF139" s="14">
        <f t="shared" si="145"/>
        <v>97.503499095385038</v>
      </c>
      <c r="BG139" s="22">
        <f t="shared" si="115"/>
        <v>915.88239559779674</v>
      </c>
      <c r="BH139" s="62">
        <f t="shared" si="116"/>
        <v>1209.2157289311301</v>
      </c>
      <c r="BI139" s="62">
        <f ca="1">AVERAGE(OFFSET($BH$3,0,0,'Données projet'!$E$11+1,1))-AVERAGE(OFFSET($H$3,0,0,'Données projet'!$E$11+1,1))</f>
        <v>683.36974161977764</v>
      </c>
      <c r="BJ139" s="62">
        <f t="shared" si="146"/>
        <v>312.6921234697457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71.524763557931664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71.524763557931664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8.1590000000000025</v>
      </c>
      <c r="BY139" s="13">
        <f>IF('Données projet'!$A$114&gt;35,BY138+BX139-CG138,IF(A139&lt;'Données projet'!$A$114,$BV$205^A139,IF(A139='Données projet'!$A$114,'Données projet'!$B$114,BY138+BX139-CG138)))</f>
        <v>397.95800000000065</v>
      </c>
      <c r="BZ139" s="14">
        <f>BY139*VLOOKUP('Données projet'!$B$12,Paramètres!$A$1:$I$89,3,0)*VLOOKUP('Données projet'!$B$12,Paramètres!$A$1:$I$89,5,0)</f>
        <v>384.90497760000062</v>
      </c>
      <c r="CA139" s="14">
        <f t="shared" si="147"/>
        <v>88.709563383658136</v>
      </c>
      <c r="CB139" s="22">
        <f t="shared" si="118"/>
        <v>824.87865887987221</v>
      </c>
      <c r="CC139" s="62">
        <f t="shared" si="119"/>
        <v>1118.2119922132056</v>
      </c>
      <c r="CD139" s="62">
        <f ca="1">AVERAGE(OFFSET($CC$3,0,0,'Données projet'!$E$12+1,1))-AVERAGE(OFFSET($H$3,0,0,'Données projet'!$E$12+1,1))</f>
        <v>618.83149423524605</v>
      </c>
      <c r="CE139" s="62">
        <f t="shared" si="148"/>
        <v>285.33582535802435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64.268628124518301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64.268628124518301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354.24684313982857</v>
      </c>
      <c r="CZ139" s="62">
        <f t="shared" si="150"/>
        <v>322.65043486962185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55.045152076360417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55.045152076360417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8.1590000000000025</v>
      </c>
      <c r="N140" s="14">
        <f>IF('Données projet'!$A$36&gt;35,N139+M140-V139,IF(A140&lt;'Données projet'!$A$36,$K$205^A140,IF(A140='Données projet'!$A$36,'Données projet'!$B$36,N139+M140-V139)))</f>
        <v>406.11700000000064</v>
      </c>
      <c r="O140" s="14">
        <f>N140*VLOOKUP('Données projet'!$B$9,Paramètres!$A$1:$I$89,3,0)*VLOOKUP('Données projet'!$B$9,Paramètres!$A$1:$I$89,5,0)</f>
        <v>367.45466160000058</v>
      </c>
      <c r="P140" s="14">
        <f t="shared" si="141"/>
        <v>85.146364255773364</v>
      </c>
      <c r="Q140" s="22">
        <f t="shared" si="108"/>
        <v>788.28012003213962</v>
      </c>
      <c r="R140" s="62">
        <f t="shared" si="109"/>
        <v>1081.6134533654729</v>
      </c>
      <c r="S140" s="62">
        <f ca="1">AVERAGE(OFFSET($R$3,0,0,'Données projet'!$E$9+1,1))-AVERAGE(OFFSET($H$3,0,0,'Données projet'!$E$9+1,1))</f>
        <v>581.88778927327667</v>
      </c>
      <c r="T140" s="62">
        <f t="shared" si="142"/>
        <v>269.67340993773422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58.94330407363487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58.94330407363487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2.8421709430404007E-13</v>
      </c>
      <c r="AJ140" s="14">
        <f>AI140*VLOOKUP('Données projet'!$B$10,Paramètres!$A$1:$I$89,3,0)*VLOOKUP('Données projet'!$B$10,Paramètres!$A$1:$I$89,5,0)</f>
        <v>2.7046098693972454E-13</v>
      </c>
      <c r="AK140" s="14">
        <f t="shared" si="143"/>
        <v>3.6187594451142911E-12</v>
      </c>
      <c r="AL140" s="22">
        <f t="shared" si="112"/>
        <v>6.7737255858274096E-12</v>
      </c>
      <c r="AM140" s="62">
        <f t="shared" si="113"/>
        <v>293.33333333334008</v>
      </c>
      <c r="AN140" s="62">
        <f ca="1">AVERAGE(OFFSET($AM$3,0,0,'Données projet'!$E$10+1,1))-AVERAGE(OFFSET($H$3,0,0,'Données projet'!$E$10+1,1))</f>
        <v>444.81608506581125</v>
      </c>
      <c r="AO140" s="62">
        <f t="shared" si="144"/>
        <v>306.75289431725565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127.21372728453339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127.21372728453339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8.1590000000000025</v>
      </c>
      <c r="BD140" s="13">
        <f>IF('Données projet'!$A$88&gt;35,BD139+BC140-BL139,IF(A140&lt;'Données projet'!$A$88,$BA$205^A140,IF(A140='Données projet'!$A$88,'Données projet'!$B$88,BD139+BC140-BL139)))</f>
        <v>406.11700000000064</v>
      </c>
      <c r="BE140" s="14">
        <f>BD140*VLOOKUP('Données projet'!$B$11,Paramètres!$A$1:$I$89,3,0)*VLOOKUP('Données projet'!$B$11,Paramètres!$A$1:$I$89,5,0)</f>
        <v>437.14433880000064</v>
      </c>
      <c r="BF140" s="14">
        <f t="shared" si="145"/>
        <v>99.267752634727543</v>
      </c>
      <c r="BG140" s="22">
        <f t="shared" si="115"/>
        <v>934.25105924881802</v>
      </c>
      <c r="BH140" s="62">
        <f t="shared" si="116"/>
        <v>1227.5843925821514</v>
      </c>
      <c r="BI140" s="62">
        <f ca="1">AVERAGE(OFFSET($BH$3,0,0,'Données projet'!$E$11+1,1))-AVERAGE(OFFSET($H$3,0,0,'Données projet'!$E$11+1,1))</f>
        <v>683.36974161977764</v>
      </c>
      <c r="BJ140" s="62">
        <f t="shared" si="146"/>
        <v>312.6921234697457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70.122206570358699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70.122206570358699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8.1590000000000025</v>
      </c>
      <c r="BY140" s="13">
        <f>IF('Données projet'!$A$114&gt;35,BY139+BX140-CG139,IF(A140&lt;'Données projet'!$A$114,$BV$205^A140,IF(A140='Données projet'!$A$114,'Données projet'!$B$114,BY139+BX140-CG139)))</f>
        <v>406.11700000000064</v>
      </c>
      <c r="BZ140" s="14">
        <f>BY140*VLOOKUP('Données projet'!$B$12,Paramètres!$A$1:$I$89,3,0)*VLOOKUP('Données projet'!$B$12,Paramètres!$A$1:$I$89,5,0)</f>
        <v>392.79636240000065</v>
      </c>
      <c r="CA140" s="14">
        <f t="shared" si="147"/>
        <v>90.314697175011091</v>
      </c>
      <c r="CB140" s="22">
        <f t="shared" si="118"/>
        <v>841.41842875981195</v>
      </c>
      <c r="CC140" s="62">
        <f t="shared" si="119"/>
        <v>1134.7517620931453</v>
      </c>
      <c r="CD140" s="62">
        <f ca="1">AVERAGE(OFFSET($CC$3,0,0,'Données projet'!$E$12+1,1))-AVERAGE(OFFSET($H$3,0,0,'Données projet'!$E$12+1,1))</f>
        <v>618.83149423524605</v>
      </c>
      <c r="CE140" s="62">
        <f t="shared" si="148"/>
        <v>285.33582535802435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63.008359526988976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63.008359526988976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354.24684313982857</v>
      </c>
      <c r="CZ140" s="62">
        <f t="shared" si="150"/>
        <v>322.65043486962185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53.965750218370573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53.965750218370573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8.1590000000000025</v>
      </c>
      <c r="N141" s="14">
        <f>IF('Données projet'!$A$36&gt;35,N140+M141-V140,IF(A141&lt;'Données projet'!$A$36,$K$205^A141,IF(A141='Données projet'!$A$36,'Données projet'!$B$36,N140+M141-V140)))</f>
        <v>414.27600000000064</v>
      </c>
      <c r="O141" s="14">
        <f>N141*VLOOKUP('Données projet'!$B$9,Paramètres!$A$1:$I$89,3,0)*VLOOKUP('Données projet'!$B$9,Paramètres!$A$1:$I$89,5,0)</f>
        <v>374.83692480000053</v>
      </c>
      <c r="P141" s="14">
        <f t="shared" si="141"/>
        <v>86.656108013910185</v>
      </c>
      <c r="Q141" s="22">
        <f t="shared" si="108"/>
        <v>803.76703215089447</v>
      </c>
      <c r="R141" s="62">
        <f t="shared" si="109"/>
        <v>1097.1003654842277</v>
      </c>
      <c r="S141" s="62">
        <f ca="1">AVERAGE(OFFSET($R$3,0,0,'Données projet'!$E$9+1,1))-AVERAGE(OFFSET($H$3,0,0,'Données projet'!$E$9+1,1))</f>
        <v>581.88778927327667</v>
      </c>
      <c r="T141" s="62">
        <f t="shared" si="142"/>
        <v>269.67340993773422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57.787461832616422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57.787461832616422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2.8421709430404007E-13</v>
      </c>
      <c r="AJ141" s="14">
        <f>AI141*VLOOKUP('Données projet'!$B$10,Paramètres!$A$1:$I$89,3,0)*VLOOKUP('Données projet'!$B$10,Paramètres!$A$1:$I$89,5,0)</f>
        <v>2.7046098693972454E-13</v>
      </c>
      <c r="AK141" s="14">
        <f t="shared" si="143"/>
        <v>3.6187594451142911E-12</v>
      </c>
      <c r="AL141" s="22">
        <f t="shared" si="112"/>
        <v>6.7737255858274096E-12</v>
      </c>
      <c r="AM141" s="62">
        <f t="shared" si="113"/>
        <v>293.33333333334008</v>
      </c>
      <c r="AN141" s="62">
        <f ca="1">AVERAGE(OFFSET($AM$3,0,0,'Données projet'!$E$10+1,1))-AVERAGE(OFFSET($H$3,0,0,'Données projet'!$E$10+1,1))</f>
        <v>444.81608506581125</v>
      </c>
      <c r="AO141" s="62">
        <f t="shared" si="144"/>
        <v>306.75289431725565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124.71914368519569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124.71914368519569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8.1590000000000025</v>
      </c>
      <c r="BD141" s="13">
        <f>IF('Données projet'!$A$88&gt;35,BD140+BC141-BL140,IF(A141&lt;'Données projet'!$A$88,$BA$205^A141,IF(A141='Données projet'!$A$88,'Données projet'!$B$88,BD140+BC141-BL140)))</f>
        <v>414.27600000000064</v>
      </c>
      <c r="BE141" s="14">
        <f>BD141*VLOOKUP('Données projet'!$B$11,Paramètres!$A$1:$I$89,3,0)*VLOOKUP('Données projet'!$B$11,Paramètres!$A$1:$I$89,5,0)</f>
        <v>445.92668640000062</v>
      </c>
      <c r="BF141" s="14">
        <f t="shared" si="145"/>
        <v>101.02788498135783</v>
      </c>
      <c r="BG141" s="22">
        <f t="shared" si="115"/>
        <v>952.61254515586586</v>
      </c>
      <c r="BH141" s="62">
        <f t="shared" si="116"/>
        <v>1245.9458784891992</v>
      </c>
      <c r="BI141" s="62">
        <f ca="1">AVERAGE(OFFSET($BH$3,0,0,'Données projet'!$E$11+1,1))-AVERAGE(OFFSET($H$3,0,0,'Données projet'!$E$11+1,1))</f>
        <v>683.36974161977764</v>
      </c>
      <c r="BJ141" s="62">
        <f t="shared" si="146"/>
        <v>312.6921234697457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68.747152869836754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68.747152869836754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8.1590000000000025</v>
      </c>
      <c r="BY141" s="13">
        <f>IF('Données projet'!$A$114&gt;35,BY140+BX141-CG140,IF(A141&lt;'Données projet'!$A$114,$BV$205^A141,IF(A141='Données projet'!$A$114,'Données projet'!$B$114,BY140+BX141-CG140)))</f>
        <v>414.27600000000064</v>
      </c>
      <c r="BZ141" s="14">
        <f>BY141*VLOOKUP('Données projet'!$B$12,Paramètres!$A$1:$I$89,3,0)*VLOOKUP('Données projet'!$B$12,Paramètres!$A$1:$I$89,5,0)</f>
        <v>400.68774720000062</v>
      </c>
      <c r="CA141" s="14">
        <f t="shared" si="147"/>
        <v>91.916081468043174</v>
      </c>
      <c r="CB141" s="22">
        <f t="shared" si="118"/>
        <v>857.95166826350953</v>
      </c>
      <c r="CC141" s="62">
        <f t="shared" si="119"/>
        <v>1151.2850015968429</v>
      </c>
      <c r="CD141" s="62">
        <f ca="1">AVERAGE(OFFSET($CC$3,0,0,'Données projet'!$E$12+1,1))-AVERAGE(OFFSET($H$3,0,0,'Données projet'!$E$12+1,1))</f>
        <v>618.83149423524605</v>
      </c>
      <c r="CE141" s="62">
        <f t="shared" si="148"/>
        <v>285.33582535802435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61.772804027969258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61.772804027969258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354.24684313982857</v>
      </c>
      <c r="CZ141" s="62">
        <f t="shared" si="150"/>
        <v>322.65043486962185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52.907514772445786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52.907514772445786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8.1590000000000025</v>
      </c>
      <c r="N142" s="14">
        <f>IF('Données projet'!$A$36&gt;35,N141+M142-V141,IF(A142&lt;'Données projet'!$A$36,$K$205^A142,IF(A142='Données projet'!$A$36,'Données projet'!$B$36,N141+M142-V141)))</f>
        <v>422.43500000000063</v>
      </c>
      <c r="O142" s="14">
        <f>N142*VLOOKUP('Données projet'!$B$9,Paramètres!$A$1:$I$89,3,0)*VLOOKUP('Données projet'!$B$9,Paramètres!$A$1:$I$89,5,0)</f>
        <v>382.21918800000054</v>
      </c>
      <c r="P142" s="14">
        <f t="shared" si="141"/>
        <v>88.162394485655341</v>
      </c>
      <c r="Q142" s="22">
        <f t="shared" si="108"/>
        <v>819.24792282918395</v>
      </c>
      <c r="R142" s="62">
        <f t="shared" si="109"/>
        <v>1112.5812561625173</v>
      </c>
      <c r="S142" s="62">
        <f ca="1">AVERAGE(OFFSET($R$3,0,0,'Données projet'!$E$9+1,1))-AVERAGE(OFFSET($H$3,0,0,'Données projet'!$E$9+1,1))</f>
        <v>581.88778927327667</v>
      </c>
      <c r="T142" s="62">
        <f t="shared" si="142"/>
        <v>269.67340993773422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56.654284952950192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56.654284952950192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2.8421709430404007E-13</v>
      </c>
      <c r="AJ142" s="14">
        <f>AI142*VLOOKUP('Données projet'!$B$10,Paramètres!$A$1:$I$89,3,0)*VLOOKUP('Données projet'!$B$10,Paramètres!$A$1:$I$89,5,0)</f>
        <v>2.7046098693972454E-13</v>
      </c>
      <c r="AK142" s="14">
        <f t="shared" si="143"/>
        <v>3.6187594451142911E-12</v>
      </c>
      <c r="AL142" s="22">
        <f t="shared" si="112"/>
        <v>6.7737255858274096E-12</v>
      </c>
      <c r="AM142" s="62">
        <f t="shared" si="113"/>
        <v>293.33333333334008</v>
      </c>
      <c r="AN142" s="62">
        <f ca="1">AVERAGE(OFFSET($AM$3,0,0,'Données projet'!$E$10+1,1))-AVERAGE(OFFSET($H$3,0,0,'Données projet'!$E$10+1,1))</f>
        <v>444.81608506581125</v>
      </c>
      <c r="AO142" s="62">
        <f t="shared" si="144"/>
        <v>306.75289431725565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122.27347734869525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122.27347734869525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8.1590000000000025</v>
      </c>
      <c r="BD142" s="13">
        <f>IF('Données projet'!$A$88&gt;35,BD141+BC142-BL141,IF(A142&lt;'Données projet'!$A$88,$BA$205^A142,IF(A142='Données projet'!$A$88,'Données projet'!$B$88,BD141+BC142-BL141)))</f>
        <v>422.43500000000063</v>
      </c>
      <c r="BE142" s="14">
        <f>BD142*VLOOKUP('Données projet'!$B$11,Paramètres!$A$1:$I$89,3,0)*VLOOKUP('Données projet'!$B$11,Paramètres!$A$1:$I$89,5,0)</f>
        <v>454.70903400000071</v>
      </c>
      <c r="BF142" s="14">
        <f t="shared" si="145"/>
        <v>102.78398665617591</v>
      </c>
      <c r="BG142" s="22">
        <f t="shared" si="115"/>
        <v>970.96701097617427</v>
      </c>
      <c r="BH142" s="62">
        <f t="shared" si="116"/>
        <v>1264.3003443095076</v>
      </c>
      <c r="BI142" s="62">
        <f ca="1">AVERAGE(OFFSET($BH$3,0,0,'Données projet'!$E$11+1,1))-AVERAGE(OFFSET($H$3,0,0,'Données projet'!$E$11+1,1))</f>
        <v>683.36974161977764</v>
      </c>
      <c r="BJ142" s="62">
        <f t="shared" si="146"/>
        <v>312.6921234697457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67.399063133682105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67.399063133682105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8.1590000000000025</v>
      </c>
      <c r="BY142" s="13">
        <f>IF('Données projet'!$A$114&gt;35,BY141+BX142-CG141,IF(A142&lt;'Données projet'!$A$114,$BV$205^A142,IF(A142='Données projet'!$A$114,'Données projet'!$B$114,BY141+BX142-CG141)))</f>
        <v>422.43500000000063</v>
      </c>
      <c r="BZ142" s="14">
        <f>BY142*VLOOKUP('Données projet'!$B$12,Paramètres!$A$1:$I$89,3,0)*VLOOKUP('Données projet'!$B$12,Paramètres!$A$1:$I$89,5,0)</f>
        <v>408.57913200000064</v>
      </c>
      <c r="CA142" s="14">
        <f t="shared" si="147"/>
        <v>93.513798619486451</v>
      </c>
      <c r="CB142" s="22">
        <f t="shared" si="118"/>
        <v>874.47852082893996</v>
      </c>
      <c r="CC142" s="62">
        <f t="shared" si="119"/>
        <v>1167.8118541622732</v>
      </c>
      <c r="CD142" s="62">
        <f ca="1">AVERAGE(OFFSET($CC$3,0,0,'Données projet'!$E$12+1,1))-AVERAGE(OFFSET($H$3,0,0,'Données projet'!$E$12+1,1))</f>
        <v>618.83149423524605</v>
      </c>
      <c r="CE142" s="62">
        <f t="shared" si="148"/>
        <v>285.33582535802435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60.561477018670878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60.561477018670878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354.24684313982857</v>
      </c>
      <c r="CZ142" s="62">
        <f t="shared" si="150"/>
        <v>322.65043486962185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51.8700306781557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51.8700306781557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8.1590000000000025</v>
      </c>
      <c r="N143" s="14">
        <f>IF('Données projet'!$A$36&gt;35,N142+M143-V142,IF(A143&lt;'Données projet'!$A$36,$K$205^A143,IF(A143='Données projet'!$A$36,'Données projet'!$B$36,N142+M143-V142)))</f>
        <v>430.59400000000062</v>
      </c>
      <c r="O143" s="14">
        <f>N143*VLOOKUP('Données projet'!$B$9,Paramètres!$A$1:$I$89,3,0)*VLOOKUP('Données projet'!$B$9,Paramètres!$A$1:$I$89,5,0)</f>
        <v>389.60145120000055</v>
      </c>
      <c r="P143" s="14">
        <f t="shared" si="141"/>
        <v>89.665298143968485</v>
      </c>
      <c r="Q143" s="22">
        <f t="shared" si="108"/>
        <v>834.72292177407928</v>
      </c>
      <c r="R143" s="62">
        <f t="shared" si="109"/>
        <v>1128.0562551074127</v>
      </c>
      <c r="S143" s="62">
        <f ca="1">AVERAGE(OFFSET($R$3,0,0,'Données projet'!$E$9+1,1))-AVERAGE(OFFSET($H$3,0,0,'Données projet'!$E$9+1,1))</f>
        <v>581.88778927327667</v>
      </c>
      <c r="T143" s="62">
        <f t="shared" si="142"/>
        <v>269.67340993773422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55.543328980724567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55.543328980724567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2.8421709430404007E-13</v>
      </c>
      <c r="AJ143" s="14">
        <f>AI143*VLOOKUP('Données projet'!$B$10,Paramètres!$A$1:$I$89,3,0)*VLOOKUP('Données projet'!$B$10,Paramètres!$A$1:$I$89,5,0)</f>
        <v>2.7046098693972454E-13</v>
      </c>
      <c r="AK143" s="14">
        <f t="shared" si="143"/>
        <v>3.6187594451142911E-12</v>
      </c>
      <c r="AL143" s="22">
        <f t="shared" si="112"/>
        <v>6.7737255858274096E-12</v>
      </c>
      <c r="AM143" s="62">
        <f t="shared" si="113"/>
        <v>293.33333333334008</v>
      </c>
      <c r="AN143" s="62">
        <f ca="1">AVERAGE(OFFSET($AM$3,0,0,'Données projet'!$E$10+1,1))-AVERAGE(OFFSET($H$3,0,0,'Données projet'!$E$10+1,1))</f>
        <v>444.81608506581125</v>
      </c>
      <c r="AO143" s="62">
        <f t="shared" si="144"/>
        <v>306.75289431725565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119.87576903734441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119.87576903734441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8.1590000000000025</v>
      </c>
      <c r="BD143" s="13">
        <f>IF('Données projet'!$A$88&gt;35,BD142+BC143-BL142,IF(A143&lt;'Données projet'!$A$88,$BA$205^A143,IF(A143='Données projet'!$A$88,'Données projet'!$B$88,BD142+BC143-BL142)))</f>
        <v>430.59400000000062</v>
      </c>
      <c r="BE143" s="14">
        <f>BD143*VLOOKUP('Données projet'!$B$11,Paramètres!$A$1:$I$89,3,0)*VLOOKUP('Données projet'!$B$11,Paramètres!$A$1:$I$89,5,0)</f>
        <v>463.49138160000069</v>
      </c>
      <c r="BF143" s="14">
        <f t="shared" si="145"/>
        <v>104.53614448336266</v>
      </c>
      <c r="BG143" s="22">
        <f t="shared" si="115"/>
        <v>989.31460792852465</v>
      </c>
      <c r="BH143" s="62">
        <f t="shared" si="116"/>
        <v>1282.647941261858</v>
      </c>
      <c r="BI143" s="62">
        <f ca="1">AVERAGE(OFFSET($BH$3,0,0,'Données projet'!$E$11+1,1))-AVERAGE(OFFSET($H$3,0,0,'Données projet'!$E$11+1,1))</f>
        <v>683.36974161977764</v>
      </c>
      <c r="BJ143" s="62">
        <f t="shared" si="146"/>
        <v>312.6921234697457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66.077408614999896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66.077408614999896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8.1590000000000025</v>
      </c>
      <c r="BY143" s="13">
        <f>IF('Données projet'!$A$114&gt;35,BY142+BX143-CG142,IF(A143&lt;'Données projet'!$A$114,$BV$205^A143,IF(A143='Données projet'!$A$114,'Données projet'!$B$114,BY142+BX143-CG142)))</f>
        <v>430.59400000000062</v>
      </c>
      <c r="BZ143" s="14">
        <f>BY143*VLOOKUP('Données projet'!$B$12,Paramètres!$A$1:$I$89,3,0)*VLOOKUP('Données projet'!$B$12,Paramètres!$A$1:$I$89,5,0)</f>
        <v>416.47051680000061</v>
      </c>
      <c r="CA143" s="14">
        <f t="shared" si="147"/>
        <v>95.107927622763967</v>
      </c>
      <c r="CB143" s="22">
        <f t="shared" si="118"/>
        <v>890.99912403631481</v>
      </c>
      <c r="CC143" s="62">
        <f t="shared" si="119"/>
        <v>1184.3324573696482</v>
      </c>
      <c r="CD143" s="62">
        <f ca="1">AVERAGE(OFFSET($CC$3,0,0,'Données projet'!$E$12+1,1))-AVERAGE(OFFSET($H$3,0,0,'Données projet'!$E$12+1,1))</f>
        <v>618.83149423524605</v>
      </c>
      <c r="CE143" s="62">
        <f t="shared" si="148"/>
        <v>285.33582535802435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59.373903393188314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59.373903393188314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354.24684313982857</v>
      </c>
      <c r="CZ143" s="62">
        <f t="shared" si="150"/>
        <v>322.65043486962185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50.85289101415183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50.85289101415183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8.1590000000000025</v>
      </c>
      <c r="N144" s="14">
        <f>IF('Données projet'!$A$36&gt;35,N143+M144-V143,IF(A144&lt;'Données projet'!$A$36,$K$205^A144,IF(A144='Données projet'!$A$36,'Données projet'!$B$36,N143+M144-V143)))</f>
        <v>438.75300000000061</v>
      </c>
      <c r="O144" s="14">
        <f>N144*VLOOKUP('Données projet'!$B$9,Paramètres!$A$1:$I$89,3,0)*VLOOKUP('Données projet'!$B$9,Paramètres!$A$1:$I$89,5,0)</f>
        <v>396.98371440000057</v>
      </c>
      <c r="P144" s="14">
        <f t="shared" si="141"/>
        <v>91.164890478045521</v>
      </c>
      <c r="Q144" s="22">
        <f t="shared" si="108"/>
        <v>850.19215349593026</v>
      </c>
      <c r="R144" s="62">
        <f t="shared" si="109"/>
        <v>1143.5254868292636</v>
      </c>
      <c r="S144" s="62">
        <f ca="1">AVERAGE(OFFSET($R$3,0,0,'Données projet'!$E$9+1,1))-AVERAGE(OFFSET($H$3,0,0,'Données projet'!$E$9+1,1))</f>
        <v>581.88778927327667</v>
      </c>
      <c r="T144" s="62">
        <f t="shared" si="142"/>
        <v>269.67340993773422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54.454158177498051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54.454158177498051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2.8421709430404007E-13</v>
      </c>
      <c r="AJ144" s="14">
        <f>AI144*VLOOKUP('Données projet'!$B$10,Paramètres!$A$1:$I$89,3,0)*VLOOKUP('Données projet'!$B$10,Paramètres!$A$1:$I$89,5,0)</f>
        <v>2.7046098693972454E-13</v>
      </c>
      <c r="AK144" s="14">
        <f t="shared" si="143"/>
        <v>3.6187594451142911E-12</v>
      </c>
      <c r="AL144" s="22">
        <f t="shared" si="112"/>
        <v>6.7737255858274096E-12</v>
      </c>
      <c r="AM144" s="62">
        <f t="shared" si="113"/>
        <v>293.33333333334008</v>
      </c>
      <c r="AN144" s="62">
        <f ca="1">AVERAGE(OFFSET($AM$3,0,0,'Données projet'!$E$10+1,1))-AVERAGE(OFFSET($H$3,0,0,'Données projet'!$E$10+1,1))</f>
        <v>444.81608506581125</v>
      </c>
      <c r="AO144" s="62">
        <f t="shared" si="144"/>
        <v>306.75289431725565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117.5250783235215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117.5250783235215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8.1590000000000025</v>
      </c>
      <c r="BD144" s="13">
        <f>IF('Données projet'!$A$88&gt;35,BD143+BC144-BL143,IF(A144&lt;'Données projet'!$A$88,$BA$205^A144,IF(A144='Données projet'!$A$88,'Données projet'!$B$88,BD143+BC144-BL143)))</f>
        <v>438.75300000000061</v>
      </c>
      <c r="BE144" s="14">
        <f>BD144*VLOOKUP('Données projet'!$B$11,Paramètres!$A$1:$I$89,3,0)*VLOOKUP('Données projet'!$B$11,Paramètres!$A$1:$I$89,5,0)</f>
        <v>472.27372920000067</v>
      </c>
      <c r="BF144" s="14">
        <f t="shared" si="145"/>
        <v>106.28444180848312</v>
      </c>
      <c r="BG144" s="22">
        <f t="shared" si="115"/>
        <v>1007.655481173109</v>
      </c>
      <c r="BH144" s="62">
        <f t="shared" si="116"/>
        <v>1300.9888145064424</v>
      </c>
      <c r="BI144" s="62">
        <f ca="1">AVERAGE(OFFSET($BH$3,0,0,'Données projet'!$E$11+1,1))-AVERAGE(OFFSET($H$3,0,0,'Données projet'!$E$11+1,1))</f>
        <v>683.36974161977764</v>
      </c>
      <c r="BJ144" s="62">
        <f t="shared" si="146"/>
        <v>312.6921234697457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64.781670935299388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64.781670935299388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8.1590000000000025</v>
      </c>
      <c r="BY144" s="13">
        <f>IF('Données projet'!$A$114&gt;35,BY143+BX144-CG143,IF(A144&lt;'Données projet'!$A$114,$BV$205^A144,IF(A144='Données projet'!$A$114,'Données projet'!$B$114,BY143+BX144-CG143)))</f>
        <v>438.75300000000061</v>
      </c>
      <c r="BZ144" s="14">
        <f>BY144*VLOOKUP('Données projet'!$B$12,Paramètres!$A$1:$I$89,3,0)*VLOOKUP('Données projet'!$B$12,Paramètres!$A$1:$I$89,5,0)</f>
        <v>424.36190160000064</v>
      </c>
      <c r="CA144" s="14">
        <f t="shared" si="147"/>
        <v>96.698544306422932</v>
      </c>
      <c r="CB144" s="22">
        <f t="shared" si="118"/>
        <v>907.51360995368759</v>
      </c>
      <c r="CC144" s="62">
        <f t="shared" si="119"/>
        <v>1200.8469432870208</v>
      </c>
      <c r="CD144" s="62">
        <f ca="1">AVERAGE(OFFSET($CC$3,0,0,'Données projet'!$E$12+1,1))-AVERAGE(OFFSET($H$3,0,0,'Données projet'!$E$12+1,1))</f>
        <v>618.83149423524605</v>
      </c>
      <c r="CE144" s="62">
        <f t="shared" si="148"/>
        <v>285.33582535802435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58.209617362153075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58.209617362153075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354.24684313982857</v>
      </c>
      <c r="CZ144" s="62">
        <f t="shared" si="150"/>
        <v>322.65043486962185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49.855696838565137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49.855696838565137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8.1590000000000025</v>
      </c>
      <c r="N145" s="14">
        <f>IF('Données projet'!$A$36&gt;35,N144+M145-V144,IF(A145&lt;'Données projet'!$A$36,$K$205^A145,IF(A145='Données projet'!$A$36,'Données projet'!$B$36,N144+M145-V144)))</f>
        <v>446.9120000000006</v>
      </c>
      <c r="O145" s="14">
        <f>N145*VLOOKUP('Données projet'!$B$9,Paramètres!$A$1:$I$89,3,0)*VLOOKUP('Données projet'!$B$9,Paramètres!$A$1:$I$89,5,0)</f>
        <v>404.36597760000052</v>
      </c>
      <c r="P145" s="14">
        <f t="shared" si="141"/>
        <v>92.66124016608812</v>
      </c>
      <c r="Q145" s="22">
        <f t="shared" si="108"/>
        <v>865.655737609271</v>
      </c>
      <c r="R145" s="62">
        <f t="shared" si="109"/>
        <v>1158.9890709426043</v>
      </c>
      <c r="S145" s="62">
        <f ca="1">AVERAGE(OFFSET($R$3,0,0,'Données projet'!$E$9+1,1))-AVERAGE(OFFSET($H$3,0,0,'Données projet'!$E$9+1,1))</f>
        <v>581.88778927327667</v>
      </c>
      <c r="T145" s="62">
        <f t="shared" si="142"/>
        <v>269.67340993773422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53.386345349394219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53.386345349394219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2.8421709430404007E-13</v>
      </c>
      <c r="AJ145" s="14">
        <f>AI145*VLOOKUP('Données projet'!$B$10,Paramètres!$A$1:$I$89,3,0)*VLOOKUP('Données projet'!$B$10,Paramètres!$A$1:$I$89,5,0)</f>
        <v>2.7046098693972454E-13</v>
      </c>
      <c r="AK145" s="14">
        <f t="shared" si="143"/>
        <v>3.6187594451142911E-12</v>
      </c>
      <c r="AL145" s="22">
        <f t="shared" si="112"/>
        <v>6.7737255858274096E-12</v>
      </c>
      <c r="AM145" s="62">
        <f t="shared" si="113"/>
        <v>293.33333333334008</v>
      </c>
      <c r="AN145" s="62">
        <f ca="1">AVERAGE(OFFSET($AM$3,0,0,'Données projet'!$E$10+1,1))-AVERAGE(OFFSET($H$3,0,0,'Données projet'!$E$10+1,1))</f>
        <v>444.81608506581125</v>
      </c>
      <c r="AO145" s="62">
        <f t="shared" si="144"/>
        <v>306.75289431725565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115.22048322081689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115.22048322081689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8.1590000000000025</v>
      </c>
      <c r="BD145" s="13">
        <f>IF('Données projet'!$A$88&gt;35,BD144+BC145-BL144,IF(A145&lt;'Données projet'!$A$88,$BA$205^A145,IF(A145='Données projet'!$A$88,'Données projet'!$B$88,BD144+BC145-BL144)))</f>
        <v>446.9120000000006</v>
      </c>
      <c r="BE145" s="14">
        <f>BD145*VLOOKUP('Données projet'!$B$11,Paramètres!$A$1:$I$89,3,0)*VLOOKUP('Données projet'!$B$11,Paramètres!$A$1:$I$89,5,0)</f>
        <v>481.05607680000065</v>
      </c>
      <c r="BF145" s="14">
        <f t="shared" si="145"/>
        <v>108.02895869990863</v>
      </c>
      <c r="BG145" s="22">
        <f t="shared" si="115"/>
        <v>1025.989770162342</v>
      </c>
      <c r="BH145" s="62">
        <f t="shared" si="116"/>
        <v>1319.3231034956752</v>
      </c>
      <c r="BI145" s="62">
        <f ca="1">AVERAGE(OFFSET($BH$3,0,0,'Données projet'!$E$11+1,1))-AVERAGE(OFFSET($H$3,0,0,'Données projet'!$E$11+1,1))</f>
        <v>683.36974161977764</v>
      </c>
      <c r="BJ145" s="62">
        <f t="shared" si="146"/>
        <v>312.6921234697457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63.511341881175859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63.511341881175859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8.1590000000000025</v>
      </c>
      <c r="BY145" s="13">
        <f>IF('Données projet'!$A$114&gt;35,BY144+BX145-CG144,IF(A145&lt;'Données projet'!$A$114,$BV$205^A145,IF(A145='Données projet'!$A$114,'Données projet'!$B$114,BY144+BX145-CG144)))</f>
        <v>446.9120000000006</v>
      </c>
      <c r="BZ145" s="14">
        <f>BY145*VLOOKUP('Données projet'!$B$12,Paramètres!$A$1:$I$89,3,0)*VLOOKUP('Données projet'!$B$12,Paramètres!$A$1:$I$89,5,0)</f>
        <v>432.25328640000055</v>
      </c>
      <c r="CA145" s="14">
        <f t="shared" si="147"/>
        <v>98.2857215173903</v>
      </c>
      <c r="CB145" s="22">
        <f t="shared" si="118"/>
        <v>924.02210545612218</v>
      </c>
      <c r="CC145" s="62">
        <f t="shared" si="119"/>
        <v>1217.3554387894555</v>
      </c>
      <c r="CD145" s="62">
        <f ca="1">AVERAGE(OFFSET($CC$3,0,0,'Données projet'!$E$12+1,1))-AVERAGE(OFFSET($H$3,0,0,'Données projet'!$E$12+1,1))</f>
        <v>618.83149423524605</v>
      </c>
      <c r="CE145" s="62">
        <f t="shared" si="148"/>
        <v>285.33582535802435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57.06816227004208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57.06816227004208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354.24684313982857</v>
      </c>
      <c r="CZ145" s="62">
        <f t="shared" si="150"/>
        <v>322.65043486962185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48.878057032533313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48.878057032533313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8.1590000000000025</v>
      </c>
      <c r="N146" s="14">
        <f>IF('Données projet'!$A$36&gt;35,N145+M146-V145,IF(A146&lt;'Données projet'!$A$36,$K$205^A146,IF(A146='Données projet'!$A$36,'Données projet'!$B$36,N145+M146-V145)))</f>
        <v>455.07100000000059</v>
      </c>
      <c r="O146" s="14">
        <f>N146*VLOOKUP('Données projet'!$B$9,Paramètres!$A$1:$I$89,3,0)*VLOOKUP('Données projet'!$B$9,Paramètres!$A$1:$I$89,5,0)</f>
        <v>411.74824080000053</v>
      </c>
      <c r="P146" s="14">
        <f t="shared" si="141"/>
        <v>94.15441323509782</v>
      </c>
      <c r="Q146" s="22">
        <f t="shared" si="108"/>
        <v>881.11378911112968</v>
      </c>
      <c r="R146" s="62">
        <f t="shared" si="109"/>
        <v>1174.447122444463</v>
      </c>
      <c r="S146" s="62">
        <f ca="1">AVERAGE(OFFSET($R$3,0,0,'Données projet'!$E$9+1,1))-AVERAGE(OFFSET($H$3,0,0,'Données projet'!$E$9+1,1))</f>
        <v>581.88778927327667</v>
      </c>
      <c r="T146" s="62">
        <f t="shared" si="142"/>
        <v>269.67340993773422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52.339471679547984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52.339471679547984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2.8421709430404007E-13</v>
      </c>
      <c r="AJ146" s="14">
        <f>AI146*VLOOKUP('Données projet'!$B$10,Paramètres!$A$1:$I$89,3,0)*VLOOKUP('Données projet'!$B$10,Paramètres!$A$1:$I$89,5,0)</f>
        <v>2.7046098693972454E-13</v>
      </c>
      <c r="AK146" s="14">
        <f t="shared" si="143"/>
        <v>3.6187594451142911E-12</v>
      </c>
      <c r="AL146" s="22">
        <f t="shared" si="112"/>
        <v>6.7737255858274096E-12</v>
      </c>
      <c r="AM146" s="62">
        <f t="shared" si="113"/>
        <v>293.33333333334008</v>
      </c>
      <c r="AN146" s="62">
        <f ca="1">AVERAGE(OFFSET($AM$3,0,0,'Données projet'!$E$10+1,1))-AVERAGE(OFFSET($H$3,0,0,'Données projet'!$E$10+1,1))</f>
        <v>444.81608506581125</v>
      </c>
      <c r="AO146" s="62">
        <f t="shared" si="144"/>
        <v>306.75289431725565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112.9610798224121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112.9610798224121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8.1590000000000025</v>
      </c>
      <c r="BD146" s="13">
        <f>IF('Données projet'!$A$88&gt;35,BD145+BC146-BL145,IF(A146&lt;'Données projet'!$A$88,$BA$205^A146,IF(A146='Données projet'!$A$88,'Données projet'!$B$88,BD145+BC146-BL145)))</f>
        <v>455.07100000000059</v>
      </c>
      <c r="BE146" s="14">
        <f>BD146*VLOOKUP('Données projet'!$B$11,Paramètres!$A$1:$I$89,3,0)*VLOOKUP('Données projet'!$B$11,Paramètres!$A$1:$I$89,5,0)</f>
        <v>489.83842440000063</v>
      </c>
      <c r="BF146" s="14">
        <f t="shared" si="145"/>
        <v>109.76977213511341</v>
      </c>
      <c r="BG146" s="22">
        <f t="shared" si="115"/>
        <v>1044.3176089653236</v>
      </c>
      <c r="BH146" s="62">
        <f t="shared" si="116"/>
        <v>1337.6509422986569</v>
      </c>
      <c r="BI146" s="62">
        <f ca="1">AVERAGE(OFFSET($BH$3,0,0,'Données projet'!$E$11+1,1))-AVERAGE(OFFSET($H$3,0,0,'Données projet'!$E$11+1,1))</f>
        <v>683.36974161977764</v>
      </c>
      <c r="BJ146" s="62">
        <f t="shared" si="146"/>
        <v>312.6921234697457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62.26592320497948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62.26592320497948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8.1590000000000025</v>
      </c>
      <c r="BY146" s="13">
        <f>IF('Données projet'!$A$114&gt;35,BY145+BX146-CG145,IF(A146&lt;'Données projet'!$A$114,$BV$205^A146,IF(A146='Données projet'!$A$114,'Données projet'!$B$114,BY145+BX146-CG145)))</f>
        <v>455.07100000000059</v>
      </c>
      <c r="BZ146" s="14">
        <f>BY146*VLOOKUP('Données projet'!$B$12,Paramètres!$A$1:$I$89,3,0)*VLOOKUP('Données projet'!$B$12,Paramètres!$A$1:$I$89,5,0)</f>
        <v>440.14467120000057</v>
      </c>
      <c r="CA146" s="14">
        <f t="shared" si="147"/>
        <v>99.869529290466829</v>
      </c>
      <c r="CB146" s="22">
        <f t="shared" si="118"/>
        <v>940.52473252089715</v>
      </c>
      <c r="CC146" s="62">
        <f t="shared" si="119"/>
        <v>1233.8580658542305</v>
      </c>
      <c r="CD146" s="62">
        <f ca="1">AVERAGE(OFFSET($CC$3,0,0,'Données projet'!$E$12+1,1))-AVERAGE(OFFSET($H$3,0,0,'Données projet'!$E$12+1,1))</f>
        <v>618.83149423524605</v>
      </c>
      <c r="CE146" s="62">
        <f t="shared" si="148"/>
        <v>285.33582535802435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55.949090416068522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55.949090416068522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354.24684313982857</v>
      </c>
      <c r="CZ146" s="62">
        <f t="shared" si="150"/>
        <v>322.65043486962185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47.919588146796364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47.919588146796364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>
        <f>VLOOKUP(A147,'Données projet'!$A$35:$I$55,2,0)</f>
        <v>463.23</v>
      </c>
      <c r="L147" s="13">
        <f>VLOOKUP(A147,'Données projet'!$A$35:$I$55,9,0)</f>
        <v>8.1590000000000025</v>
      </c>
      <c r="M147" s="13">
        <f t="array" ref="M147">INDEX(L:L,MIN(IF(ISNUMBER(L147:L343),ROW(L147:L343),"")))</f>
        <v>8.1590000000000025</v>
      </c>
      <c r="N147" s="14">
        <f>IF('Données projet'!$A$36&gt;35,N146+M147-V146,IF(A147&lt;'Données projet'!$A$36,$K$205^A147,IF(A147='Données projet'!$A$36,'Données projet'!$B$36,N146+M147-V146)))</f>
        <v>463.23000000000059</v>
      </c>
      <c r="O147" s="14">
        <f>N147*VLOOKUP('Données projet'!$B$9,Paramètres!$A$1:$I$89,3,0)*VLOOKUP('Données projet'!$B$9,Paramètres!$A$1:$I$89,5,0)</f>
        <v>419.13050400000049</v>
      </c>
      <c r="P147" s="14">
        <f t="shared" si="141"/>
        <v>95.644473208887277</v>
      </c>
      <c r="Q147" s="22">
        <f t="shared" si="108"/>
        <v>896.56641863881293</v>
      </c>
      <c r="R147" s="62">
        <f t="shared" si="109"/>
        <v>1189.8997519721463</v>
      </c>
      <c r="S147" s="62">
        <f ca="1">AVERAGE(OFFSET($R$3,0,0,'Données projet'!$E$9+1,1))-AVERAGE(OFFSET($H$3,0,0,'Données projet'!$E$9+1,1))</f>
        <v>581.88778927327667</v>
      </c>
      <c r="T147" s="62">
        <f t="shared" si="142"/>
        <v>269.67340993773422</v>
      </c>
      <c r="U147" s="16">
        <f>IF(ISNA(VLOOKUP(A147,'Données projet'!$A$35:$I$55,3,0)),0,VLOOKUP(A147,'Données projet'!$A$35:$I$55,3,0))</f>
        <v>12</v>
      </c>
      <c r="V147" s="16">
        <f>IF(ISNA(VLOOKUP(A147,'Données projet'!$A$35:$I$55,4,0)),0,VLOOKUP(A147,'Données projet'!$A$35:$I$55,4,0))</f>
        <v>56.01</v>
      </c>
      <c r="W147" s="17">
        <f>IF(ISNA(VLOOKUP(A147,'Données projet'!$A$35:$I$55,5,0)),0%,VLOOKUP(A147,'Données projet'!$A$35:$I$55,5,0)*VLOOKUP('Données projet'!$B$9,Paramètres!$A$1:$I$89,7,0))</f>
        <v>0.30099999999999999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68.176007382441966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68.176007382441966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2.8421709430404007E-13</v>
      </c>
      <c r="AJ147" s="14">
        <f>AI147*VLOOKUP('Données projet'!$B$10,Paramètres!$A$1:$I$89,3,0)*VLOOKUP('Données projet'!$B$10,Paramètres!$A$1:$I$89,5,0)</f>
        <v>2.7046098693972454E-13</v>
      </c>
      <c r="AK147" s="14">
        <f t="shared" si="143"/>
        <v>3.6187594451142911E-12</v>
      </c>
      <c r="AL147" s="22">
        <f t="shared" si="112"/>
        <v>6.7737255858274096E-12</v>
      </c>
      <c r="AM147" s="62">
        <f t="shared" si="113"/>
        <v>293.33333333334008</v>
      </c>
      <c r="AN147" s="62">
        <f ca="1">AVERAGE(OFFSET($AM$3,0,0,'Données projet'!$E$10+1,1))-AVERAGE(OFFSET($H$3,0,0,'Données projet'!$E$10+1,1))</f>
        <v>444.81608506581125</v>
      </c>
      <c r="AO147" s="62">
        <f t="shared" si="144"/>
        <v>306.75289431725565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110.74598194655003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110.74598194655003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>
        <f>VLOOKUP(A147,'Données projet'!$A$87:$I$107,2,0)</f>
        <v>463.23</v>
      </c>
      <c r="BB147" s="13">
        <f>VLOOKUP(A147,'Données projet'!$A$87:$I$107,9,0)</f>
        <v>8.1590000000000025</v>
      </c>
      <c r="BC147" s="13">
        <f t="array" ref="BC147">INDEX(BB:BB,MIN(IF(ISNUMBER(BB147:BB343),ROW(BB147:BB343),"")))</f>
        <v>8.1590000000000025</v>
      </c>
      <c r="BD147" s="13">
        <f>IF('Données projet'!$A$88&gt;35,BD146+BC147-BL146,IF(A147&lt;'Données projet'!$A$88,$BA$205^A147,IF(A147='Données projet'!$A$88,'Données projet'!$B$88,BD146+BC147-BL146)))</f>
        <v>463.23000000000059</v>
      </c>
      <c r="BE147" s="14">
        <f>BD147*VLOOKUP('Données projet'!$B$11,Paramètres!$A$1:$I$89,3,0)*VLOOKUP('Données projet'!$B$11,Paramètres!$A$1:$I$89,5,0)</f>
        <v>498.62077200000061</v>
      </c>
      <c r="BF147" s="14">
        <f t="shared" si="145"/>
        <v>111.50695617323285</v>
      </c>
      <c r="BG147" s="22">
        <f t="shared" si="115"/>
        <v>1062.6391265683815</v>
      </c>
      <c r="BH147" s="62">
        <f t="shared" si="116"/>
        <v>1355.9724599017147</v>
      </c>
      <c r="BI147" s="62">
        <f ca="1">AVERAGE(OFFSET($BH$3,0,0,'Données projet'!$E$11+1,1))-AVERAGE(OFFSET($H$3,0,0,'Données projet'!$E$11+1,1))</f>
        <v>683.36974161977764</v>
      </c>
      <c r="BJ147" s="62">
        <f t="shared" si="146"/>
        <v>312.6921234697457</v>
      </c>
      <c r="BK147" s="16">
        <f>IF(ISNA(VLOOKUP(A147,'Données projet'!$A$87:$I$107,3,0)),0,VLOOKUP(A147,'Données projet'!$A$87:$I$107,3,0))</f>
        <v>12</v>
      </c>
      <c r="BL147" s="16">
        <f>IF(ISNA(VLOOKUP(A147,'Données projet'!$A$87:$I$107,4,0)),0,VLOOKUP(A147,'Données projet'!$A$87:$I$107,4,0))</f>
        <v>56.01</v>
      </c>
      <c r="BM147" s="17">
        <f>IF(ISNA(VLOOKUP(A147,'Données projet'!$A$87:$I$107,5,0)),0%,VLOOKUP(A147,'Données projet'!$A$87:$I$107,5,0)*VLOOKUP('Données projet'!$B$11,Paramètres!$A$1:$I$89,7,0))</f>
        <v>0.30099999999999999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81.105939817043009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81.105939817043009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>
        <f>VLOOKUP(A147,'Données projet'!$A$113:$I$133,2,0)</f>
        <v>463.23</v>
      </c>
      <c r="BW147" s="13">
        <f>VLOOKUP(A147,'Données projet'!$A$113:$I$133,9,0)</f>
        <v>8.1590000000000025</v>
      </c>
      <c r="BX147" s="13">
        <f t="array" ref="BX147">INDEX(BW:BW,MIN(IF(ISNUMBER(BW147:BW343),ROW(BW147:BW343),"")))</f>
        <v>8.1590000000000025</v>
      </c>
      <c r="BY147" s="13">
        <f>IF('Données projet'!$A$114&gt;35,BY146+BX147-CG146,IF(A147&lt;'Données projet'!$A$114,$BV$205^A147,IF(A147='Données projet'!$A$114,'Données projet'!$B$114,BY146+BX147-CG146)))</f>
        <v>463.23000000000059</v>
      </c>
      <c r="BZ147" s="14">
        <f>BY147*VLOOKUP('Données projet'!$B$12,Paramètres!$A$1:$I$89,3,0)*VLOOKUP('Données projet'!$B$12,Paramètres!$A$1:$I$89,5,0)</f>
        <v>448.0360560000006</v>
      </c>
      <c r="CA147" s="14">
        <f t="shared" si="147"/>
        <v>101.45003500532212</v>
      </c>
      <c r="CB147" s="22">
        <f t="shared" si="118"/>
        <v>957.02160850093696</v>
      </c>
      <c r="CC147" s="62">
        <f t="shared" si="119"/>
        <v>1250.3549418342702</v>
      </c>
      <c r="CD147" s="62">
        <f ca="1">AVERAGE(OFFSET($CC$3,0,0,'Données projet'!$E$12+1,1))-AVERAGE(OFFSET($H$3,0,0,'Données projet'!$E$12+1,1))</f>
        <v>618.83149423524605</v>
      </c>
      <c r="CE147" s="62">
        <f t="shared" si="148"/>
        <v>285.33582535802435</v>
      </c>
      <c r="CF147" s="16">
        <f>IF(ISNA(VLOOKUP(A147,'Données projet'!$A$113:$I$133,3,0)),0,VLOOKUP(A147,'Données projet'!$A$113:$I$133,3,0))</f>
        <v>12</v>
      </c>
      <c r="CG147" s="16">
        <f>IF(ISNA(VLOOKUP(A147,'Données projet'!$A$113:$I$133,4,0)),0,VLOOKUP(A147,'Données projet'!$A$113:$I$133,4,0))</f>
        <v>56.01</v>
      </c>
      <c r="CH147" s="17">
        <f>IF(ISNA(VLOOKUP(A147,'Données projet'!$A$113:$I$133,5,0)),0%,VLOOKUP(A147,'Données projet'!$A$113:$I$133,5,0)*VLOOKUP('Données projet'!$B$12,Paramètres!$A$1:$I$89,7,0))</f>
        <v>0.30099999999999999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72.87780099502416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72.87780099502416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354.24684313982857</v>
      </c>
      <c r="CZ147" s="62">
        <f t="shared" si="150"/>
        <v>322.65043486962185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46.979914251300428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46.979914251300428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8.3249999999999993</v>
      </c>
      <c r="N148" s="14">
        <f>IF('Données projet'!$A$36&gt;35,N147+M148-V147,IF(A148&lt;'Données projet'!$A$36,$K$205^A148,IF(A148='Données projet'!$A$36,'Données projet'!$B$36,N147+M148-V147)))</f>
        <v>415.54500000000058</v>
      </c>
      <c r="O148" s="14">
        <f>N148*VLOOKUP('Données projet'!$B$9,Paramètres!$A$1:$I$89,3,0)*VLOOKUP('Données projet'!$B$9,Paramètres!$A$1:$I$89,5,0)</f>
        <v>375.98511600000052</v>
      </c>
      <c r="P148" s="14">
        <f t="shared" si="141"/>
        <v>86.890611547517153</v>
      </c>
      <c r="Q148" s="22">
        <f t="shared" si="108"/>
        <v>806.17522547859323</v>
      </c>
      <c r="R148" s="62">
        <f t="shared" si="109"/>
        <v>1099.5085588119266</v>
      </c>
      <c r="S148" s="62">
        <f ca="1">AVERAGE(OFFSET($R$3,0,0,'Données projet'!$E$9+1,1))-AVERAGE(OFFSET($H$3,0,0,'Données projet'!$E$9+1,1))</f>
        <v>581.88778927327667</v>
      </c>
      <c r="T148" s="62">
        <f t="shared" si="142"/>
        <v>269.67340993773422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66.83911746093078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66.83911746093078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2.8421709430404007E-13</v>
      </c>
      <c r="AJ148" s="14">
        <f>AI148*VLOOKUP('Données projet'!$B$10,Paramètres!$A$1:$I$89,3,0)*VLOOKUP('Données projet'!$B$10,Paramètres!$A$1:$I$89,5,0)</f>
        <v>2.7046098693972454E-13</v>
      </c>
      <c r="AK148" s="14">
        <f t="shared" si="143"/>
        <v>3.6187594451142911E-12</v>
      </c>
      <c r="AL148" s="22">
        <f t="shared" si="112"/>
        <v>6.7737255858274096E-12</v>
      </c>
      <c r="AM148" s="62">
        <f t="shared" si="113"/>
        <v>293.33333333334008</v>
      </c>
      <c r="AN148" s="62">
        <f ca="1">AVERAGE(OFFSET($AM$3,0,0,'Données projet'!$E$10+1,1))-AVERAGE(OFFSET($H$3,0,0,'Données projet'!$E$10+1,1))</f>
        <v>444.81608506581125</v>
      </c>
      <c r="AO148" s="62">
        <f t="shared" si="144"/>
        <v>306.75289431725565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108.57432078895732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108.57432078895732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8.3249999999999993</v>
      </c>
      <c r="BD148" s="13">
        <f>IF('Données projet'!$A$88&gt;35,BD147+BC148-BL147,IF(A148&lt;'Données projet'!$A$88,$BA$205^A148,IF(A148='Données projet'!$A$88,'Données projet'!$B$88,BD147+BC148-BL147)))</f>
        <v>415.54500000000058</v>
      </c>
      <c r="BE148" s="14">
        <f>BD148*VLOOKUP('Données projet'!$B$11,Paramètres!$A$1:$I$89,3,0)*VLOOKUP('Données projet'!$B$11,Paramètres!$A$1:$I$89,5,0)</f>
        <v>447.29263800000064</v>
      </c>
      <c r="BF148" s="14">
        <f t="shared" si="145"/>
        <v>101.30128055108679</v>
      </c>
      <c r="BG148" s="22">
        <f t="shared" si="115"/>
        <v>955.46774147647739</v>
      </c>
      <c r="BH148" s="62">
        <f t="shared" si="116"/>
        <v>1248.8010748098106</v>
      </c>
      <c r="BI148" s="62">
        <f ca="1">AVERAGE(OFFSET($BH$3,0,0,'Données projet'!$E$11+1,1))-AVERAGE(OFFSET($H$3,0,0,'Données projet'!$E$11+1,1))</f>
        <v>683.36974161977764</v>
      </c>
      <c r="BJ148" s="62">
        <f t="shared" si="146"/>
        <v>312.6921234697457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79.515501806969354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79.515501806969354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8.3249999999999993</v>
      </c>
      <c r="BY148" s="13">
        <f>IF('Données projet'!$A$114&gt;35,BY147+BX148-CG147,IF(A148&lt;'Données projet'!$A$114,$BV$205^A148,IF(A148='Données projet'!$A$114,'Données projet'!$B$114,BY147+BX148-CG147)))</f>
        <v>415.54500000000058</v>
      </c>
      <c r="BZ148" s="14">
        <f>BY148*VLOOKUP('Données projet'!$B$12,Paramètres!$A$1:$I$89,3,0)*VLOOKUP('Données projet'!$B$12,Paramètres!$A$1:$I$89,5,0)</f>
        <v>401.91512400000056</v>
      </c>
      <c r="CA148" s="14">
        <f t="shared" si="147"/>
        <v>92.164819224602709</v>
      </c>
      <c r="CB148" s="22">
        <f t="shared" si="118"/>
        <v>860.52256778285062</v>
      </c>
      <c r="CC148" s="62">
        <f t="shared" si="119"/>
        <v>1153.855901116184</v>
      </c>
      <c r="CD148" s="62">
        <f ca="1">AVERAGE(OFFSET($CC$3,0,0,'Données projet'!$E$12+1,1))-AVERAGE(OFFSET($H$3,0,0,'Données projet'!$E$12+1,1))</f>
        <v>618.83149423524605</v>
      </c>
      <c r="CE148" s="62">
        <f t="shared" si="148"/>
        <v>285.33582535802435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71.448711768581163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71.448711768581163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354.24684313982857</v>
      </c>
      <c r="CZ148" s="62">
        <f t="shared" si="150"/>
        <v>322.65043486962185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46.058666787750681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46.058666787750681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8.3249999999999993</v>
      </c>
      <c r="N149" s="14">
        <f>IF('Données projet'!$A$36&gt;35,N148+M149-V148,IF(A149&lt;'Données projet'!$A$36,$K$205^A149,IF(A149='Données projet'!$A$36,'Données projet'!$B$36,N148+M149-V148)))</f>
        <v>423.87000000000057</v>
      </c>
      <c r="O149" s="14">
        <f>N149*VLOOKUP('Données projet'!$B$9,Paramètres!$A$1:$I$89,3,0)*VLOOKUP('Données projet'!$B$9,Paramètres!$A$1:$I$89,5,0)</f>
        <v>383.51757600000053</v>
      </c>
      <c r="P149" s="14">
        <f t="shared" si="141"/>
        <v>88.426967368766455</v>
      </c>
      <c r="Q149" s="22">
        <f t="shared" si="108"/>
        <v>821.97007970060247</v>
      </c>
      <c r="R149" s="62">
        <f t="shared" si="109"/>
        <v>1115.3034130339358</v>
      </c>
      <c r="S149" s="62">
        <f ca="1">AVERAGE(OFFSET($R$3,0,0,'Données projet'!$E$9+1,1))-AVERAGE(OFFSET($H$3,0,0,'Données projet'!$E$9+1,1))</f>
        <v>581.88778927327667</v>
      </c>
      <c r="T149" s="62">
        <f t="shared" si="142"/>
        <v>269.67340993773422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65.528443135358089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65.528443135358089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2.8421709430404007E-13</v>
      </c>
      <c r="AJ149" s="14">
        <f>AI149*VLOOKUP('Données projet'!$B$10,Paramètres!$A$1:$I$89,3,0)*VLOOKUP('Données projet'!$B$10,Paramètres!$A$1:$I$89,5,0)</f>
        <v>2.7046098693972454E-13</v>
      </c>
      <c r="AK149" s="14">
        <f t="shared" si="143"/>
        <v>3.6187594451142911E-12</v>
      </c>
      <c r="AL149" s="22">
        <f t="shared" si="112"/>
        <v>6.7737255858274096E-12</v>
      </c>
      <c r="AM149" s="62">
        <f t="shared" si="113"/>
        <v>293.33333333334008</v>
      </c>
      <c r="AN149" s="62">
        <f ca="1">AVERAGE(OFFSET($AM$3,0,0,'Données projet'!$E$10+1,1))-AVERAGE(OFFSET($H$3,0,0,'Données projet'!$E$10+1,1))</f>
        <v>444.81608506581125</v>
      </c>
      <c r="AO149" s="62">
        <f t="shared" si="144"/>
        <v>306.75289431725565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106.44524458208249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106.44524458208249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8.3249999999999993</v>
      </c>
      <c r="BD149" s="13">
        <f>IF('Données projet'!$A$88&gt;35,BD148+BC149-BL148,IF(A149&lt;'Données projet'!$A$88,$BA$205^A149,IF(A149='Données projet'!$A$88,'Données projet'!$B$88,BD148+BC149-BL148)))</f>
        <v>423.87000000000057</v>
      </c>
      <c r="BE149" s="14">
        <f>BD149*VLOOKUP('Données projet'!$B$11,Paramètres!$A$1:$I$89,3,0)*VLOOKUP('Données projet'!$B$11,Paramètres!$A$1:$I$89,5,0)</f>
        <v>456.25366800000057</v>
      </c>
      <c r="BF149" s="14">
        <f t="shared" si="145"/>
        <v>103.09243852894912</v>
      </c>
      <c r="BG149" s="22">
        <f t="shared" si="115"/>
        <v>974.19446887125389</v>
      </c>
      <c r="BH149" s="62">
        <f t="shared" si="116"/>
        <v>1267.5278022045873</v>
      </c>
      <c r="BI149" s="62">
        <f ca="1">AVERAGE(OFFSET($BH$3,0,0,'Données projet'!$E$11+1,1))-AVERAGE(OFFSET($H$3,0,0,'Données projet'!$E$11+1,1))</f>
        <v>683.36974161977764</v>
      </c>
      <c r="BJ149" s="62">
        <f t="shared" si="146"/>
        <v>312.6921234697457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77.956251316201843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77.956251316201843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8.3249999999999993</v>
      </c>
      <c r="BY149" s="13">
        <f>IF('Données projet'!$A$114&gt;35,BY148+BX149-CG148,IF(A149&lt;'Données projet'!$A$114,$BV$205^A149,IF(A149='Données projet'!$A$114,'Données projet'!$B$114,BY148+BX149-CG148)))</f>
        <v>423.87000000000057</v>
      </c>
      <c r="BZ149" s="14">
        <f>BY149*VLOOKUP('Données projet'!$B$12,Paramètres!$A$1:$I$89,3,0)*VLOOKUP('Données projet'!$B$12,Paramètres!$A$1:$I$89,5,0)</f>
        <v>409.96706400000051</v>
      </c>
      <c r="CA149" s="14">
        <f t="shared" si="147"/>
        <v>93.79443091691617</v>
      </c>
      <c r="CB149" s="22">
        <f t="shared" si="118"/>
        <v>877.38460364696311</v>
      </c>
      <c r="CC149" s="62">
        <f t="shared" si="119"/>
        <v>1170.7179369802964</v>
      </c>
      <c r="CD149" s="62">
        <f ca="1">AVERAGE(OFFSET($CC$3,0,0,'Données projet'!$E$12+1,1))-AVERAGE(OFFSET($H$3,0,0,'Données projet'!$E$12+1,1))</f>
        <v>618.83149423524605</v>
      </c>
      <c r="CE149" s="62">
        <f t="shared" si="148"/>
        <v>285.33582535802435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70.047646110210351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70.047646110210351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354.24684313982857</v>
      </c>
      <c r="CZ149" s="62">
        <f t="shared" si="150"/>
        <v>322.65043486962185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45.155484425055676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45.155484425055676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8.3249999999999993</v>
      </c>
      <c r="N150" s="14">
        <f>IF('Données projet'!$A$36&gt;35,N149+M150-V149,IF(A150&lt;'Données projet'!$A$36,$K$205^A150,IF(A150='Données projet'!$A$36,'Données projet'!$B$36,N149+M150-V149)))</f>
        <v>432.19500000000056</v>
      </c>
      <c r="O150" s="14">
        <f>N150*VLOOKUP('Données projet'!$B$9,Paramètres!$A$1:$I$89,3,0)*VLOOKUP('Données projet'!$B$9,Paramètres!$A$1:$I$89,5,0)</f>
        <v>391.05003600000049</v>
      </c>
      <c r="P150" s="14">
        <f t="shared" si="141"/>
        <v>89.959814624965674</v>
      </c>
      <c r="Q150" s="22">
        <f t="shared" si="108"/>
        <v>837.75882317181595</v>
      </c>
      <c r="R150" s="62">
        <f t="shared" si="109"/>
        <v>1131.0921565051492</v>
      </c>
      <c r="S150" s="62">
        <f ca="1">AVERAGE(OFFSET($R$3,0,0,'Données projet'!$E$9+1,1))-AVERAGE(OFFSET($H$3,0,0,'Données projet'!$E$9+1,1))</f>
        <v>581.88778927327667</v>
      </c>
      <c r="T150" s="62">
        <f t="shared" si="142"/>
        <v>269.67340993773422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64.243470333877482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64.243470333877482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2.8421709430404007E-13</v>
      </c>
      <c r="AJ150" s="14">
        <f>AI150*VLOOKUP('Données projet'!$B$10,Paramètres!$A$1:$I$89,3,0)*VLOOKUP('Données projet'!$B$10,Paramètres!$A$1:$I$89,5,0)</f>
        <v>2.7046098693972454E-13</v>
      </c>
      <c r="AK150" s="14">
        <f t="shared" si="143"/>
        <v>3.6187594451142911E-12</v>
      </c>
      <c r="AL150" s="22">
        <f t="shared" si="112"/>
        <v>6.7737255858274096E-12</v>
      </c>
      <c r="AM150" s="62">
        <f t="shared" si="113"/>
        <v>293.33333333334008</v>
      </c>
      <c r="AN150" s="62">
        <f ca="1">AVERAGE(OFFSET($AM$3,0,0,'Données projet'!$E$10+1,1))-AVERAGE(OFFSET($H$3,0,0,'Données projet'!$E$10+1,1))</f>
        <v>444.81608506581125</v>
      </c>
      <c r="AO150" s="62">
        <f t="shared" si="144"/>
        <v>306.75289431725565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104.35791826101622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104.35791826101622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8.3249999999999993</v>
      </c>
      <c r="BD150" s="13">
        <f>IF('Données projet'!$A$88&gt;35,BD149+BC150-BL149,IF(A150&lt;'Données projet'!$A$88,$BA$205^A150,IF(A150='Données projet'!$A$88,'Données projet'!$B$88,BD149+BC150-BL149)))</f>
        <v>432.19500000000056</v>
      </c>
      <c r="BE150" s="14">
        <f>BD150*VLOOKUP('Données projet'!$B$11,Paramètres!$A$1:$I$89,3,0)*VLOOKUP('Données projet'!$B$11,Paramètres!$A$1:$I$89,5,0)</f>
        <v>465.21469800000062</v>
      </c>
      <c r="BF150" s="14">
        <f t="shared" si="145"/>
        <v>104.8795060518574</v>
      </c>
      <c r="BG150" s="22">
        <f t="shared" si="115"/>
        <v>992.9140720569859</v>
      </c>
      <c r="BH150" s="62">
        <f t="shared" si="116"/>
        <v>1286.2474053903193</v>
      </c>
      <c r="BI150" s="62">
        <f ca="1">AVERAGE(OFFSET($BH$3,0,0,'Données projet'!$E$11+1,1))-AVERAGE(OFFSET($H$3,0,0,'Données projet'!$E$11+1,1))</f>
        <v>683.36974161977764</v>
      </c>
      <c r="BJ150" s="62">
        <f t="shared" si="146"/>
        <v>312.6921234697457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76.427576776509397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76.427576776509397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8.3249999999999993</v>
      </c>
      <c r="BY150" s="13">
        <f>IF('Données projet'!$A$114&gt;35,BY149+BX150-CG149,IF(A150&lt;'Données projet'!$A$114,$BV$205^A150,IF(A150='Données projet'!$A$114,'Données projet'!$B$114,BY149+BX150-CG149)))</f>
        <v>432.19500000000056</v>
      </c>
      <c r="BZ150" s="14">
        <f>BY150*VLOOKUP('Données projet'!$B$12,Paramètres!$A$1:$I$89,3,0)*VLOOKUP('Données projet'!$B$12,Paramètres!$A$1:$I$89,5,0)</f>
        <v>418.01900400000051</v>
      </c>
      <c r="CA150" s="14">
        <f t="shared" si="147"/>
        <v>95.420321076398807</v>
      </c>
      <c r="CB150" s="22">
        <f t="shared" si="118"/>
        <v>894.24015784139544</v>
      </c>
      <c r="CC150" s="62">
        <f t="shared" si="119"/>
        <v>1187.5734911747288</v>
      </c>
      <c r="CD150" s="62">
        <f ca="1">AVERAGE(OFFSET($CC$3,0,0,'Données projet'!$E$12+1,1))-AVERAGE(OFFSET($H$3,0,0,'Données projet'!$E$12+1,1))</f>
        <v>618.83149423524605</v>
      </c>
      <c r="CE150" s="62">
        <f t="shared" si="148"/>
        <v>285.33582535802435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68.674054494834522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68.674054494834522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354.24684313982857</v>
      </c>
      <c r="CZ150" s="62">
        <f t="shared" si="150"/>
        <v>322.65043486962185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44.270012917606273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44.270012917606273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8.3249999999999993</v>
      </c>
      <c r="N151" s="14">
        <f>IF('Données projet'!$A$36&gt;35,N150+M151-V150,IF(A151&lt;'Données projet'!$A$36,$K$205^A151,IF(A151='Données projet'!$A$36,'Données projet'!$B$36,N150+M151-V150)))</f>
        <v>440.52000000000055</v>
      </c>
      <c r="O151" s="14">
        <f>N151*VLOOKUP('Données projet'!$B$9,Paramètres!$A$1:$I$89,3,0)*VLOOKUP('Données projet'!$B$9,Paramètres!$A$1:$I$89,5,0)</f>
        <v>398.5824960000005</v>
      </c>
      <c r="P151" s="14">
        <f t="shared" si="141"/>
        <v>91.489228690064536</v>
      </c>
      <c r="Q151" s="22">
        <f t="shared" si="108"/>
        <v>853.54158716852999</v>
      </c>
      <c r="R151" s="62">
        <f t="shared" si="109"/>
        <v>1146.8749205018632</v>
      </c>
      <c r="S151" s="62">
        <f ca="1">AVERAGE(OFFSET($R$3,0,0,'Données projet'!$E$9+1,1))-AVERAGE(OFFSET($H$3,0,0,'Données projet'!$E$9+1,1))</f>
        <v>581.88778927327667</v>
      </c>
      <c r="T151" s="62">
        <f t="shared" si="142"/>
        <v>269.67340993773422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62.983695065277885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62.983695065277885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2.8421709430404007E-13</v>
      </c>
      <c r="AJ151" s="14">
        <f>AI151*VLOOKUP('Données projet'!$B$10,Paramètres!$A$1:$I$89,3,0)*VLOOKUP('Données projet'!$B$10,Paramètres!$A$1:$I$89,5,0)</f>
        <v>2.7046098693972454E-13</v>
      </c>
      <c r="AK151" s="14">
        <f t="shared" si="143"/>
        <v>3.6187594451142911E-12</v>
      </c>
      <c r="AL151" s="22">
        <f t="shared" si="112"/>
        <v>6.7737255858274096E-12</v>
      </c>
      <c r="AM151" s="62">
        <f t="shared" si="113"/>
        <v>293.33333333334008</v>
      </c>
      <c r="AN151" s="62">
        <f ca="1">AVERAGE(OFFSET($AM$3,0,0,'Données projet'!$E$10+1,1))-AVERAGE(OFFSET($H$3,0,0,'Données projet'!$E$10+1,1))</f>
        <v>444.81608506581125</v>
      </c>
      <c r="AO151" s="62">
        <f t="shared" si="144"/>
        <v>306.75289431725565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102.31152313596272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102.31152313596272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8.3249999999999993</v>
      </c>
      <c r="BD151" s="13">
        <f>IF('Données projet'!$A$88&gt;35,BD150+BC151-BL150,IF(A151&lt;'Données projet'!$A$88,$BA$205^A151,IF(A151='Données projet'!$A$88,'Données projet'!$B$88,BD150+BC151-BL150)))</f>
        <v>440.52000000000055</v>
      </c>
      <c r="BE151" s="14">
        <f>BD151*VLOOKUP('Données projet'!$B$11,Paramètres!$A$1:$I$89,3,0)*VLOOKUP('Données projet'!$B$11,Paramètres!$A$1:$I$89,5,0)</f>
        <v>474.17572800000056</v>
      </c>
      <c r="BF151" s="14">
        <f t="shared" si="145"/>
        <v>106.66257099441019</v>
      </c>
      <c r="BG151" s="22">
        <f t="shared" si="115"/>
        <v>1011.626704081932</v>
      </c>
      <c r="BH151" s="62">
        <f t="shared" si="116"/>
        <v>1304.9600374152653</v>
      </c>
      <c r="BI151" s="62">
        <f ca="1">AVERAGE(OFFSET($BH$3,0,0,'Données projet'!$E$11+1,1))-AVERAGE(OFFSET($H$3,0,0,'Données projet'!$E$11+1,1))</f>
        <v>683.36974161977764</v>
      </c>
      <c r="BJ151" s="62">
        <f t="shared" si="146"/>
        <v>312.6921234697457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74.928878612140906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74.928878612140906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8.3249999999999993</v>
      </c>
      <c r="BY151" s="13">
        <f>IF('Données projet'!$A$114&gt;35,BY150+BX151-CG150,IF(A151&lt;'Données projet'!$A$114,$BV$205^A151,IF(A151='Données projet'!$A$114,'Données projet'!$B$114,BY150+BX151-CG150)))</f>
        <v>440.52000000000055</v>
      </c>
      <c r="BZ151" s="14">
        <f>BY151*VLOOKUP('Données projet'!$B$12,Paramètres!$A$1:$I$89,3,0)*VLOOKUP('Données projet'!$B$12,Paramètres!$A$1:$I$89,5,0)</f>
        <v>426.07094400000051</v>
      </c>
      <c r="CA151" s="14">
        <f t="shared" si="147"/>
        <v>97.042569652153361</v>
      </c>
      <c r="CB151" s="22">
        <f t="shared" si="118"/>
        <v>911.08936961083464</v>
      </c>
      <c r="CC151" s="62">
        <f t="shared" si="119"/>
        <v>1204.4227029441679</v>
      </c>
      <c r="CD151" s="62">
        <f ca="1">AVERAGE(OFFSET($CC$3,0,0,'Données projet'!$E$12+1,1))-AVERAGE(OFFSET($H$3,0,0,'Données projet'!$E$12+1,1))</f>
        <v>618.83149423524605</v>
      </c>
      <c r="CE151" s="62">
        <f t="shared" si="148"/>
        <v>285.33582535802435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67.327398173228062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67.327398173228062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354.24684313982857</v>
      </c>
      <c r="CZ151" s="62">
        <f t="shared" si="150"/>
        <v>322.65043486962185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43.40190496633366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43.40190496633366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8.3249999999999993</v>
      </c>
      <c r="N152" s="14">
        <f>IF('Données projet'!$A$36&gt;35,N151+M152-V151,IF(A152&lt;'Données projet'!$A$36,$K$205^A152,IF(A152='Données projet'!$A$36,'Données projet'!$B$36,N151+M152-V151)))</f>
        <v>448.84500000000054</v>
      </c>
      <c r="O152" s="14">
        <f>N152*VLOOKUP('Données projet'!$B$9,Paramètres!$A$1:$I$89,3,0)*VLOOKUP('Données projet'!$B$9,Paramètres!$A$1:$I$89,5,0)</f>
        <v>406.11495600000046</v>
      </c>
      <c r="P152" s="14">
        <f t="shared" si="141"/>
        <v>93.015281926133852</v>
      </c>
      <c r="Q152" s="22">
        <f t="shared" si="108"/>
        <v>869.31849772135058</v>
      </c>
      <c r="R152" s="62">
        <f t="shared" si="109"/>
        <v>1162.651831054684</v>
      </c>
      <c r="S152" s="62">
        <f ca="1">AVERAGE(OFFSET($R$3,0,0,'Données projet'!$E$9+1,1))-AVERAGE(OFFSET($H$3,0,0,'Données projet'!$E$9+1,1))</f>
        <v>581.88778927327667</v>
      </c>
      <c r="T152" s="62">
        <f t="shared" si="142"/>
        <v>269.67340993773422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61.748623221308485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61.748623221308485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2.8421709430404007E-13</v>
      </c>
      <c r="AJ152" s="14">
        <f>AI152*VLOOKUP('Données projet'!$B$10,Paramètres!$A$1:$I$89,3,0)*VLOOKUP('Données projet'!$B$10,Paramètres!$A$1:$I$89,5,0)</f>
        <v>2.7046098693972454E-13</v>
      </c>
      <c r="AK152" s="14">
        <f t="shared" si="143"/>
        <v>3.6187594451142911E-12</v>
      </c>
      <c r="AL152" s="22">
        <f t="shared" si="112"/>
        <v>6.7737255858274096E-12</v>
      </c>
      <c r="AM152" s="62">
        <f t="shared" si="113"/>
        <v>293.33333333334008</v>
      </c>
      <c r="AN152" s="62">
        <f ca="1">AVERAGE(OFFSET($AM$3,0,0,'Données projet'!$E$10+1,1))-AVERAGE(OFFSET($H$3,0,0,'Données projet'!$E$10+1,1))</f>
        <v>444.81608506581125</v>
      </c>
      <c r="AO152" s="62">
        <f t="shared" si="144"/>
        <v>306.75289431725565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100.30525657113373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100.30525657113373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8.3249999999999993</v>
      </c>
      <c r="BD152" s="13">
        <f>IF('Données projet'!$A$88&gt;35,BD151+BC152-BL151,IF(A152&lt;'Données projet'!$A$88,$BA$205^A152,IF(A152='Données projet'!$A$88,'Données projet'!$B$88,BD151+BC152-BL151)))</f>
        <v>448.84500000000054</v>
      </c>
      <c r="BE152" s="14">
        <f>BD152*VLOOKUP('Données projet'!$B$11,Paramètres!$A$1:$I$89,3,0)*VLOOKUP('Données projet'!$B$11,Paramètres!$A$1:$I$89,5,0)</f>
        <v>483.13675800000055</v>
      </c>
      <c r="BF152" s="14">
        <f t="shared" si="145"/>
        <v>108.4417177198124</v>
      </c>
      <c r="BG152" s="22">
        <f t="shared" si="115"/>
        <v>1030.3325118786743</v>
      </c>
      <c r="BH152" s="62">
        <f t="shared" si="116"/>
        <v>1323.6658452120075</v>
      </c>
      <c r="BI152" s="62">
        <f ca="1">AVERAGE(OFFSET($BH$3,0,0,'Données projet'!$E$11+1,1))-AVERAGE(OFFSET($H$3,0,0,'Données projet'!$E$11+1,1))</f>
        <v>683.36974161977764</v>
      </c>
      <c r="BJ152" s="62">
        <f t="shared" si="146"/>
        <v>312.6921234697457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73.459569004660068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73.459569004660068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8.3249999999999993</v>
      </c>
      <c r="BY152" s="13">
        <f>IF('Données projet'!$A$114&gt;35,BY151+BX152-CG151,IF(A152&lt;'Données projet'!$A$114,$BV$205^A152,IF(A152='Données projet'!$A$114,'Données projet'!$B$114,BY151+BX152-CG151)))</f>
        <v>448.84500000000054</v>
      </c>
      <c r="BZ152" s="14">
        <f>BY152*VLOOKUP('Données projet'!$B$12,Paramètres!$A$1:$I$89,3,0)*VLOOKUP('Données projet'!$B$12,Paramètres!$A$1:$I$89,5,0)</f>
        <v>434.12288400000057</v>
      </c>
      <c r="CA152" s="14">
        <f t="shared" si="147"/>
        <v>98.661253398584833</v>
      </c>
      <c r="CB152" s="22">
        <f t="shared" si="118"/>
        <v>927.93237263586946</v>
      </c>
      <c r="CC152" s="62">
        <f t="shared" si="119"/>
        <v>1221.2657059692028</v>
      </c>
      <c r="CD152" s="62">
        <f ca="1">AVERAGE(OFFSET($CC$3,0,0,'Données projet'!$E$12+1,1))-AVERAGE(OFFSET($H$3,0,0,'Données projet'!$E$12+1,1))</f>
        <v>618.83149423524605</v>
      </c>
      <c r="CE152" s="62">
        <f t="shared" si="148"/>
        <v>285.33582535802435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66.007148960709046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66.007148960709046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354.24684313982857</v>
      </c>
      <c r="CZ152" s="62">
        <f t="shared" si="150"/>
        <v>322.65043486962185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42.550820082491938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42.550820082491938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8.3249999999999993</v>
      </c>
      <c r="N153" s="14">
        <f>IF('Données projet'!$A$36&gt;35,N152+M153-V152,IF(A153&lt;'Données projet'!$A$36,$K$205^A153,IF(A153='Données projet'!$A$36,'Données projet'!$B$36,N152+M153-V152)))</f>
        <v>457.17000000000053</v>
      </c>
      <c r="O153" s="14">
        <f>N153*VLOOKUP('Données projet'!$B$9,Paramètres!$A$1:$I$89,3,0)*VLOOKUP('Données projet'!$B$9,Paramètres!$A$1:$I$89,5,0)</f>
        <v>413.64741600000042</v>
      </c>
      <c r="P153" s="14">
        <f t="shared" si="141"/>
        <v>94.538043857309361</v>
      </c>
      <c r="Q153" s="22">
        <f t="shared" si="108"/>
        <v>885.0896759181478</v>
      </c>
      <c r="R153" s="62">
        <f t="shared" si="109"/>
        <v>1178.4230092514811</v>
      </c>
      <c r="S153" s="62">
        <f ca="1">AVERAGE(OFFSET($R$3,0,0,'Données projet'!$E$9+1,1))-AVERAGE(OFFSET($H$3,0,0,'Données projet'!$E$9+1,1))</f>
        <v>581.88778927327667</v>
      </c>
      <c r="T153" s="62">
        <f t="shared" si="142"/>
        <v>269.67340993773422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60.537770382879884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60.537770382879884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2.8421709430404007E-13</v>
      </c>
      <c r="AJ153" s="14">
        <f>AI153*VLOOKUP('Données projet'!$B$10,Paramètres!$A$1:$I$89,3,0)*VLOOKUP('Données projet'!$B$10,Paramètres!$A$1:$I$89,5,0)</f>
        <v>2.7046098693972454E-13</v>
      </c>
      <c r="AK153" s="14">
        <f t="shared" si="143"/>
        <v>3.6187594451142911E-12</v>
      </c>
      <c r="AL153" s="22">
        <f t="shared" si="112"/>
        <v>6.7737255858274096E-12</v>
      </c>
      <c r="AM153" s="62">
        <f t="shared" si="113"/>
        <v>293.33333333334008</v>
      </c>
      <c r="AN153" s="62">
        <f ca="1">AVERAGE(OFFSET($AM$3,0,0,'Données projet'!$E$10+1,1))-AVERAGE(OFFSET($H$3,0,0,'Données projet'!$E$10+1,1))</f>
        <v>444.81608506581125</v>
      </c>
      <c r="AO153" s="62">
        <f t="shared" si="144"/>
        <v>306.75289431725565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98.338331669939265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98.338331669939265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8.3249999999999993</v>
      </c>
      <c r="BD153" s="13">
        <f>IF('Données projet'!$A$88&gt;35,BD152+BC153-BL152,IF(A153&lt;'Données projet'!$A$88,$BA$205^A153,IF(A153='Données projet'!$A$88,'Données projet'!$B$88,BD152+BC153-BL152)))</f>
        <v>457.17000000000053</v>
      </c>
      <c r="BE153" s="14">
        <f>BD153*VLOOKUP('Données projet'!$B$11,Paramètres!$A$1:$I$89,3,0)*VLOOKUP('Données projet'!$B$11,Paramètres!$A$1:$I$89,5,0)</f>
        <v>492.09778800000055</v>
      </c>
      <c r="BF153" s="14">
        <f t="shared" si="145"/>
        <v>110.21702728266624</v>
      </c>
      <c r="BG153" s="22">
        <f t="shared" si="115"/>
        <v>1049.0316366173113</v>
      </c>
      <c r="BH153" s="62">
        <f t="shared" si="116"/>
        <v>1342.3649699506445</v>
      </c>
      <c r="BI153" s="62">
        <f ca="1">AVERAGE(OFFSET($BH$3,0,0,'Données projet'!$E$11+1,1))-AVERAGE(OFFSET($H$3,0,0,'Données projet'!$E$11+1,1))</f>
        <v>683.36974161977764</v>
      </c>
      <c r="BJ153" s="62">
        <f t="shared" si="146"/>
        <v>312.6921234697457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72.019071662391553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72.019071662391553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8.3249999999999993</v>
      </c>
      <c r="BY153" s="13">
        <f>IF('Données projet'!$A$114&gt;35,BY152+BX153-CG152,IF(A153&lt;'Données projet'!$A$114,$BV$205^A153,IF(A153='Données projet'!$A$114,'Données projet'!$B$114,BY152+BX153-CG152)))</f>
        <v>457.17000000000053</v>
      </c>
      <c r="BZ153" s="14">
        <f>BY153*VLOOKUP('Données projet'!$B$12,Paramètres!$A$1:$I$89,3,0)*VLOOKUP('Données projet'!$B$12,Paramètres!$A$1:$I$89,5,0)</f>
        <v>442.17482400000057</v>
      </c>
      <c r="CA153" s="14">
        <f t="shared" si="147"/>
        <v>100.27644605990184</v>
      </c>
      <c r="CB153" s="22">
        <f t="shared" si="118"/>
        <v>944.76929535432998</v>
      </c>
      <c r="CC153" s="62">
        <f t="shared" si="119"/>
        <v>1238.1026286876634</v>
      </c>
      <c r="CD153" s="62">
        <f ca="1">AVERAGE(OFFSET($CC$3,0,0,'Données projet'!$E$12+1,1))-AVERAGE(OFFSET($H$3,0,0,'Données projet'!$E$12+1,1))</f>
        <v>618.83149423524605</v>
      </c>
      <c r="CE153" s="62">
        <f t="shared" si="148"/>
        <v>285.33582535802435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64.712789029975028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64.712789029975028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354.24684313982857</v>
      </c>
      <c r="CZ153" s="62">
        <f t="shared" si="150"/>
        <v>322.65043486962185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41.716424454111831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41.716424454111831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8.3249999999999993</v>
      </c>
      <c r="N154" s="14">
        <f>IF('Données projet'!$A$36&gt;35,N153+M154-V153,IF(A154&lt;'Données projet'!$A$36,$K$205^A154,IF(A154='Données projet'!$A$36,'Données projet'!$B$36,N153+M154-V153)))</f>
        <v>465.49500000000052</v>
      </c>
      <c r="O154" s="14">
        <f>N154*VLOOKUP('Données projet'!$B$9,Paramètres!$A$1:$I$89,3,0)*VLOOKUP('Données projet'!$B$9,Paramètres!$A$1:$I$89,5,0)</f>
        <v>421.17987600000043</v>
      </c>
      <c r="P154" s="14">
        <f t="shared" si="141"/>
        <v>96.057581330707137</v>
      </c>
      <c r="Q154" s="22">
        <f t="shared" ref="Q154:Q203" si="162">(O154+P154)*0.475*44/12</f>
        <v>900.85523818431557</v>
      </c>
      <c r="R154" s="62">
        <f t="shared" si="109"/>
        <v>1194.1885715176488</v>
      </c>
      <c r="S154" s="62">
        <f ca="1">AVERAGE(OFFSET($R$3,0,0,'Données projet'!$E$9+1,1))-AVERAGE(OFFSET($H$3,0,0,'Données projet'!$E$9+1,1))</f>
        <v>581.88778927327667</v>
      </c>
      <c r="T154" s="62">
        <f t="shared" si="142"/>
        <v>269.67340993773422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59.350661630065559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59.350661630065559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2.8421709430404007E-13</v>
      </c>
      <c r="AJ154" s="14">
        <f>AI154*VLOOKUP('Données projet'!$B$10,Paramètres!$A$1:$I$89,3,0)*VLOOKUP('Données projet'!$B$10,Paramètres!$A$1:$I$89,5,0)</f>
        <v>2.7046098693972454E-13</v>
      </c>
      <c r="AK154" s="14">
        <f t="shared" ref="AK154:AK203" si="164">EXP(-1.0587+0.8836*LN(AJ154)+0.284)</f>
        <v>3.6187594451142911E-12</v>
      </c>
      <c r="AL154" s="22">
        <f t="shared" ref="AL154:AL203" si="165">(AJ154+AK154)*0.475*44/12</f>
        <v>6.7737255858274096E-12</v>
      </c>
      <c r="AM154" s="62">
        <f t="shared" si="113"/>
        <v>293.33333333334008</v>
      </c>
      <c r="AN154" s="62">
        <f ca="1">AVERAGE(OFFSET($AM$3,0,0,'Données projet'!$E$10+1,1))-AVERAGE(OFFSET($H$3,0,0,'Données projet'!$E$10+1,1))</f>
        <v>444.81608506581125</v>
      </c>
      <c r="AO154" s="62">
        <f t="shared" si="144"/>
        <v>306.75289431725565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96.409976966351493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96.409976966351493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8.3249999999999993</v>
      </c>
      <c r="BD154" s="13">
        <f>IF('Données projet'!$A$88&gt;35,BD153+BC154-BL153,IF(A154&lt;'Données projet'!$A$88,$BA$205^A154,IF(A154='Données projet'!$A$88,'Données projet'!$B$88,BD153+BC154-BL153)))</f>
        <v>465.49500000000052</v>
      </c>
      <c r="BE154" s="14">
        <f>BD154*VLOOKUP('Données projet'!$B$11,Paramètres!$A$1:$I$89,3,0)*VLOOKUP('Données projet'!$B$11,Paramètres!$A$1:$I$89,5,0)</f>
        <v>501.05881800000054</v>
      </c>
      <c r="BF154" s="14">
        <f t="shared" ref="BF154:BF203" si="167">EXP(-1.0587+0.8836*LN(BE154)+0.284)</f>
        <v>111.9885776165752</v>
      </c>
      <c r="BG154" s="22">
        <f t="shared" ref="BG154:BG203" si="168">(BE154+BF154)*0.475*44/12</f>
        <v>1067.7242140322026</v>
      </c>
      <c r="BH154" s="62">
        <f t="shared" si="116"/>
        <v>1361.0575473655358</v>
      </c>
      <c r="BI154" s="62">
        <f ca="1">AVERAGE(OFFSET($BH$3,0,0,'Données projet'!$E$11+1,1))-AVERAGE(OFFSET($H$3,0,0,'Données projet'!$E$11+1,1))</f>
        <v>683.36974161977764</v>
      </c>
      <c r="BJ154" s="62">
        <f t="shared" si="146"/>
        <v>312.6921234697457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70.606821594388308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70.606821594388308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8.3249999999999993</v>
      </c>
      <c r="BY154" s="13">
        <f>IF('Données projet'!$A$114&gt;35,BY153+BX154-CG153,IF(A154&lt;'Données projet'!$A$114,$BV$205^A154,IF(A154='Données projet'!$A$114,'Données projet'!$B$114,BY153+BX154-CG153)))</f>
        <v>465.49500000000052</v>
      </c>
      <c r="BZ154" s="14">
        <f>BY154*VLOOKUP('Données projet'!$B$12,Paramètres!$A$1:$I$89,3,0)*VLOOKUP('Données projet'!$B$12,Paramètres!$A$1:$I$89,5,0)</f>
        <v>450.22676400000051</v>
      </c>
      <c r="CA154" s="14">
        <f t="shared" ref="CA154:CA203" si="170">EXP(-1.0587+0.8836*LN(BZ154)+0.284)</f>
        <v>101.88821854080018</v>
      </c>
      <c r="CB154" s="22">
        <f t="shared" ref="CB154:CB203" si="171">(BZ154+CA154)*0.475*44/12</f>
        <v>961.6002612585612</v>
      </c>
      <c r="CC154" s="62">
        <f t="shared" si="119"/>
        <v>1254.9335945918945</v>
      </c>
      <c r="CD154" s="62">
        <f ca="1">AVERAGE(OFFSET($CC$3,0,0,'Données projet'!$E$12+1,1))-AVERAGE(OFFSET($H$3,0,0,'Données projet'!$E$12+1,1))</f>
        <v>618.83149423524605</v>
      </c>
      <c r="CE154" s="62">
        <f t="shared" si="148"/>
        <v>285.33582535802435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63.443810708001095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63.443810708001095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354.24684313982857</v>
      </c>
      <c r="CZ154" s="62">
        <f t="shared" si="150"/>
        <v>322.65043486962185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40.898390815073178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40.898390815073178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8.3249999999999993</v>
      </c>
      <c r="N155" s="14">
        <f>IF('Données projet'!$A$36&gt;35,N154+M155-V154,IF(A155&lt;'Données projet'!$A$36,$K$205^A155,IF(A155='Données projet'!$A$36,'Données projet'!$B$36,N154+M155-V154)))</f>
        <v>473.8200000000005</v>
      </c>
      <c r="O155" s="14">
        <f>N155*VLOOKUP('Données projet'!$B$9,Paramètres!$A$1:$I$89,3,0)*VLOOKUP('Données projet'!$B$9,Paramètres!$A$1:$I$89,5,0)</f>
        <v>428.71233600000051</v>
      </c>
      <c r="P155" s="14">
        <f t="shared" si="141"/>
        <v>97.57395866550209</v>
      </c>
      <c r="Q155" s="22">
        <f t="shared" si="162"/>
        <v>916.61529654241701</v>
      </c>
      <c r="R155" s="62">
        <f t="shared" si="109"/>
        <v>1209.9486298757504</v>
      </c>
      <c r="S155" s="62">
        <f ca="1">AVERAGE(OFFSET($R$3,0,0,'Données projet'!$E$9+1,1))-AVERAGE(OFFSET($H$3,0,0,'Données projet'!$E$9+1,1))</f>
        <v>581.88778927327667</v>
      </c>
      <c r="T155" s="62">
        <f t="shared" si="142"/>
        <v>269.67340993773422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58.186831355829085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58.186831355829085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2.8421709430404007E-13</v>
      </c>
      <c r="AJ155" s="14">
        <f>AI155*VLOOKUP('Données projet'!$B$10,Paramètres!$A$1:$I$89,3,0)*VLOOKUP('Données projet'!$B$10,Paramètres!$A$1:$I$89,5,0)</f>
        <v>2.7046098693972454E-13</v>
      </c>
      <c r="AK155" s="14">
        <f t="shared" si="164"/>
        <v>3.6187594451142911E-12</v>
      </c>
      <c r="AL155" s="22">
        <f t="shared" si="165"/>
        <v>6.7737255858274096E-12</v>
      </c>
      <c r="AM155" s="62">
        <f t="shared" si="113"/>
        <v>293.33333333334008</v>
      </c>
      <c r="AN155" s="62">
        <f ca="1">AVERAGE(OFFSET($AM$3,0,0,'Données projet'!$E$10+1,1))-AVERAGE(OFFSET($H$3,0,0,'Données projet'!$E$10+1,1))</f>
        <v>444.81608506581125</v>
      </c>
      <c r="AO155" s="62">
        <f t="shared" si="144"/>
        <v>306.75289431725565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94.519436122320855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94.519436122320855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8.3249999999999993</v>
      </c>
      <c r="BD155" s="13">
        <f>IF('Données projet'!$A$88&gt;35,BD154+BC155-BL154,IF(A155&lt;'Données projet'!$A$88,$BA$205^A155,IF(A155='Données projet'!$A$88,'Données projet'!$B$88,BD154+BC155-BL154)))</f>
        <v>473.8200000000005</v>
      </c>
      <c r="BE155" s="14">
        <f>BD155*VLOOKUP('Données projet'!$B$11,Paramètres!$A$1:$I$89,3,0)*VLOOKUP('Données projet'!$B$11,Paramètres!$A$1:$I$89,5,0)</f>
        <v>510.01984800000048</v>
      </c>
      <c r="BF155" s="14">
        <f t="shared" si="167"/>
        <v>113.7564437079464</v>
      </c>
      <c r="BG155" s="22">
        <f t="shared" si="168"/>
        <v>1086.4103747246743</v>
      </c>
      <c r="BH155" s="62">
        <f t="shared" si="116"/>
        <v>1379.7437080580075</v>
      </c>
      <c r="BI155" s="62">
        <f ca="1">AVERAGE(OFFSET($BH$3,0,0,'Données projet'!$E$11+1,1))-AVERAGE(OFFSET($H$3,0,0,'Données projet'!$E$11+1,1))</f>
        <v>683.36974161977764</v>
      </c>
      <c r="BJ155" s="62">
        <f t="shared" si="146"/>
        <v>312.6921234697457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69.22226488883112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69.22226488883112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8.3249999999999993</v>
      </c>
      <c r="BY155" s="13">
        <f>IF('Données projet'!$A$114&gt;35,BY154+BX155-CG154,IF(A155&lt;'Données projet'!$A$114,$BV$205^A155,IF(A155='Données projet'!$A$114,'Données projet'!$B$114,BY154+BX155-CG154)))</f>
        <v>473.8200000000005</v>
      </c>
      <c r="BZ155" s="14">
        <f>BY155*VLOOKUP('Données projet'!$B$12,Paramètres!$A$1:$I$89,3,0)*VLOOKUP('Données projet'!$B$12,Paramètres!$A$1:$I$89,5,0)</f>
        <v>458.27870400000052</v>
      </c>
      <c r="CA155" s="14">
        <f t="shared" si="170"/>
        <v>103.49663906458966</v>
      </c>
      <c r="CB155" s="22">
        <f t="shared" si="171"/>
        <v>978.42538917082777</v>
      </c>
      <c r="CC155" s="62">
        <f t="shared" si="119"/>
        <v>1271.7587225041611</v>
      </c>
      <c r="CD155" s="62">
        <f ca="1">AVERAGE(OFFSET($CC$3,0,0,'Données projet'!$E$12+1,1))-AVERAGE(OFFSET($H$3,0,0,'Données projet'!$E$12+1,1))</f>
        <v>618.83149423524605</v>
      </c>
      <c r="CE155" s="62">
        <f t="shared" si="148"/>
        <v>285.33582535802435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62.199716276920725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62.199716276920725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354.24684313982857</v>
      </c>
      <c r="CZ155" s="62">
        <f t="shared" si="150"/>
        <v>322.65043486962185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40.096398316744818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40.096398316744818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8.3249999999999993</v>
      </c>
      <c r="N156" s="14">
        <f>IF('Données projet'!$A$36&gt;35,N155+M156-V155,IF(A156&lt;'Données projet'!$A$36,$K$205^A156,IF(A156='Données projet'!$A$36,'Données projet'!$B$36,N155+M156-V155)))</f>
        <v>482.14500000000049</v>
      </c>
      <c r="O156" s="14">
        <f>N156*VLOOKUP('Données projet'!$B$9,Paramètres!$A$1:$I$89,3,0)*VLOOKUP('Données projet'!$B$9,Paramètres!$A$1:$I$89,5,0)</f>
        <v>436.24479600000041</v>
      </c>
      <c r="P156" s="14">
        <f t="shared" si="141"/>
        <v>99.087237791231857</v>
      </c>
      <c r="Q156" s="22">
        <f t="shared" si="162"/>
        <v>932.36995885306271</v>
      </c>
      <c r="R156" s="62">
        <f t="shared" si="109"/>
        <v>1225.7032921863961</v>
      </c>
      <c r="S156" s="62">
        <f ca="1">AVERAGE(OFFSET($R$3,0,0,'Données projet'!$E$9+1,1))-AVERAGE(OFFSET($H$3,0,0,'Données projet'!$E$9+1,1))</f>
        <v>581.88778927327667</v>
      </c>
      <c r="T156" s="62">
        <f t="shared" si="142"/>
        <v>269.67340993773422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57.045823083404009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57.045823083404009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2.8421709430404007E-13</v>
      </c>
      <c r="AJ156" s="14">
        <f>AI156*VLOOKUP('Données projet'!$B$10,Paramètres!$A$1:$I$89,3,0)*VLOOKUP('Données projet'!$B$10,Paramètres!$A$1:$I$89,5,0)</f>
        <v>2.7046098693972454E-13</v>
      </c>
      <c r="AK156" s="14">
        <f t="shared" si="164"/>
        <v>3.6187594451142911E-12</v>
      </c>
      <c r="AL156" s="22">
        <f t="shared" si="165"/>
        <v>6.7737255858274096E-12</v>
      </c>
      <c r="AM156" s="62">
        <f t="shared" si="113"/>
        <v>293.33333333334008</v>
      </c>
      <c r="AN156" s="62">
        <f ca="1">AVERAGE(OFFSET($AM$3,0,0,'Données projet'!$E$10+1,1))-AVERAGE(OFFSET($H$3,0,0,'Données projet'!$E$10+1,1))</f>
        <v>444.81608506581125</v>
      </c>
      <c r="AO156" s="62">
        <f t="shared" si="144"/>
        <v>306.75289431725565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92.665967631125596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92.665967631125596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8.3249999999999993</v>
      </c>
      <c r="BD156" s="13">
        <f>IF('Données projet'!$A$88&gt;35,BD155+BC156-BL155,IF(A156&lt;'Données projet'!$A$88,$BA$205^A156,IF(A156='Données projet'!$A$88,'Données projet'!$B$88,BD155+BC156-BL155)))</f>
        <v>482.14500000000049</v>
      </c>
      <c r="BE156" s="14">
        <f>BD156*VLOOKUP('Données projet'!$B$11,Paramètres!$A$1:$I$89,3,0)*VLOOKUP('Données projet'!$B$11,Paramètres!$A$1:$I$89,5,0)</f>
        <v>518.98087800000053</v>
      </c>
      <c r="BF156" s="14">
        <f t="shared" si="167"/>
        <v>115.52069775723253</v>
      </c>
      <c r="BG156" s="22">
        <f t="shared" si="168"/>
        <v>1105.0902444438475</v>
      </c>
      <c r="BH156" s="62">
        <f t="shared" si="116"/>
        <v>1398.4235777771808</v>
      </c>
      <c r="BI156" s="62">
        <f ca="1">AVERAGE(OFFSET($BH$3,0,0,'Données projet'!$E$11+1,1))-AVERAGE(OFFSET($H$3,0,0,'Données projet'!$E$11+1,1))</f>
        <v>683.36974161977764</v>
      </c>
      <c r="BJ156" s="62">
        <f t="shared" si="146"/>
        <v>312.6921234697457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67.864858495773703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67.864858495773703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8.3249999999999993</v>
      </c>
      <c r="BY156" s="13">
        <f>IF('Données projet'!$A$114&gt;35,BY155+BX156-CG155,IF(A156&lt;'Données projet'!$A$114,$BV$205^A156,IF(A156='Données projet'!$A$114,'Données projet'!$B$114,BY155+BX156-CG155)))</f>
        <v>482.14500000000049</v>
      </c>
      <c r="BZ156" s="14">
        <f>BY156*VLOOKUP('Données projet'!$B$12,Paramètres!$A$1:$I$89,3,0)*VLOOKUP('Données projet'!$B$12,Paramètres!$A$1:$I$89,5,0)</f>
        <v>466.33064400000052</v>
      </c>
      <c r="CA156" s="14">
        <f t="shared" si="170"/>
        <v>105.10177331989394</v>
      </c>
      <c r="CB156" s="22">
        <f t="shared" si="171"/>
        <v>995.24479349881619</v>
      </c>
      <c r="CC156" s="62">
        <f t="shared" si="119"/>
        <v>1288.5781268321496</v>
      </c>
      <c r="CD156" s="62">
        <f ca="1">AVERAGE(OFFSET($CC$3,0,0,'Données projet'!$E$12+1,1))-AVERAGE(OFFSET($H$3,0,0,'Données projet'!$E$12+1,1))</f>
        <v>618.83149423524605</v>
      </c>
      <c r="CE156" s="62">
        <f t="shared" si="148"/>
        <v>285.33582535802435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60.980017778811167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60.980017778811167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354.24684313982857</v>
      </c>
      <c r="CZ156" s="62">
        <f t="shared" si="150"/>
        <v>322.65043486962185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39.310132402141555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39.310132402141555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>
        <f>VLOOKUP(A157,'Données projet'!$A$35:$I$55,2,0)</f>
        <v>490.47</v>
      </c>
      <c r="L157" s="13">
        <f>VLOOKUP(A157,'Données projet'!$A$35:$I$55,9,0)</f>
        <v>8.3249999999999993</v>
      </c>
      <c r="M157" s="13">
        <f t="array" ref="M157">INDEX(L:L,MIN(IF(ISNUMBER(L157:L353),ROW(L157:L353),"")))</f>
        <v>8.3249999999999993</v>
      </c>
      <c r="N157" s="14">
        <f>IF('Données projet'!$A$36&gt;35,N156+M157-V156,IF(A157&lt;'Données projet'!$A$36,$K$205^A157,IF(A157='Données projet'!$A$36,'Données projet'!$B$36,N156+M157-V156)))</f>
        <v>490.47000000000048</v>
      </c>
      <c r="O157" s="14">
        <f>N157*VLOOKUP('Données projet'!$B$9,Paramètres!$A$1:$I$89,3,0)*VLOOKUP('Données projet'!$B$9,Paramètres!$A$1:$I$89,5,0)</f>
        <v>443.77725600000048</v>
      </c>
      <c r="P157" s="14">
        <f t="shared" si="141"/>
        <v>100.59747837627934</v>
      </c>
      <c r="Q157" s="22">
        <f t="shared" si="162"/>
        <v>948.11932903868717</v>
      </c>
      <c r="R157" s="62">
        <f t="shared" si="109"/>
        <v>1241.4526623720205</v>
      </c>
      <c r="S157" s="62">
        <f ca="1">AVERAGE(OFFSET($R$3,0,0,'Données projet'!$E$9+1,1))-AVERAGE(OFFSET($H$3,0,0,'Données projet'!$E$9+1,1))</f>
        <v>581.88778927327667</v>
      </c>
      <c r="T157" s="62">
        <f t="shared" si="142"/>
        <v>269.67340993773422</v>
      </c>
      <c r="U157" s="16">
        <f>IF(ISNA(VLOOKUP(A157,'Données projet'!$A$35:$I$55,3,0)),0,VLOOKUP(A157,'Données projet'!$A$35:$I$55,3,0))</f>
        <v>13</v>
      </c>
      <c r="V157" s="16">
        <f>IF(ISNA(VLOOKUP(A157,'Données projet'!$A$35:$I$55,4,0)),0,VLOOKUP(A157,'Données projet'!$A$35:$I$55,4,0))</f>
        <v>55.13</v>
      </c>
      <c r="W157" s="17">
        <f>IF(ISNA(VLOOKUP(A157,'Données projet'!$A$35:$I$55,5,0)),0%,VLOOKUP(A157,'Données projet'!$A$35:$I$55,5,0)*VLOOKUP('Données projet'!$B$9,Paramètres!$A$1:$I$89,7,0))</f>
        <v>0.30099999999999999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72.525129289569833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72.525129289569833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2.8421709430404007E-13</v>
      </c>
      <c r="AJ157" s="14">
        <f>AI157*VLOOKUP('Données projet'!$B$10,Paramètres!$A$1:$I$89,3,0)*VLOOKUP('Données projet'!$B$10,Paramètres!$A$1:$I$89,5,0)</f>
        <v>2.7046098693972454E-13</v>
      </c>
      <c r="AK157" s="14">
        <f t="shared" si="164"/>
        <v>3.6187594451142911E-12</v>
      </c>
      <c r="AL157" s="22">
        <f t="shared" si="165"/>
        <v>6.7737255858274096E-12</v>
      </c>
      <c r="AM157" s="62">
        <f t="shared" si="113"/>
        <v>293.33333333334008</v>
      </c>
      <c r="AN157" s="62">
        <f ca="1">AVERAGE(OFFSET($AM$3,0,0,'Données projet'!$E$10+1,1))-AVERAGE(OFFSET($H$3,0,0,'Données projet'!$E$10+1,1))</f>
        <v>444.81608506581125</v>
      </c>
      <c r="AO157" s="62">
        <f t="shared" si="144"/>
        <v>306.75289431725565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90.848844526538528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90.848844526538528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>
        <f>VLOOKUP(A157,'Données projet'!$A$87:$I$107,2,0)</f>
        <v>490.47</v>
      </c>
      <c r="BB157" s="13">
        <f>VLOOKUP(A157,'Données projet'!$A$87:$I$107,9,0)</f>
        <v>8.3249999999999993</v>
      </c>
      <c r="BC157" s="13">
        <f t="array" ref="BC157">INDEX(BB:BB,MIN(IF(ISNUMBER(BB157:BB353),ROW(BB157:BB353),"")))</f>
        <v>8.3249999999999993</v>
      </c>
      <c r="BD157" s="13">
        <f>IF('Données projet'!$A$88&gt;35,BD156+BC157-BL156,IF(A157&lt;'Données projet'!$A$88,$BA$205^A157,IF(A157='Données projet'!$A$88,'Données projet'!$B$88,BD156+BC157-BL156)))</f>
        <v>490.47000000000048</v>
      </c>
      <c r="BE157" s="14">
        <f>BD157*VLOOKUP('Données projet'!$B$11,Paramètres!$A$1:$I$89,3,0)*VLOOKUP('Données projet'!$B$11,Paramètres!$A$1:$I$89,5,0)</f>
        <v>527.94190800000047</v>
      </c>
      <c r="BF157" s="14">
        <f t="shared" si="167"/>
        <v>117.28140932872228</v>
      </c>
      <c r="BG157" s="22">
        <f t="shared" si="168"/>
        <v>1123.7639443475252</v>
      </c>
      <c r="BH157" s="62">
        <f t="shared" si="116"/>
        <v>1417.0972776808585</v>
      </c>
      <c r="BI157" s="62">
        <f ca="1">AVERAGE(OFFSET($BH$3,0,0,'Données projet'!$E$11+1,1))-AVERAGE(OFFSET($H$3,0,0,'Données projet'!$E$11+1,1))</f>
        <v>683.36974161977764</v>
      </c>
      <c r="BJ157" s="62">
        <f t="shared" si="146"/>
        <v>312.6921234697457</v>
      </c>
      <c r="BK157" s="16">
        <f>IF(ISNA(VLOOKUP(A157,'Données projet'!$A$87:$I$107,3,0)),0,VLOOKUP(A157,'Données projet'!$A$87:$I$107,3,0))</f>
        <v>13</v>
      </c>
      <c r="BL157" s="16">
        <f>IF(ISNA(VLOOKUP(A157,'Données projet'!$A$87:$I$107,4,0)),0,VLOOKUP(A157,'Données projet'!$A$87:$I$107,4,0))</f>
        <v>55.13</v>
      </c>
      <c r="BM157" s="17">
        <f>IF(ISNA(VLOOKUP(A157,'Données projet'!$A$87:$I$107,5,0)),0%,VLOOKUP(A157,'Données projet'!$A$87:$I$107,5,0)*VLOOKUP('Données projet'!$B$11,Paramètres!$A$1:$I$89,7,0))</f>
        <v>0.30099999999999999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86.279895189315809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86.279895189315809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>
        <f>VLOOKUP(A157,'Données projet'!$A$113:$I$133,2,0)</f>
        <v>490.47</v>
      </c>
      <c r="BW157" s="13">
        <f>VLOOKUP(A157,'Données projet'!$A$113:$I$133,9,0)</f>
        <v>8.3249999999999993</v>
      </c>
      <c r="BX157" s="13">
        <f t="array" ref="BX157">INDEX(BW:BW,MIN(IF(ISNUMBER(BW157:BW353),ROW(BW157:BW353),"")))</f>
        <v>8.3249999999999993</v>
      </c>
      <c r="BY157" s="13">
        <f>IF('Données projet'!$A$114&gt;35,BY156+BX157-CG156,IF(A157&lt;'Données projet'!$A$114,$BV$205^A157,IF(A157='Données projet'!$A$114,'Données projet'!$B$114,BY156+BX157-CG156)))</f>
        <v>490.47000000000048</v>
      </c>
      <c r="BZ157" s="14">
        <f>BY157*VLOOKUP('Données projet'!$B$12,Paramètres!$A$1:$I$89,3,0)*VLOOKUP('Données projet'!$B$12,Paramètres!$A$1:$I$89,5,0)</f>
        <v>474.38258400000052</v>
      </c>
      <c r="CA157" s="14">
        <f t="shared" si="170"/>
        <v>106.70368459693037</v>
      </c>
      <c r="CB157" s="22">
        <f t="shared" si="171"/>
        <v>1012.0585844729879</v>
      </c>
      <c r="CC157" s="62">
        <f t="shared" si="119"/>
        <v>1305.3919178063213</v>
      </c>
      <c r="CD157" s="62">
        <f ca="1">AVERAGE(OFFSET($CC$3,0,0,'Données projet'!$E$12+1,1))-AVERAGE(OFFSET($H$3,0,0,'Données projet'!$E$12+1,1))</f>
        <v>618.83149423524605</v>
      </c>
      <c r="CE157" s="62">
        <f t="shared" si="148"/>
        <v>285.33582535802435</v>
      </c>
      <c r="CF157" s="16">
        <f>IF(ISNA(VLOOKUP(A157,'Données projet'!$A$113:$I$133,3,0)),0,VLOOKUP(A157,'Données projet'!$A$113:$I$133,3,0))</f>
        <v>13</v>
      </c>
      <c r="CG157" s="16">
        <f>IF(ISNA(VLOOKUP(A157,'Données projet'!$A$113:$I$133,4,0)),0,VLOOKUP(A157,'Données projet'!$A$113:$I$133,4,0))</f>
        <v>55.13</v>
      </c>
      <c r="CH157" s="17">
        <f>IF(ISNA(VLOOKUP(A157,'Données projet'!$A$113:$I$133,5,0)),0%,VLOOKUP(A157,'Données projet'!$A$113:$I$133,5,0)*VLOOKUP('Données projet'!$B$12,Paramètres!$A$1:$I$89,7,0))</f>
        <v>0.30099999999999999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77.526862344022916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77.526862344022916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354.24684313982857</v>
      </c>
      <c r="CZ157" s="62">
        <f t="shared" si="150"/>
        <v>322.65043486962185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38.539284682548811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38.539284682548811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8.4429999999999943</v>
      </c>
      <c r="N158" s="14">
        <f>IF('Données projet'!$A$36&gt;35,N157+M158-V157,IF(A158&lt;'Données projet'!$A$36,$K$205^A158,IF(A158='Données projet'!$A$36,'Données projet'!$B$36,N157+M158-V157)))</f>
        <v>443.78300000000047</v>
      </c>
      <c r="O158" s="14">
        <f>N158*VLOOKUP('Données projet'!$B$9,Paramètres!$A$1:$I$89,3,0)*VLOOKUP('Données projet'!$B$9,Paramètres!$A$1:$I$89,5,0)</f>
        <v>401.53485840000047</v>
      </c>
      <c r="P158" s="14">
        <f t="shared" si="141"/>
        <v>92.087764815279797</v>
      </c>
      <c r="Q158" s="22">
        <f t="shared" si="162"/>
        <v>859.72606876661303</v>
      </c>
      <c r="R158" s="62">
        <f t="shared" si="109"/>
        <v>1153.0594020999463</v>
      </c>
      <c r="S158" s="62">
        <f ca="1">AVERAGE(OFFSET($R$3,0,0,'Données projet'!$E$9+1,1))-AVERAGE(OFFSET($H$3,0,0,'Données projet'!$E$9+1,1))</f>
        <v>581.88778927327667</v>
      </c>
      <c r="T158" s="62">
        <f t="shared" si="142"/>
        <v>269.67340993773422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71.102955740162301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71.102955740162301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2.8421709430404007E-13</v>
      </c>
      <c r="AJ158" s="14">
        <f>AI158*VLOOKUP('Données projet'!$B$10,Paramètres!$A$1:$I$89,3,0)*VLOOKUP('Données projet'!$B$10,Paramètres!$A$1:$I$89,5,0)</f>
        <v>2.7046098693972454E-13</v>
      </c>
      <c r="AK158" s="14">
        <f t="shared" si="164"/>
        <v>3.6187594451142911E-12</v>
      </c>
      <c r="AL158" s="22">
        <f t="shared" si="165"/>
        <v>6.7737255858274096E-12</v>
      </c>
      <c r="AM158" s="62">
        <f t="shared" si="113"/>
        <v>293.33333333334008</v>
      </c>
      <c r="AN158" s="62">
        <f ca="1">AVERAGE(OFFSET($AM$3,0,0,'Données projet'!$E$10+1,1))-AVERAGE(OFFSET($H$3,0,0,'Données projet'!$E$10+1,1))</f>
        <v>444.81608506581125</v>
      </c>
      <c r="AO158" s="62">
        <f t="shared" si="144"/>
        <v>306.75289431725565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89.06735409769675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89.06735409769675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8.4429999999999943</v>
      </c>
      <c r="BD158" s="13">
        <f>IF('Données projet'!$A$88&gt;35,BD157+BC158-BL157,IF(A158&lt;'Données projet'!$A$88,$BA$205^A158,IF(A158='Données projet'!$A$88,'Données projet'!$B$88,BD157+BC158-BL157)))</f>
        <v>443.78300000000047</v>
      </c>
      <c r="BE158" s="14">
        <f>BD158*VLOOKUP('Données projet'!$B$11,Paramètres!$A$1:$I$89,3,0)*VLOOKUP('Données projet'!$B$11,Paramètres!$A$1:$I$89,5,0)</f>
        <v>477.68802120000049</v>
      </c>
      <c r="BF158" s="14">
        <f t="shared" si="167"/>
        <v>107.36037337904681</v>
      </c>
      <c r="BG158" s="22">
        <f t="shared" si="168"/>
        <v>1018.9592872251741</v>
      </c>
      <c r="BH158" s="62">
        <f t="shared" si="116"/>
        <v>1312.2926205585075</v>
      </c>
      <c r="BI158" s="62">
        <f ca="1">AVERAGE(OFFSET($BH$3,0,0,'Données projet'!$E$11+1,1))-AVERAGE(OFFSET($H$3,0,0,'Données projet'!$E$11+1,1))</f>
        <v>683.36974161977764</v>
      </c>
      <c r="BJ158" s="62">
        <f t="shared" si="146"/>
        <v>312.6921234697457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84.58799907019305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84.58799907019305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8.4429999999999943</v>
      </c>
      <c r="BY158" s="13">
        <f>IF('Données projet'!$A$114&gt;35,BY157+BX158-CG157,IF(A158&lt;'Données projet'!$A$114,$BV$205^A158,IF(A158='Données projet'!$A$114,'Données projet'!$B$114,BY157+BX158-CG157)))</f>
        <v>443.78300000000047</v>
      </c>
      <c r="BZ158" s="14">
        <f>BY158*VLOOKUP('Données projet'!$B$12,Paramètres!$A$1:$I$89,3,0)*VLOOKUP('Données projet'!$B$12,Paramètres!$A$1:$I$89,5,0)</f>
        <v>429.22691760000049</v>
      </c>
      <c r="CA158" s="14">
        <f t="shared" si="170"/>
        <v>97.677436558915673</v>
      </c>
      <c r="CB158" s="22">
        <f t="shared" si="171"/>
        <v>917.69175016011229</v>
      </c>
      <c r="CC158" s="62">
        <f t="shared" si="119"/>
        <v>1211.0250834934457</v>
      </c>
      <c r="CD158" s="62">
        <f ca="1">AVERAGE(OFFSET($CC$3,0,0,'Données projet'!$E$12+1,1))-AVERAGE(OFFSET($H$3,0,0,'Données projet'!$E$12+1,1))</f>
        <v>618.83149423524605</v>
      </c>
      <c r="CE158" s="62">
        <f t="shared" si="148"/>
        <v>285.33582535802435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76.006607860173474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76.006607860173474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354.24684313982857</v>
      </c>
      <c r="CZ158" s="62">
        <f t="shared" si="150"/>
        <v>322.65043486962185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37.783552816566598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37.783552816566598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8.4429999999999943</v>
      </c>
      <c r="N159" s="14">
        <f>IF('Données projet'!$A$36&gt;35,N158+M159-V158,IF(A159&lt;'Données projet'!$A$36,$K$205^A159,IF(A159='Données projet'!$A$36,'Données projet'!$B$36,N158+M159-V158)))</f>
        <v>452.22600000000045</v>
      </c>
      <c r="O159" s="14">
        <f>N159*VLOOKUP('Données projet'!$B$9,Paramètres!$A$1:$I$89,3,0)*VLOOKUP('Données projet'!$B$9,Paramètres!$A$1:$I$89,5,0)</f>
        <v>409.1740848000004</v>
      </c>
      <c r="P159" s="14">
        <f t="shared" si="141"/>
        <v>93.634108404325715</v>
      </c>
      <c r="Q159" s="22">
        <f t="shared" si="162"/>
        <v>875.72426983086791</v>
      </c>
      <c r="R159" s="62">
        <f t="shared" si="109"/>
        <v>1169.0576031642013</v>
      </c>
      <c r="S159" s="62">
        <f ca="1">AVERAGE(OFFSET($R$3,0,0,'Données projet'!$E$9+1,1))-AVERAGE(OFFSET($H$3,0,0,'Données projet'!$E$9+1,1))</f>
        <v>581.88778927327667</v>
      </c>
      <c r="T159" s="62">
        <f t="shared" si="142"/>
        <v>269.67340993773422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69.708670146618431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69.708670146618431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2.8421709430404007E-13</v>
      </c>
      <c r="AJ159" s="14">
        <f>AI159*VLOOKUP('Données projet'!$B$10,Paramètres!$A$1:$I$89,3,0)*VLOOKUP('Données projet'!$B$10,Paramètres!$A$1:$I$89,5,0)</f>
        <v>2.7046098693972454E-13</v>
      </c>
      <c r="AK159" s="14">
        <f t="shared" si="164"/>
        <v>3.6187594451142911E-12</v>
      </c>
      <c r="AL159" s="22">
        <f t="shared" si="165"/>
        <v>6.7737255858274096E-12</v>
      </c>
      <c r="AM159" s="62">
        <f t="shared" si="113"/>
        <v>293.33333333334008</v>
      </c>
      <c r="AN159" s="62">
        <f ca="1">AVERAGE(OFFSET($AM$3,0,0,'Données projet'!$E$10+1,1))-AVERAGE(OFFSET($H$3,0,0,'Données projet'!$E$10+1,1))</f>
        <v>444.81608506581125</v>
      </c>
      <c r="AO159" s="62">
        <f t="shared" si="144"/>
        <v>306.75289431725565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87.320797609562703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87.320797609562703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8.4429999999999943</v>
      </c>
      <c r="BD159" s="13">
        <f>IF('Données projet'!$A$88&gt;35,BD158+BC159-BL158,IF(A159&lt;'Données projet'!$A$88,$BA$205^A159,IF(A159='Données projet'!$A$88,'Données projet'!$B$88,BD158+BC159-BL158)))</f>
        <v>452.22600000000045</v>
      </c>
      <c r="BE159" s="14">
        <f>BD159*VLOOKUP('Données projet'!$B$11,Paramètres!$A$1:$I$89,3,0)*VLOOKUP('Données projet'!$B$11,Paramètres!$A$1:$I$89,5,0)</f>
        <v>486.77606640000045</v>
      </c>
      <c r="BF159" s="14">
        <f t="shared" si="167"/>
        <v>109.16317558002628</v>
      </c>
      <c r="BG159" s="22">
        <f t="shared" si="168"/>
        <v>1037.9275131152133</v>
      </c>
      <c r="BH159" s="62">
        <f t="shared" si="116"/>
        <v>1331.2608464485465</v>
      </c>
      <c r="BI159" s="62">
        <f ca="1">AVERAGE(OFFSET($BH$3,0,0,'Données projet'!$E$11+1,1))-AVERAGE(OFFSET($H$3,0,0,'Données projet'!$E$11+1,1))</f>
        <v>683.36974161977764</v>
      </c>
      <c r="BJ159" s="62">
        <f t="shared" si="146"/>
        <v>312.6921234697457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82.929280002011552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82.929280002011552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8.4429999999999943</v>
      </c>
      <c r="BY159" s="13">
        <f>IF('Données projet'!$A$114&gt;35,BY158+BX159-CG158,IF(A159&lt;'Données projet'!$A$114,$BV$205^A159,IF(A159='Données projet'!$A$114,'Données projet'!$B$114,BY158+BX159-CG158)))</f>
        <v>452.22600000000045</v>
      </c>
      <c r="BZ159" s="14">
        <f>BY159*VLOOKUP('Données projet'!$B$12,Paramètres!$A$1:$I$89,3,0)*VLOOKUP('Données projet'!$B$12,Paramètres!$A$1:$I$89,5,0)</f>
        <v>437.39298720000045</v>
      </c>
      <c r="CA159" s="14">
        <f t="shared" si="170"/>
        <v>99.317642270502773</v>
      </c>
      <c r="CB159" s="22">
        <f t="shared" si="171"/>
        <v>934.77101299445985</v>
      </c>
      <c r="CC159" s="62">
        <f t="shared" si="119"/>
        <v>1228.1043463277931</v>
      </c>
      <c r="CD159" s="62">
        <f ca="1">AVERAGE(OFFSET($CC$3,0,0,'Données projet'!$E$12+1,1))-AVERAGE(OFFSET($H$3,0,0,'Données projet'!$E$12+1,1))</f>
        <v>618.83149423524605</v>
      </c>
      <c r="CE159" s="62">
        <f t="shared" si="148"/>
        <v>285.33582535802435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74.51616463948865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74.51616463948865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354.24684313982857</v>
      </c>
      <c r="CZ159" s="62">
        <f t="shared" si="150"/>
        <v>322.65043486962185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37.042640391525374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37.042640391525374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8.4429999999999943</v>
      </c>
      <c r="N160" s="14">
        <f>IF('Données projet'!$A$36&gt;35,N159+M160-V159,IF(A160&lt;'Données projet'!$A$36,$K$205^A160,IF(A160='Données projet'!$A$36,'Données projet'!$B$36,N159+M160-V159)))</f>
        <v>460.66900000000044</v>
      </c>
      <c r="O160" s="14">
        <f>N160*VLOOKUP('Données projet'!$B$9,Paramètres!$A$1:$I$89,3,0)*VLOOKUP('Données projet'!$B$9,Paramètres!$A$1:$I$89,5,0)</f>
        <v>416.81331120000038</v>
      </c>
      <c r="P160" s="14">
        <f t="shared" si="141"/>
        <v>95.177094964322421</v>
      </c>
      <c r="Q160" s="22">
        <f t="shared" si="162"/>
        <v>891.71662406952885</v>
      </c>
      <c r="R160" s="62">
        <f t="shared" si="109"/>
        <v>1185.0499574028622</v>
      </c>
      <c r="S160" s="62">
        <f ca="1">AVERAGE(OFFSET($R$3,0,0,'Données projet'!$E$9+1,1))-AVERAGE(OFFSET($H$3,0,0,'Données projet'!$E$9+1,1))</f>
        <v>581.88778927327667</v>
      </c>
      <c r="T160" s="62">
        <f t="shared" si="142"/>
        <v>269.67340993773422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68.341725643133714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68.341725643133714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2.8421709430404007E-13</v>
      </c>
      <c r="AJ160" s="14">
        <f>AI160*VLOOKUP('Données projet'!$B$10,Paramètres!$A$1:$I$89,3,0)*VLOOKUP('Données projet'!$B$10,Paramètres!$A$1:$I$89,5,0)</f>
        <v>2.7046098693972454E-13</v>
      </c>
      <c r="AK160" s="14">
        <f t="shared" si="164"/>
        <v>3.6187594451142911E-12</v>
      </c>
      <c r="AL160" s="22">
        <f t="shared" si="165"/>
        <v>6.7737255858274096E-12</v>
      </c>
      <c r="AM160" s="62">
        <f t="shared" si="113"/>
        <v>293.33333333334008</v>
      </c>
      <c r="AN160" s="62">
        <f ca="1">AVERAGE(OFFSET($AM$3,0,0,'Données projet'!$E$10+1,1))-AVERAGE(OFFSET($H$3,0,0,'Données projet'!$E$10+1,1))</f>
        <v>444.81608506581125</v>
      </c>
      <c r="AO160" s="62">
        <f t="shared" si="144"/>
        <v>306.75289431725565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85.608490028866683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85.608490028866683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8.4429999999999943</v>
      </c>
      <c r="BD160" s="13">
        <f>IF('Données projet'!$A$88&gt;35,BD159+BC160-BL159,IF(A160&lt;'Données projet'!$A$88,$BA$205^A160,IF(A160='Données projet'!$A$88,'Données projet'!$B$88,BD159+BC160-BL159)))</f>
        <v>460.66900000000044</v>
      </c>
      <c r="BE160" s="14">
        <f>BD160*VLOOKUP('Données projet'!$B$11,Paramètres!$A$1:$I$89,3,0)*VLOOKUP('Données projet'!$B$11,Paramètres!$A$1:$I$89,5,0)</f>
        <v>495.86411160000046</v>
      </c>
      <c r="BF160" s="14">
        <f t="shared" si="167"/>
        <v>110.96206399405607</v>
      </c>
      <c r="BG160" s="22">
        <f t="shared" si="168"/>
        <v>1056.8889224929817</v>
      </c>
      <c r="BH160" s="62">
        <f t="shared" si="116"/>
        <v>1350.2222558263149</v>
      </c>
      <c r="BI160" s="62">
        <f ca="1">AVERAGE(OFFSET($BH$3,0,0,'Données projet'!$E$11+1,1))-AVERAGE(OFFSET($H$3,0,0,'Données projet'!$E$11+1,1))</f>
        <v>683.36974161977764</v>
      </c>
      <c r="BJ160" s="62">
        <f t="shared" si="146"/>
        <v>312.6921234697457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81.303087403038361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81.303087403038361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8.4429999999999943</v>
      </c>
      <c r="BY160" s="13">
        <f>IF('Données projet'!$A$114&gt;35,BY159+BX160-CG159,IF(A160&lt;'Données projet'!$A$114,$BV$205^A160,IF(A160='Données projet'!$A$114,'Données projet'!$B$114,BY159+BX160-CG159)))</f>
        <v>460.66900000000044</v>
      </c>
      <c r="BZ160" s="14">
        <f>BY160*VLOOKUP('Données projet'!$B$12,Paramètres!$A$1:$I$89,3,0)*VLOOKUP('Données projet'!$B$12,Paramètres!$A$1:$I$89,5,0)</f>
        <v>445.55905680000046</v>
      </c>
      <c r="CA160" s="14">
        <f t="shared" si="170"/>
        <v>100.95428718340372</v>
      </c>
      <c r="CB160" s="22">
        <f t="shared" si="171"/>
        <v>951.84407410442907</v>
      </c>
      <c r="CC160" s="62">
        <f t="shared" si="119"/>
        <v>1245.1774074377624</v>
      </c>
      <c r="CD160" s="62">
        <f ca="1">AVERAGE(OFFSET($CC$3,0,0,'Données projet'!$E$12+1,1))-AVERAGE(OFFSET($H$3,0,0,'Données projet'!$E$12+1,1))</f>
        <v>618.83149423524605</v>
      </c>
      <c r="CE160" s="62">
        <f t="shared" si="148"/>
        <v>285.33582535802435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73.054948101280857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73.054948101280857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354.24684313982857</v>
      </c>
      <c r="CZ160" s="62">
        <f t="shared" si="150"/>
        <v>322.65043486962185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36.316256807227248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36.316256807227248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8.4429999999999943</v>
      </c>
      <c r="N161" s="14">
        <f>IF('Données projet'!$A$36&gt;35,N160+M161-V160,IF(A161&lt;'Données projet'!$A$36,$K$205^A161,IF(A161='Données projet'!$A$36,'Données projet'!$B$36,N160+M161-V160)))</f>
        <v>469.11200000000042</v>
      </c>
      <c r="O161" s="14">
        <f>N161*VLOOKUP('Données projet'!$B$9,Paramètres!$A$1:$I$89,3,0)*VLOOKUP('Données projet'!$B$9,Paramètres!$A$1:$I$89,5,0)</f>
        <v>424.45253760000043</v>
      </c>
      <c r="P161" s="14">
        <f t="shared" si="141"/>
        <v>96.716793118095666</v>
      </c>
      <c r="Q161" s="22">
        <f t="shared" si="162"/>
        <v>907.70325100068385</v>
      </c>
      <c r="R161" s="62">
        <f t="shared" si="109"/>
        <v>1201.0365843340171</v>
      </c>
      <c r="S161" s="62">
        <f ca="1">AVERAGE(OFFSET($R$3,0,0,'Données projet'!$E$9+1,1))-AVERAGE(OFFSET($H$3,0,0,'Données projet'!$E$9+1,1))</f>
        <v>581.88778927327667</v>
      </c>
      <c r="T161" s="62">
        <f t="shared" si="142"/>
        <v>269.67340993773422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67.001586087608516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67.001586087608516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2.8421709430404007E-13</v>
      </c>
      <c r="AJ161" s="14">
        <f>AI161*VLOOKUP('Données projet'!$B$10,Paramètres!$A$1:$I$89,3,0)*VLOOKUP('Données projet'!$B$10,Paramètres!$A$1:$I$89,5,0)</f>
        <v>2.7046098693972454E-13</v>
      </c>
      <c r="AK161" s="14">
        <f t="shared" si="164"/>
        <v>3.6187594451142911E-12</v>
      </c>
      <c r="AL161" s="22">
        <f t="shared" si="165"/>
        <v>6.7737255858274096E-12</v>
      </c>
      <c r="AM161" s="62">
        <f t="shared" si="113"/>
        <v>293.33333333334008</v>
      </c>
      <c r="AN161" s="62">
        <f ca="1">AVERAGE(OFFSET($AM$3,0,0,'Données projet'!$E$10+1,1))-AVERAGE(OFFSET($H$3,0,0,'Données projet'!$E$10+1,1))</f>
        <v>444.81608506581125</v>
      </c>
      <c r="AO161" s="62">
        <f t="shared" si="144"/>
        <v>306.75289431725565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83.929759755423618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83.929759755423618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8.4429999999999943</v>
      </c>
      <c r="BD161" s="13">
        <f>IF('Données projet'!$A$88&gt;35,BD160+BC161-BL160,IF(A161&lt;'Données projet'!$A$88,$BA$205^A161,IF(A161='Données projet'!$A$88,'Données projet'!$B$88,BD160+BC161-BL160)))</f>
        <v>469.11200000000042</v>
      </c>
      <c r="BE161" s="14">
        <f>BD161*VLOOKUP('Données projet'!$B$11,Paramètres!$A$1:$I$89,3,0)*VLOOKUP('Données projet'!$B$11,Paramètres!$A$1:$I$89,5,0)</f>
        <v>504.95215680000047</v>
      </c>
      <c r="BF161" s="14">
        <f t="shared" si="167"/>
        <v>112.75711862494767</v>
      </c>
      <c r="BG161" s="22">
        <f t="shared" si="168"/>
        <v>1075.8436546984512</v>
      </c>
      <c r="BH161" s="62">
        <f t="shared" si="116"/>
        <v>1369.1769880317845</v>
      </c>
      <c r="BI161" s="62">
        <f ca="1">AVERAGE(OFFSET($BH$3,0,0,'Données projet'!$E$11+1,1))-AVERAGE(OFFSET($H$3,0,0,'Données projet'!$E$11+1,1))</f>
        <v>683.36974161977764</v>
      </c>
      <c r="BJ161" s="62">
        <f t="shared" si="146"/>
        <v>312.6921234697457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79.708783449051495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79.708783449051495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8.4429999999999943</v>
      </c>
      <c r="BY161" s="13">
        <f>IF('Données projet'!$A$114&gt;35,BY160+BX161-CG160,IF(A161&lt;'Données projet'!$A$114,$BV$205^A161,IF(A161='Données projet'!$A$114,'Données projet'!$B$114,BY160+BX161-CG160)))</f>
        <v>469.11200000000042</v>
      </c>
      <c r="BZ161" s="14">
        <f>BY161*VLOOKUP('Données projet'!$B$12,Paramètres!$A$1:$I$89,3,0)*VLOOKUP('Données projet'!$B$12,Paramètres!$A$1:$I$89,5,0)</f>
        <v>453.72512640000042</v>
      </c>
      <c r="CA161" s="14">
        <f t="shared" si="170"/>
        <v>102.5874440858081</v>
      </c>
      <c r="CB161" s="22">
        <f t="shared" si="171"/>
        <v>968.91106026278305</v>
      </c>
      <c r="CC161" s="62">
        <f t="shared" si="119"/>
        <v>1262.2443935961164</v>
      </c>
      <c r="CD161" s="62">
        <f ca="1">AVERAGE(OFFSET($CC$3,0,0,'Données projet'!$E$12+1,1))-AVERAGE(OFFSET($H$3,0,0,'Données projet'!$E$12+1,1))</f>
        <v>618.83149423524605</v>
      </c>
      <c r="CE161" s="62">
        <f t="shared" si="148"/>
        <v>285.33582535802435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71.622385128133232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71.622385128133232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354.24684313982857</v>
      </c>
      <c r="CZ161" s="62">
        <f t="shared" si="150"/>
        <v>322.65043486962185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35.604117161966968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35.604117161966968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8.4429999999999943</v>
      </c>
      <c r="N162" s="14">
        <f>IF('Données projet'!$A$36&gt;35,N161+M162-V161,IF(A162&lt;'Données projet'!$A$36,$K$205^A162,IF(A162='Données projet'!$A$36,'Données projet'!$B$36,N161+M162-V161)))</f>
        <v>477.5550000000004</v>
      </c>
      <c r="O162" s="14">
        <f>N162*VLOOKUP('Données projet'!$B$9,Paramètres!$A$1:$I$89,3,0)*VLOOKUP('Données projet'!$B$9,Paramètres!$A$1:$I$89,5,0)</f>
        <v>432.09176400000035</v>
      </c>
      <c r="P162" s="14">
        <f t="shared" si="141"/>
        <v>98.253268876899142</v>
      </c>
      <c r="Q162" s="22">
        <f t="shared" si="162"/>
        <v>923.68426559393322</v>
      </c>
      <c r="R162" s="62">
        <f t="shared" si="109"/>
        <v>1217.0175989272666</v>
      </c>
      <c r="S162" s="62">
        <f ca="1">AVERAGE(OFFSET($R$3,0,0,'Données projet'!$E$9+1,1))-AVERAGE(OFFSET($H$3,0,0,'Données projet'!$E$9+1,1))</f>
        <v>581.88778927327667</v>
      </c>
      <c r="T162" s="62">
        <f t="shared" si="142"/>
        <v>269.67340993773422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65.687725851362757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65.687725851362757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2.8421709430404007E-13</v>
      </c>
      <c r="AJ162" s="14">
        <f>AI162*VLOOKUP('Données projet'!$B$10,Paramètres!$A$1:$I$89,3,0)*VLOOKUP('Données projet'!$B$10,Paramètres!$A$1:$I$89,5,0)</f>
        <v>2.7046098693972454E-13</v>
      </c>
      <c r="AK162" s="14">
        <f t="shared" si="164"/>
        <v>3.6187594451142911E-12</v>
      </c>
      <c r="AL162" s="22">
        <f t="shared" si="165"/>
        <v>6.7737255858274096E-12</v>
      </c>
      <c r="AM162" s="62">
        <f t="shared" si="113"/>
        <v>293.33333333334008</v>
      </c>
      <c r="AN162" s="62">
        <f ca="1">AVERAGE(OFFSET($AM$3,0,0,'Données projet'!$E$10+1,1))-AVERAGE(OFFSET($H$3,0,0,'Données projet'!$E$10+1,1))</f>
        <v>444.81608506581125</v>
      </c>
      <c r="AO162" s="62">
        <f t="shared" si="144"/>
        <v>306.75289431725565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82.283948358718405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82.283948358718405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8.4429999999999943</v>
      </c>
      <c r="BD162" s="13">
        <f>IF('Données projet'!$A$88&gt;35,BD161+BC162-BL161,IF(A162&lt;'Données projet'!$A$88,$BA$205^A162,IF(A162='Données projet'!$A$88,'Données projet'!$B$88,BD161+BC162-BL161)))</f>
        <v>477.5550000000004</v>
      </c>
      <c r="BE162" s="14">
        <f>BD162*VLOOKUP('Données projet'!$B$11,Paramètres!$A$1:$I$89,3,0)*VLOOKUP('Données projet'!$B$11,Paramètres!$A$1:$I$89,5,0)</f>
        <v>514.04020200000048</v>
      </c>
      <c r="BF162" s="14">
        <f t="shared" si="167"/>
        <v>114.54841643181564</v>
      </c>
      <c r="BG162" s="22">
        <f t="shared" si="168"/>
        <v>1094.7918437687465</v>
      </c>
      <c r="BH162" s="62">
        <f t="shared" si="116"/>
        <v>1388.1251771020798</v>
      </c>
      <c r="BI162" s="62">
        <f ca="1">AVERAGE(OFFSET($BH$3,0,0,'Données projet'!$E$11+1,1))-AVERAGE(OFFSET($H$3,0,0,'Données projet'!$E$11+1,1))</f>
        <v>683.36974161977764</v>
      </c>
      <c r="BJ162" s="62">
        <f t="shared" si="146"/>
        <v>312.6921234697457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78.14574282317291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78.14574282317291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8.4429999999999943</v>
      </c>
      <c r="BY162" s="13">
        <f>IF('Données projet'!$A$114&gt;35,BY161+BX162-CG161,IF(A162&lt;'Données projet'!$A$114,$BV$205^A162,IF(A162='Données projet'!$A$114,'Données projet'!$B$114,BY161+BX162-CG161)))</f>
        <v>477.5550000000004</v>
      </c>
      <c r="BZ162" s="14">
        <f>BY162*VLOOKUP('Données projet'!$B$12,Paramètres!$A$1:$I$89,3,0)*VLOOKUP('Données projet'!$B$12,Paramètres!$A$1:$I$89,5,0)</f>
        <v>461.89119600000043</v>
      </c>
      <c r="CA162" s="14">
        <f t="shared" si="170"/>
        <v>104.21718299581295</v>
      </c>
      <c r="CB162" s="22">
        <f t="shared" si="171"/>
        <v>985.97209341770815</v>
      </c>
      <c r="CC162" s="62">
        <f t="shared" si="119"/>
        <v>1279.3054267510415</v>
      </c>
      <c r="CD162" s="62">
        <f ca="1">AVERAGE(OFFSET($CC$3,0,0,'Données projet'!$E$12+1,1))-AVERAGE(OFFSET($H$3,0,0,'Données projet'!$E$12+1,1))</f>
        <v>618.83149423524605</v>
      </c>
      <c r="CE162" s="62">
        <f t="shared" si="148"/>
        <v>285.33582535802435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70.217913841111894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70.217913841111894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354.24684313982857</v>
      </c>
      <c r="CZ162" s="62">
        <f t="shared" si="150"/>
        <v>322.65043486962185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34.90594214078795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34.90594214078795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8.4429999999999943</v>
      </c>
      <c r="N163" s="14">
        <f>IF('Données projet'!$A$36&gt;35,N162+M163-V162,IF(A163&lt;'Données projet'!$A$36,$K$205^A163,IF(A163='Données projet'!$A$36,'Données projet'!$B$36,N162+M163-V162)))</f>
        <v>485.99800000000039</v>
      </c>
      <c r="O163" s="14">
        <f>N163*VLOOKUP('Données projet'!$B$9,Paramètres!$A$1:$I$89,3,0)*VLOOKUP('Données projet'!$B$9,Paramètres!$A$1:$I$89,5,0)</f>
        <v>439.73099040000034</v>
      </c>
      <c r="P163" s="14">
        <f t="shared" si="141"/>
        <v>99.786585784186272</v>
      </c>
      <c r="Q163" s="22">
        <f t="shared" si="162"/>
        <v>939.65977852079175</v>
      </c>
      <c r="R163" s="62">
        <f t="shared" si="109"/>
        <v>1232.9931118541251</v>
      </c>
      <c r="S163" s="62">
        <f ca="1">AVERAGE(OFFSET($R$3,0,0,'Données projet'!$E$9+1,1))-AVERAGE(OFFSET($H$3,0,0,'Données projet'!$E$9+1,1))</f>
        <v>581.88778927327667</v>
      </c>
      <c r="T163" s="62">
        <f t="shared" si="142"/>
        <v>269.67340993773422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64.399629612974152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64.399629612974152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2.8421709430404007E-13</v>
      </c>
      <c r="AJ163" s="14">
        <f>AI163*VLOOKUP('Données projet'!$B$10,Paramètres!$A$1:$I$89,3,0)*VLOOKUP('Données projet'!$B$10,Paramètres!$A$1:$I$89,5,0)</f>
        <v>2.7046098693972454E-13</v>
      </c>
      <c r="AK163" s="14">
        <f t="shared" si="164"/>
        <v>3.6187594451142911E-12</v>
      </c>
      <c r="AL163" s="22">
        <f t="shared" si="165"/>
        <v>6.7737255858274096E-12</v>
      </c>
      <c r="AM163" s="62">
        <f t="shared" si="113"/>
        <v>293.33333333334008</v>
      </c>
      <c r="AN163" s="62">
        <f ca="1">AVERAGE(OFFSET($AM$3,0,0,'Données projet'!$E$10+1,1))-AVERAGE(OFFSET($H$3,0,0,'Données projet'!$E$10+1,1))</f>
        <v>444.81608506581125</v>
      </c>
      <c r="AO163" s="62">
        <f t="shared" si="144"/>
        <v>306.75289431725565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80.670410319656753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80.670410319656753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8.4429999999999943</v>
      </c>
      <c r="BD163" s="13">
        <f>IF('Données projet'!$A$88&gt;35,BD162+BC163-BL162,IF(A163&lt;'Données projet'!$A$88,$BA$205^A163,IF(A163='Données projet'!$A$88,'Données projet'!$B$88,BD162+BC163-BL162)))</f>
        <v>485.99800000000039</v>
      </c>
      <c r="BE163" s="14">
        <f>BD163*VLOOKUP('Données projet'!$B$11,Paramètres!$A$1:$I$89,3,0)*VLOOKUP('Données projet'!$B$11,Paramètres!$A$1:$I$89,5,0)</f>
        <v>523.12824720000037</v>
      </c>
      <c r="BF163" s="14">
        <f t="shared" si="167"/>
        <v>116.33603149669382</v>
      </c>
      <c r="BG163" s="22">
        <f t="shared" si="168"/>
        <v>1113.7336187300759</v>
      </c>
      <c r="BH163" s="62">
        <f t="shared" si="116"/>
        <v>1407.0669520634092</v>
      </c>
      <c r="BI163" s="62">
        <f ca="1">AVERAGE(OFFSET($BH$3,0,0,'Données projet'!$E$11+1,1))-AVERAGE(OFFSET($H$3,0,0,'Données projet'!$E$11+1,1))</f>
        <v>683.36974161977764</v>
      </c>
      <c r="BJ163" s="62">
        <f t="shared" si="146"/>
        <v>312.6921234697457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76.613352470607168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76.613352470607168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8.4429999999999943</v>
      </c>
      <c r="BY163" s="13">
        <f>IF('Données projet'!$A$114&gt;35,BY162+BX163-CG162,IF(A163&lt;'Données projet'!$A$114,$BV$205^A163,IF(A163='Données projet'!$A$114,'Données projet'!$B$114,BY162+BX163-CG162)))</f>
        <v>485.99800000000039</v>
      </c>
      <c r="BZ163" s="14">
        <f>BY163*VLOOKUP('Données projet'!$B$12,Paramètres!$A$1:$I$89,3,0)*VLOOKUP('Données projet'!$B$12,Paramètres!$A$1:$I$89,5,0)</f>
        <v>470.05726560000039</v>
      </c>
      <c r="CA163" s="14">
        <f t="shared" si="170"/>
        <v>105.843571313921</v>
      </c>
      <c r="CB163" s="22">
        <f t="shared" si="171"/>
        <v>1003.0272909584129</v>
      </c>
      <c r="CC163" s="62">
        <f t="shared" si="119"/>
        <v>1296.3606242917463</v>
      </c>
      <c r="CD163" s="62">
        <f ca="1">AVERAGE(OFFSET($CC$3,0,0,'Données projet'!$E$12+1,1))-AVERAGE(OFFSET($H$3,0,0,'Données projet'!$E$12+1,1))</f>
        <v>618.83149423524605</v>
      </c>
      <c r="CE163" s="62">
        <f t="shared" si="148"/>
        <v>285.33582535802435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68.840983379386145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68.840983379386145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354.24684313982857</v>
      </c>
      <c r="CZ163" s="62">
        <f t="shared" si="150"/>
        <v>322.65043486962185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34.22145790592954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34.22145790592954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8.4429999999999943</v>
      </c>
      <c r="N164" s="14">
        <f>IF('Données projet'!$A$36&gt;35,N163+M164-V163,IF(A164&lt;'Données projet'!$A$36,$K$205^A164,IF(A164='Données projet'!$A$36,'Données projet'!$B$36,N163+M164-V163)))</f>
        <v>494.44100000000037</v>
      </c>
      <c r="O164" s="14">
        <f>N164*VLOOKUP('Données projet'!$B$9,Paramètres!$A$1:$I$89,3,0)*VLOOKUP('Données projet'!$B$9,Paramètres!$A$1:$I$89,5,0)</f>
        <v>447.37021680000026</v>
      </c>
      <c r="P164" s="14">
        <f t="shared" si="141"/>
        <v>101.3168050491076</v>
      </c>
      <c r="Q164" s="22">
        <f t="shared" si="162"/>
        <v>955.62989638719603</v>
      </c>
      <c r="R164" s="62">
        <f t="shared" si="109"/>
        <v>1248.9632297205294</v>
      </c>
      <c r="S164" s="62">
        <f ca="1">AVERAGE(OFFSET($R$3,0,0,'Données projet'!$E$9+1,1))-AVERAGE(OFFSET($H$3,0,0,'Données projet'!$E$9+1,1))</f>
        <v>581.88778927327667</v>
      </c>
      <c r="T164" s="62">
        <f t="shared" si="142"/>
        <v>269.67340993773422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63.136792156159224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63.136792156159224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2.8421709430404007E-13</v>
      </c>
      <c r="AJ164" s="14">
        <f>AI164*VLOOKUP('Données projet'!$B$10,Paramètres!$A$1:$I$89,3,0)*VLOOKUP('Données projet'!$B$10,Paramètres!$A$1:$I$89,5,0)</f>
        <v>2.7046098693972454E-13</v>
      </c>
      <c r="AK164" s="14">
        <f t="shared" si="164"/>
        <v>3.6187594451142911E-12</v>
      </c>
      <c r="AL164" s="22">
        <f t="shared" si="165"/>
        <v>6.7737255858274096E-12</v>
      </c>
      <c r="AM164" s="62">
        <f t="shared" si="113"/>
        <v>293.33333333334008</v>
      </c>
      <c r="AN164" s="62">
        <f ca="1">AVERAGE(OFFSET($AM$3,0,0,'Données projet'!$E$10+1,1))-AVERAGE(OFFSET($H$3,0,0,'Données projet'!$E$10+1,1))</f>
        <v>444.81608506581125</v>
      </c>
      <c r="AO164" s="62">
        <f t="shared" si="144"/>
        <v>306.75289431725565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79.088512777380075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79.088512777380075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8.4429999999999943</v>
      </c>
      <c r="BD164" s="13">
        <f>IF('Données projet'!$A$88&gt;35,BD163+BC164-BL163,IF(A164&lt;'Données projet'!$A$88,$BA$205^A164,IF(A164='Données projet'!$A$88,'Données projet'!$B$88,BD163+BC164-BL163)))</f>
        <v>494.44100000000037</v>
      </c>
      <c r="BE164" s="14">
        <f>BD164*VLOOKUP('Données projet'!$B$11,Paramètres!$A$1:$I$89,3,0)*VLOOKUP('Données projet'!$B$11,Paramètres!$A$1:$I$89,5,0)</f>
        <v>532.21629240000038</v>
      </c>
      <c r="BF164" s="14">
        <f t="shared" si="167"/>
        <v>118.12003518017247</v>
      </c>
      <c r="BG164" s="22">
        <f t="shared" si="168"/>
        <v>1132.6691038688009</v>
      </c>
      <c r="BH164" s="62">
        <f t="shared" si="116"/>
        <v>1426.0024372021342</v>
      </c>
      <c r="BI164" s="62">
        <f ca="1">AVERAGE(OFFSET($BH$3,0,0,'Données projet'!$E$11+1,1))-AVERAGE(OFFSET($H$3,0,0,'Données projet'!$E$11+1,1))</f>
        <v>683.36974161977764</v>
      </c>
      <c r="BJ164" s="62">
        <f t="shared" si="146"/>
        <v>312.6921234697457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75.111011358189415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75.111011358189415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8.4429999999999943</v>
      </c>
      <c r="BY164" s="13">
        <f>IF('Données projet'!$A$114&gt;35,BY163+BX164-CG163,IF(A164&lt;'Données projet'!$A$114,$BV$205^A164,IF(A164='Données projet'!$A$114,'Données projet'!$B$114,BY163+BX164-CG163)))</f>
        <v>494.44100000000037</v>
      </c>
      <c r="BZ164" s="14">
        <f>BY164*VLOOKUP('Données projet'!$B$12,Paramètres!$A$1:$I$89,3,0)*VLOOKUP('Données projet'!$B$12,Paramètres!$A$1:$I$89,5,0)</f>
        <v>478.22333520000041</v>
      </c>
      <c r="CA164" s="14">
        <f t="shared" si="170"/>
        <v>107.46667396464125</v>
      </c>
      <c r="CB164" s="22">
        <f t="shared" si="171"/>
        <v>1020.0767659617509</v>
      </c>
      <c r="CC164" s="62">
        <f t="shared" si="119"/>
        <v>1313.4100992950841</v>
      </c>
      <c r="CD164" s="62">
        <f ca="1">AVERAGE(OFFSET($CC$3,0,0,'Données projet'!$E$12+1,1))-AVERAGE(OFFSET($H$3,0,0,'Données projet'!$E$12+1,1))</f>
        <v>618.83149423524605</v>
      </c>
      <c r="CE164" s="62">
        <f t="shared" si="148"/>
        <v>285.33582535802435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67.491053684170183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67.491053684170183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354.24684313982857</v>
      </c>
      <c r="CZ164" s="62">
        <f t="shared" si="150"/>
        <v>322.65043486962185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33.550395989422547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33.550395989422547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8.4429999999999943</v>
      </c>
      <c r="N165" s="14">
        <f>IF('Données projet'!$A$36&gt;35,N164+M165-V164,IF(A165&lt;'Données projet'!$A$36,$K$205^A165,IF(A165='Données projet'!$A$36,'Données projet'!$B$36,N164+M165-V164)))</f>
        <v>502.88400000000036</v>
      </c>
      <c r="O165" s="14">
        <f>N165*VLOOKUP('Données projet'!$B$9,Paramètres!$A$1:$I$89,3,0)*VLOOKUP('Données projet'!$B$9,Paramètres!$A$1:$I$89,5,0)</f>
        <v>455.00944320000031</v>
      </c>
      <c r="P165" s="14">
        <f t="shared" si="141"/>
        <v>102.84398567063174</v>
      </c>
      <c r="Q165" s="22">
        <f t="shared" si="162"/>
        <v>971.59472194968396</v>
      </c>
      <c r="R165" s="62">
        <f t="shared" si="109"/>
        <v>1264.9280552830173</v>
      </c>
      <c r="S165" s="62">
        <f ca="1">AVERAGE(OFFSET($R$3,0,0,'Données projet'!$E$9+1,1))-AVERAGE(OFFSET($H$3,0,0,'Données projet'!$E$9+1,1))</f>
        <v>581.88778927327667</v>
      </c>
      <c r="T165" s="62">
        <f t="shared" si="142"/>
        <v>269.67340993773422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61.898718171617645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61.898718171617645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2.8421709430404007E-13</v>
      </c>
      <c r="AJ165" s="14">
        <f>AI165*VLOOKUP('Données projet'!$B$10,Paramètres!$A$1:$I$89,3,0)*VLOOKUP('Données projet'!$B$10,Paramètres!$A$1:$I$89,5,0)</f>
        <v>2.7046098693972454E-13</v>
      </c>
      <c r="AK165" s="14">
        <f t="shared" si="164"/>
        <v>3.6187594451142911E-12</v>
      </c>
      <c r="AL165" s="22">
        <f t="shared" si="165"/>
        <v>6.7737255858274096E-12</v>
      </c>
      <c r="AM165" s="62">
        <f t="shared" si="113"/>
        <v>293.33333333334008</v>
      </c>
      <c r="AN165" s="62">
        <f ca="1">AVERAGE(OFFSET($AM$3,0,0,'Données projet'!$E$10+1,1))-AVERAGE(OFFSET($H$3,0,0,'Données projet'!$E$10+1,1))</f>
        <v>444.81608506581125</v>
      </c>
      <c r="AO165" s="62">
        <f t="shared" si="144"/>
        <v>306.75289431725565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77.537635281045212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77.537635281045212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8.4429999999999943</v>
      </c>
      <c r="BD165" s="13">
        <f>IF('Données projet'!$A$88&gt;35,BD164+BC165-BL164,IF(A165&lt;'Données projet'!$A$88,$BA$205^A165,IF(A165='Données projet'!$A$88,'Données projet'!$B$88,BD164+BC165-BL164)))</f>
        <v>502.88400000000036</v>
      </c>
      <c r="BE165" s="14">
        <f>BD165*VLOOKUP('Données projet'!$B$11,Paramètres!$A$1:$I$89,3,0)*VLOOKUP('Données projet'!$B$11,Paramètres!$A$1:$I$89,5,0)</f>
        <v>541.30433760000039</v>
      </c>
      <c r="BF165" s="14">
        <f t="shared" si="167"/>
        <v>119.90049626610461</v>
      </c>
      <c r="BG165" s="22">
        <f t="shared" si="168"/>
        <v>1151.598418983466</v>
      </c>
      <c r="BH165" s="62">
        <f t="shared" si="116"/>
        <v>1444.9317523167992</v>
      </c>
      <c r="BI165" s="62">
        <f ca="1">AVERAGE(OFFSET($BH$3,0,0,'Données projet'!$E$11+1,1))-AVERAGE(OFFSET($H$3,0,0,'Données projet'!$E$11+1,1))</f>
        <v>683.36974161977764</v>
      </c>
      <c r="BJ165" s="62">
        <f t="shared" si="146"/>
        <v>312.6921234697457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73.638130238648571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73.638130238648571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8.4429999999999943</v>
      </c>
      <c r="BY165" s="13">
        <f>IF('Données projet'!$A$114&gt;35,BY164+BX165-CG164,IF(A165&lt;'Données projet'!$A$114,$BV$205^A165,IF(A165='Données projet'!$A$114,'Données projet'!$B$114,BY164+BX165-CG164)))</f>
        <v>502.88400000000036</v>
      </c>
      <c r="BZ165" s="14">
        <f>BY165*VLOOKUP('Données projet'!$B$12,Paramètres!$A$1:$I$89,3,0)*VLOOKUP('Données projet'!$B$12,Paramètres!$A$1:$I$89,5,0)</f>
        <v>486.38940480000036</v>
      </c>
      <c r="CA165" s="14">
        <f t="shared" si="170"/>
        <v>109.08655352814421</v>
      </c>
      <c r="CB165" s="22">
        <f t="shared" si="171"/>
        <v>1037.1206274215183</v>
      </c>
      <c r="CC165" s="62">
        <f t="shared" si="119"/>
        <v>1330.4539607548516</v>
      </c>
      <c r="CD165" s="62">
        <f ca="1">AVERAGE(OFFSET($CC$3,0,0,'Données projet'!$E$12+1,1))-AVERAGE(OFFSET($H$3,0,0,'Données projet'!$E$12+1,1))</f>
        <v>618.83149423524605</v>
      </c>
      <c r="CE165" s="62">
        <f t="shared" si="148"/>
        <v>285.33582535802435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66.167595286901602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66.167595286901602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354.24684313982857</v>
      </c>
      <c r="CZ165" s="62">
        <f t="shared" si="150"/>
        <v>322.65043486962185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32.892493187790897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32.892493187790897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8.4429999999999943</v>
      </c>
      <c r="N166" s="14">
        <f>IF('Données projet'!$A$36&gt;35,N165+M166-V165,IF(A166&lt;'Données projet'!$A$36,$K$205^A166,IF(A166='Données projet'!$A$36,'Données projet'!$B$36,N165+M166-V165)))</f>
        <v>511.32700000000034</v>
      </c>
      <c r="O166" s="14">
        <f>N166*VLOOKUP('Données projet'!$B$9,Paramètres!$A$1:$I$89,3,0)*VLOOKUP('Données projet'!$B$9,Paramètres!$A$1:$I$89,5,0)</f>
        <v>462.64866960000029</v>
      </c>
      <c r="P166" s="14">
        <f t="shared" si="141"/>
        <v>104.36818455309495</v>
      </c>
      <c r="Q166" s="22">
        <f t="shared" si="162"/>
        <v>987.5543543166408</v>
      </c>
      <c r="R166" s="62">
        <f t="shared" si="109"/>
        <v>1280.8876876499742</v>
      </c>
      <c r="S166" s="62">
        <f ca="1">AVERAGE(OFFSET($R$3,0,0,'Données projet'!$E$9+1,1))-AVERAGE(OFFSET($H$3,0,0,'Données projet'!$E$9+1,1))</f>
        <v>581.88778927327667</v>
      </c>
      <c r="T166" s="62">
        <f t="shared" si="142"/>
        <v>269.67340993773422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60.684922062762361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60.684922062762361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2.8421709430404007E-13</v>
      </c>
      <c r="AJ166" s="14">
        <f>AI166*VLOOKUP('Données projet'!$B$10,Paramètres!$A$1:$I$89,3,0)*VLOOKUP('Données projet'!$B$10,Paramètres!$A$1:$I$89,5,0)</f>
        <v>2.7046098693972454E-13</v>
      </c>
      <c r="AK166" s="14">
        <f t="shared" si="164"/>
        <v>3.6187594451142911E-12</v>
      </c>
      <c r="AL166" s="22">
        <f t="shared" si="165"/>
        <v>6.7737255858274096E-12</v>
      </c>
      <c r="AM166" s="62">
        <f t="shared" si="113"/>
        <v>293.33333333334008</v>
      </c>
      <c r="AN166" s="62">
        <f ca="1">AVERAGE(OFFSET($AM$3,0,0,'Données projet'!$E$10+1,1))-AVERAGE(OFFSET($H$3,0,0,'Données projet'!$E$10+1,1))</f>
        <v>444.81608506581125</v>
      </c>
      <c r="AO166" s="62">
        <f t="shared" si="144"/>
        <v>306.75289431725565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76.017169546471607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76.017169546471607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8.4429999999999943</v>
      </c>
      <c r="BD166" s="13">
        <f>IF('Données projet'!$A$88&gt;35,BD165+BC166-BL165,IF(A166&lt;'Données projet'!$A$88,$BA$205^A166,IF(A166='Données projet'!$A$88,'Données projet'!$B$88,BD165+BC166-BL165)))</f>
        <v>511.32700000000034</v>
      </c>
      <c r="BE166" s="14">
        <f>BD166*VLOOKUP('Données projet'!$B$11,Paramètres!$A$1:$I$89,3,0)*VLOOKUP('Données projet'!$B$11,Paramètres!$A$1:$I$89,5,0)</f>
        <v>550.39238280000041</v>
      </c>
      <c r="BF166" s="14">
        <f t="shared" si="167"/>
        <v>121.67748109631978</v>
      </c>
      <c r="BG166" s="22">
        <f t="shared" si="168"/>
        <v>1170.5216796194243</v>
      </c>
      <c r="BH166" s="62">
        <f t="shared" si="116"/>
        <v>1463.8550129527575</v>
      </c>
      <c r="BI166" s="62">
        <f ca="1">AVERAGE(OFFSET($BH$3,0,0,'Données projet'!$E$11+1,1))-AVERAGE(OFFSET($H$3,0,0,'Données projet'!$E$11+1,1))</f>
        <v>683.36974161977764</v>
      </c>
      <c r="BJ166" s="62">
        <f t="shared" si="146"/>
        <v>312.6921234697457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72.194131419493146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72.194131419493146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8.4429999999999943</v>
      </c>
      <c r="BY166" s="13">
        <f>IF('Données projet'!$A$114&gt;35,BY165+BX166-CG165,IF(A166&lt;'Données projet'!$A$114,$BV$205^A166,IF(A166='Données projet'!$A$114,'Données projet'!$B$114,BY165+BX166-CG165)))</f>
        <v>511.32700000000034</v>
      </c>
      <c r="BZ166" s="14">
        <f>BY166*VLOOKUP('Données projet'!$B$12,Paramètres!$A$1:$I$89,3,0)*VLOOKUP('Données projet'!$B$12,Paramètres!$A$1:$I$89,5,0)</f>
        <v>494.55547440000038</v>
      </c>
      <c r="CA166" s="14">
        <f t="shared" si="170"/>
        <v>110.7032703628248</v>
      </c>
      <c r="CB166" s="22">
        <f t="shared" si="171"/>
        <v>1054.1589804619205</v>
      </c>
      <c r="CC166" s="62">
        <f t="shared" si="119"/>
        <v>1347.4923137952537</v>
      </c>
      <c r="CD166" s="62">
        <f ca="1">AVERAGE(OFFSET($CC$3,0,0,'Données projet'!$E$12+1,1))-AVERAGE(OFFSET($H$3,0,0,'Données projet'!$E$12+1,1))</f>
        <v>618.83149423524605</v>
      </c>
      <c r="CE166" s="62">
        <f t="shared" si="148"/>
        <v>285.33582535802435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64.870089101573541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64.870089101573541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354.24684313982857</v>
      </c>
      <c r="CZ166" s="62">
        <f t="shared" si="150"/>
        <v>322.65043486962185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32.24749145881816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32.24749145881816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>
        <f>VLOOKUP(A167,'Données projet'!$A$35:$I$55,2,0)</f>
        <v>519.77</v>
      </c>
      <c r="L167" s="13">
        <f>VLOOKUP(A167,'Données projet'!$A$35:$I$55,9,0)</f>
        <v>8.4429999999999943</v>
      </c>
      <c r="M167" s="13">
        <f t="array" ref="M167">INDEX(L:L,MIN(IF(ISNUMBER(L167:L363),ROW(L167:L363),"")))</f>
        <v>8.4429999999999943</v>
      </c>
      <c r="N167" s="14">
        <f>IF('Données projet'!$A$36&gt;35,N166+M167-V166,IF(A167&lt;'Données projet'!$A$36,$K$205^A167,IF(A167='Données projet'!$A$36,'Données projet'!$B$36,N166+M167-V166)))</f>
        <v>519.77000000000032</v>
      </c>
      <c r="O167" s="14">
        <f>N167*VLOOKUP('Données projet'!$B$9,Paramètres!$A$1:$I$89,3,0)*VLOOKUP('Données projet'!$B$9,Paramètres!$A$1:$I$89,5,0)</f>
        <v>470.28789600000022</v>
      </c>
      <c r="P167" s="14">
        <f t="shared" si="141"/>
        <v>105.88945661390174</v>
      </c>
      <c r="Q167" s="22">
        <f t="shared" si="162"/>
        <v>1003.5088891358791</v>
      </c>
      <c r="R167" s="62">
        <f t="shared" si="109"/>
        <v>1296.8422224692124</v>
      </c>
      <c r="S167" s="62">
        <f ca="1">AVERAGE(OFFSET($R$3,0,0,'Données projet'!$E$9+1,1))-AVERAGE(OFFSET($H$3,0,0,'Données projet'!$E$9+1,1))</f>
        <v>581.88778927327667</v>
      </c>
      <c r="T167" s="62">
        <f t="shared" si="142"/>
        <v>269.67340993773422</v>
      </c>
      <c r="U167" s="16">
        <f>IF(ISNA(VLOOKUP(A167,'Données projet'!$A$35:$I$55,3,0)),0,VLOOKUP(A167,'Données projet'!$A$35:$I$55,3,0))</f>
        <v>14</v>
      </c>
      <c r="V167" s="16">
        <f>IF(ISNA(VLOOKUP(A167,'Données projet'!$A$35:$I$55,4,0)),0,VLOOKUP(A167,'Données projet'!$A$35:$I$55,4,0))</f>
        <v>59.58</v>
      </c>
      <c r="W167" s="17">
        <f>IF(ISNA(VLOOKUP(A167,'Données projet'!$A$35:$I$55,5,0)),0%,VLOOKUP(A167,'Données projet'!$A$35:$I$55,5,0)*VLOOKUP('Données projet'!$B$9,Paramètres!$A$1:$I$89,7,0))</f>
        <v>0.34400000000000003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79.995153514382864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79.995153514382864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2.8421709430404007E-13</v>
      </c>
      <c r="AJ167" s="14">
        <f>AI167*VLOOKUP('Données projet'!$B$10,Paramètres!$A$1:$I$89,3,0)*VLOOKUP('Données projet'!$B$10,Paramètres!$A$1:$I$89,5,0)</f>
        <v>2.7046098693972454E-13</v>
      </c>
      <c r="AK167" s="14">
        <f t="shared" si="164"/>
        <v>3.6187594451142911E-12</v>
      </c>
      <c r="AL167" s="22">
        <f t="shared" si="165"/>
        <v>6.7737255858274096E-12</v>
      </c>
      <c r="AM167" s="62">
        <f t="shared" si="113"/>
        <v>293.33333333334008</v>
      </c>
      <c r="AN167" s="62">
        <f ca="1">AVERAGE(OFFSET($AM$3,0,0,'Données projet'!$E$10+1,1))-AVERAGE(OFFSET($H$3,0,0,'Données projet'!$E$10+1,1))</f>
        <v>444.81608506581125</v>
      </c>
      <c r="AO167" s="62">
        <f t="shared" si="144"/>
        <v>306.75289431725565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74.526519217560477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74.526519217560477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>
        <f>VLOOKUP(A167,'Données projet'!$A$87:$I$107,2,0)</f>
        <v>519.77</v>
      </c>
      <c r="BB167" s="13">
        <f>VLOOKUP(A167,'Données projet'!$A$87:$I$107,9,0)</f>
        <v>8.4429999999999943</v>
      </c>
      <c r="BC167" s="13">
        <f t="array" ref="BC167">INDEX(BB:BB,MIN(IF(ISNUMBER(BB167:BB363),ROW(BB167:BB363),"")))</f>
        <v>8.4429999999999943</v>
      </c>
      <c r="BD167" s="13">
        <f>IF('Données projet'!$A$88&gt;35,BD166+BC167-BL166,IF(A167&lt;'Données projet'!$A$88,$BA$205^A167,IF(A167='Données projet'!$A$88,'Données projet'!$B$88,BD166+BC167-BL166)))</f>
        <v>519.77000000000032</v>
      </c>
      <c r="BE167" s="14">
        <f>BD167*VLOOKUP('Données projet'!$B$11,Paramètres!$A$1:$I$89,3,0)*VLOOKUP('Données projet'!$B$11,Paramètres!$A$1:$I$89,5,0)</f>
        <v>559.4804280000003</v>
      </c>
      <c r="BF167" s="14">
        <f t="shared" si="167"/>
        <v>123.45105369618628</v>
      </c>
      <c r="BG167" s="22">
        <f t="shared" si="168"/>
        <v>1189.4389972875249</v>
      </c>
      <c r="BH167" s="62">
        <f t="shared" si="116"/>
        <v>1482.7723306208582</v>
      </c>
      <c r="BI167" s="62">
        <f ca="1">AVERAGE(OFFSET($BH$3,0,0,'Données projet'!$E$11+1,1))-AVERAGE(OFFSET($H$3,0,0,'Données projet'!$E$11+1,1))</f>
        <v>683.36974161977764</v>
      </c>
      <c r="BJ167" s="62">
        <f t="shared" si="146"/>
        <v>312.6921234697457</v>
      </c>
      <c r="BK167" s="16">
        <f>IF(ISNA(VLOOKUP(A167,'Données projet'!$A$87:$I$107,3,0)),0,VLOOKUP(A167,'Données projet'!$A$87:$I$107,3,0))</f>
        <v>14</v>
      </c>
      <c r="BL167" s="16">
        <f>IF(ISNA(VLOOKUP(A167,'Données projet'!$A$87:$I$107,4,0)),0,VLOOKUP(A167,'Données projet'!$A$87:$I$107,4,0))</f>
        <v>59.58</v>
      </c>
      <c r="BM167" s="17">
        <f>IF(ISNA(VLOOKUP(A167,'Données projet'!$A$87:$I$107,5,0)),0%,VLOOKUP(A167,'Données projet'!$A$87:$I$107,5,0)*VLOOKUP('Données projet'!$B$11,Paramètres!$A$1:$I$89,7,0))</f>
        <v>0.34400000000000003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95.166648146420982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95.166648146420982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>
        <f>VLOOKUP(A167,'Données projet'!$A$113:$I$133,2,0)</f>
        <v>519.77</v>
      </c>
      <c r="BW167" s="13">
        <f>VLOOKUP(A167,'Données projet'!$A$113:$I$133,9,0)</f>
        <v>8.4429999999999943</v>
      </c>
      <c r="BX167" s="13">
        <f t="array" ref="BX167">INDEX(BW:BW,MIN(IF(ISNUMBER(BW167:BW363),ROW(BW167:BW363),"")))</f>
        <v>8.4429999999999943</v>
      </c>
      <c r="BY167" s="13">
        <f>IF('Données projet'!$A$114&gt;35,BY166+BX167-CG166,IF(A167&lt;'Données projet'!$A$114,$BV$205^A167,IF(A167='Données projet'!$A$114,'Données projet'!$B$114,BY166+BX167-CG166)))</f>
        <v>519.77000000000032</v>
      </c>
      <c r="BZ167" s="14">
        <f>BY167*VLOOKUP('Données projet'!$B$12,Paramètres!$A$1:$I$89,3,0)*VLOOKUP('Données projet'!$B$12,Paramètres!$A$1:$I$89,5,0)</f>
        <v>502.72154400000034</v>
      </c>
      <c r="CA167" s="14">
        <f t="shared" si="170"/>
        <v>112.31688271954096</v>
      </c>
      <c r="CB167" s="22">
        <f t="shared" si="171"/>
        <v>1071.1919265365345</v>
      </c>
      <c r="CC167" s="62">
        <f t="shared" si="119"/>
        <v>1364.5252598698678</v>
      </c>
      <c r="CD167" s="62">
        <f ca="1">AVERAGE(OFFSET($CC$3,0,0,'Données projet'!$E$12+1,1))-AVERAGE(OFFSET($H$3,0,0,'Données projet'!$E$12+1,1))</f>
        <v>618.83149423524605</v>
      </c>
      <c r="CE167" s="62">
        <f t="shared" si="148"/>
        <v>285.33582535802435</v>
      </c>
      <c r="CF167" s="16">
        <f>IF(ISNA(VLOOKUP(A167,'Données projet'!$A$113:$I$133,3,0)),0,VLOOKUP(A167,'Données projet'!$A$113:$I$133,3,0))</f>
        <v>14</v>
      </c>
      <c r="CG167" s="16">
        <f>IF(ISNA(VLOOKUP(A167,'Données projet'!$A$113:$I$133,4,0)),0,VLOOKUP(A167,'Données projet'!$A$113:$I$133,4,0))</f>
        <v>59.58</v>
      </c>
      <c r="CH167" s="17">
        <f>IF(ISNA(VLOOKUP(A167,'Données projet'!$A$113:$I$133,5,0)),0%,VLOOKUP(A167,'Données projet'!$A$113:$I$133,5,0)*VLOOKUP('Données projet'!$B$12,Paramètres!$A$1:$I$89,7,0))</f>
        <v>0.34400000000000003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85.512060653305809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85.512060653305809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354.24684313982857</v>
      </c>
      <c r="CZ167" s="62">
        <f t="shared" si="150"/>
        <v>322.65043486962185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31.615137820338372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31.615137820338372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8.5459999999999976</v>
      </c>
      <c r="N168" s="14">
        <f>IF('Données projet'!$A$36&gt;35,N167+M168-V167,IF(A168&lt;'Données projet'!$A$36,$K$205^A168,IF(A168='Données projet'!$A$36,'Données projet'!$B$36,N167+M168-V167)))</f>
        <v>468.73600000000039</v>
      </c>
      <c r="O168" s="14">
        <f>N168*VLOOKUP('Données projet'!$B$9,Paramètres!$A$1:$I$89,3,0)*VLOOKUP('Données projet'!$B$9,Paramètres!$A$1:$I$89,5,0)</f>
        <v>424.11233280000033</v>
      </c>
      <c r="P168" s="14">
        <f t="shared" si="141"/>
        <v>96.648293340367189</v>
      </c>
      <c r="Q168" s="22">
        <f t="shared" si="162"/>
        <v>906.99142386114011</v>
      </c>
      <c r="R168" s="62">
        <f t="shared" si="109"/>
        <v>1200.3247571944735</v>
      </c>
      <c r="S168" s="62">
        <f ca="1">AVERAGE(OFFSET($R$3,0,0,'Données projet'!$E$9+1,1))-AVERAGE(OFFSET($H$3,0,0,'Données projet'!$E$9+1,1))</f>
        <v>581.88778927327667</v>
      </c>
      <c r="T168" s="62">
        <f t="shared" si="142"/>
        <v>269.67340993773422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78.426497346191624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78.426497346191624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2.8421709430404007E-13</v>
      </c>
      <c r="AJ168" s="14">
        <f>AI168*VLOOKUP('Données projet'!$B$10,Paramètres!$A$1:$I$89,3,0)*VLOOKUP('Données projet'!$B$10,Paramètres!$A$1:$I$89,5,0)</f>
        <v>2.7046098693972454E-13</v>
      </c>
      <c r="AK168" s="14">
        <f t="shared" si="164"/>
        <v>3.6187594451142911E-12</v>
      </c>
      <c r="AL168" s="22">
        <f t="shared" si="165"/>
        <v>6.7737255858274096E-12</v>
      </c>
      <c r="AM168" s="62">
        <f t="shared" si="113"/>
        <v>293.33333333334008</v>
      </c>
      <c r="AN168" s="62">
        <f ca="1">AVERAGE(OFFSET($AM$3,0,0,'Données projet'!$E$10+1,1))-AVERAGE(OFFSET($H$3,0,0,'Données projet'!$E$10+1,1))</f>
        <v>444.81608506581125</v>
      </c>
      <c r="AO168" s="62">
        <f t="shared" si="144"/>
        <v>306.75289431725565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73.065099632392361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73.065099632392361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8.5459999999999976</v>
      </c>
      <c r="BD168" s="13">
        <f>IF('Données projet'!$A$88&gt;35,BD167+BC168-BL167,IF(A168&lt;'Données projet'!$A$88,$BA$205^A168,IF(A168='Données projet'!$A$88,'Données projet'!$B$88,BD167+BC168-BL167)))</f>
        <v>468.73600000000039</v>
      </c>
      <c r="BE168" s="14">
        <f>BD168*VLOOKUP('Données projet'!$B$11,Paramètres!$A$1:$I$89,3,0)*VLOOKUP('Données projet'!$B$11,Paramètres!$A$1:$I$89,5,0)</f>
        <v>504.54743040000039</v>
      </c>
      <c r="BF168" s="14">
        <f t="shared" si="167"/>
        <v>112.67725826860105</v>
      </c>
      <c r="BG168" s="22">
        <f t="shared" si="168"/>
        <v>1074.999666097814</v>
      </c>
      <c r="BH168" s="62">
        <f t="shared" si="116"/>
        <v>1368.3329994311473</v>
      </c>
      <c r="BI168" s="62">
        <f ca="1">AVERAGE(OFFSET($BH$3,0,0,'Données projet'!$E$11+1,1))-AVERAGE(OFFSET($H$3,0,0,'Données projet'!$E$11+1,1))</f>
        <v>683.36974161977764</v>
      </c>
      <c r="BJ168" s="62">
        <f t="shared" si="146"/>
        <v>312.6921234697457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93.300488222193479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93.300488222193479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8.5459999999999976</v>
      </c>
      <c r="BY168" s="13">
        <f>IF('Données projet'!$A$114&gt;35,BY167+BX168-CG167,IF(A168&lt;'Données projet'!$A$114,$BV$205^A168,IF(A168='Données projet'!$A$114,'Données projet'!$B$114,BY167+BX168-CG167)))</f>
        <v>468.73600000000039</v>
      </c>
      <c r="BZ168" s="14">
        <f>BY168*VLOOKUP('Données projet'!$B$12,Paramètres!$A$1:$I$89,3,0)*VLOOKUP('Données projet'!$B$12,Paramètres!$A$1:$I$89,5,0)</f>
        <v>453.36145920000041</v>
      </c>
      <c r="CA168" s="14">
        <f t="shared" si="170"/>
        <v>102.51478641291534</v>
      </c>
      <c r="CB168" s="22">
        <f t="shared" si="171"/>
        <v>968.15112777582817</v>
      </c>
      <c r="CC168" s="62">
        <f t="shared" si="119"/>
        <v>1261.4844611091614</v>
      </c>
      <c r="CD168" s="62">
        <f ca="1">AVERAGE(OFFSET($CC$3,0,0,'Données projet'!$E$12+1,1))-AVERAGE(OFFSET($H$3,0,0,'Données projet'!$E$12+1,1))</f>
        <v>618.83149423524605</v>
      </c>
      <c r="CE168" s="62">
        <f t="shared" si="148"/>
        <v>285.33582535802435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83.835221301101384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83.835221301101384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354.24684313982857</v>
      </c>
      <c r="CZ168" s="62">
        <f t="shared" si="150"/>
        <v>322.65043486962185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30.995184251011537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30.995184251011537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8.5459999999999976</v>
      </c>
      <c r="N169" s="14">
        <f>IF('Données projet'!$A$36&gt;35,N168+M169-V168,IF(A169&lt;'Données projet'!$A$36,$K$205^A169,IF(A169='Données projet'!$A$36,'Données projet'!$B$36,N168+M169-V168)))</f>
        <v>477.28200000000038</v>
      </c>
      <c r="O169" s="14">
        <f>N169*VLOOKUP('Données projet'!$B$9,Paramètres!$A$1:$I$89,3,0)*VLOOKUP('Données projet'!$B$9,Paramètres!$A$1:$I$89,5,0)</f>
        <v>431.84475360000033</v>
      </c>
      <c r="P169" s="14">
        <f t="shared" si="141"/>
        <v>98.203637489221336</v>
      </c>
      <c r="Q169" s="22">
        <f t="shared" si="162"/>
        <v>923.16761448039449</v>
      </c>
      <c r="R169" s="62">
        <f t="shared" si="109"/>
        <v>1216.5009478137279</v>
      </c>
      <c r="S169" s="62">
        <f ca="1">AVERAGE(OFFSET($R$3,0,0,'Données projet'!$E$9+1,1))-AVERAGE(OFFSET($H$3,0,0,'Données projet'!$E$9+1,1))</f>
        <v>581.88778927327667</v>
      </c>
      <c r="T169" s="62">
        <f t="shared" si="142"/>
        <v>269.67340993773422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76.888601568672826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76.888601568672826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2.8421709430404007E-13</v>
      </c>
      <c r="AJ169" s="14">
        <f>AI169*VLOOKUP('Données projet'!$B$10,Paramètres!$A$1:$I$89,3,0)*VLOOKUP('Données projet'!$B$10,Paramètres!$A$1:$I$89,5,0)</f>
        <v>2.7046098693972454E-13</v>
      </c>
      <c r="AK169" s="14">
        <f t="shared" si="164"/>
        <v>3.6187594451142911E-12</v>
      </c>
      <c r="AL169" s="22">
        <f t="shared" si="165"/>
        <v>6.7737255858274096E-12</v>
      </c>
      <c r="AM169" s="62">
        <f t="shared" si="113"/>
        <v>293.33333333334008</v>
      </c>
      <c r="AN169" s="62">
        <f ca="1">AVERAGE(OFFSET($AM$3,0,0,'Données projet'!$E$10+1,1))-AVERAGE(OFFSET($H$3,0,0,'Données projet'!$E$10+1,1))</f>
        <v>444.81608506581125</v>
      </c>
      <c r="AO169" s="62">
        <f t="shared" si="144"/>
        <v>306.75289431725565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71.632337593911458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71.632337593911458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8.5459999999999976</v>
      </c>
      <c r="BD169" s="13">
        <f>IF('Données projet'!$A$88&gt;35,BD168+BC169-BL168,IF(A169&lt;'Données projet'!$A$88,$BA$205^A169,IF(A169='Données projet'!$A$88,'Données projet'!$B$88,BD168+BC169-BL168)))</f>
        <v>477.28200000000038</v>
      </c>
      <c r="BE169" s="14">
        <f>BD169*VLOOKUP('Données projet'!$B$11,Paramètres!$A$1:$I$89,3,0)*VLOOKUP('Données projet'!$B$11,Paramètres!$A$1:$I$89,5,0)</f>
        <v>513.74634480000043</v>
      </c>
      <c r="BF169" s="14">
        <f t="shared" si="167"/>
        <v>114.49055375784276</v>
      </c>
      <c r="BG169" s="22">
        <f t="shared" si="168"/>
        <v>1094.1792649882436</v>
      </c>
      <c r="BH169" s="62">
        <f t="shared" si="116"/>
        <v>1387.5125983215769</v>
      </c>
      <c r="BI169" s="62">
        <f ca="1">AVERAGE(OFFSET($BH$3,0,0,'Données projet'!$E$11+1,1))-AVERAGE(OFFSET($H$3,0,0,'Données projet'!$E$11+1,1))</f>
        <v>683.36974161977764</v>
      </c>
      <c r="BJ169" s="62">
        <f t="shared" si="146"/>
        <v>312.6921234697457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91.470922555834917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91.470922555834917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8.5459999999999976</v>
      </c>
      <c r="BY169" s="13">
        <f>IF('Données projet'!$A$114&gt;35,BY168+BX169-CG168,IF(A169&lt;'Données projet'!$A$114,$BV$205^A169,IF(A169='Données projet'!$A$114,'Données projet'!$B$114,BY168+BX169-CG168)))</f>
        <v>477.28200000000038</v>
      </c>
      <c r="BZ169" s="14">
        <f>BY169*VLOOKUP('Données projet'!$B$12,Paramètres!$A$1:$I$89,3,0)*VLOOKUP('Données projet'!$B$12,Paramètres!$A$1:$I$89,5,0)</f>
        <v>461.6271504000004</v>
      </c>
      <c r="CA169" s="14">
        <f t="shared" si="170"/>
        <v>104.16453901285873</v>
      </c>
      <c r="CB169" s="22">
        <f t="shared" si="171"/>
        <v>985.42052572739613</v>
      </c>
      <c r="CC169" s="62">
        <f t="shared" si="119"/>
        <v>1278.7538590607294</v>
      </c>
      <c r="CD169" s="62">
        <f ca="1">AVERAGE(OFFSET($CC$3,0,0,'Données projet'!$E$12+1,1))-AVERAGE(OFFSET($H$3,0,0,'Données projet'!$E$12+1,1))</f>
        <v>618.83149423524605</v>
      </c>
      <c r="CE169" s="62">
        <f t="shared" si="148"/>
        <v>285.33582535802435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82.191263745822667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82.191263745822667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354.24684313982857</v>
      </c>
      <c r="CZ169" s="62">
        <f t="shared" si="150"/>
        <v>322.65043486962185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30.38738759304486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30.38738759304486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8.5459999999999976</v>
      </c>
      <c r="N170" s="14">
        <f>IF('Données projet'!$A$36&gt;35,N169+M170-V169,IF(A170&lt;'Données projet'!$A$36,$K$205^A170,IF(A170='Données projet'!$A$36,'Données projet'!$B$36,N169+M170-V169)))</f>
        <v>485.82800000000037</v>
      </c>
      <c r="O170" s="14">
        <f>N170*VLOOKUP('Données projet'!$B$9,Paramètres!$A$1:$I$89,3,0)*VLOOKUP('Données projet'!$B$9,Paramètres!$A$1:$I$89,5,0)</f>
        <v>439.57717440000033</v>
      </c>
      <c r="P170" s="14">
        <f t="shared" si="141"/>
        <v>99.755743172047673</v>
      </c>
      <c r="Q170" s="22">
        <f t="shared" si="162"/>
        <v>939.33816477131688</v>
      </c>
      <c r="R170" s="62">
        <f t="shared" si="109"/>
        <v>1232.6714981046503</v>
      </c>
      <c r="S170" s="62">
        <f ca="1">AVERAGE(OFFSET($R$3,0,0,'Données projet'!$E$9+1,1))-AVERAGE(OFFSET($H$3,0,0,'Données projet'!$E$9+1,1))</f>
        <v>581.88778927327667</v>
      </c>
      <c r="T170" s="62">
        <f t="shared" si="142"/>
        <v>269.67340993773422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75.380862989327369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75.380862989327369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2.8421709430404007E-13</v>
      </c>
      <c r="AJ170" s="14">
        <f>AI170*VLOOKUP('Données projet'!$B$10,Paramètres!$A$1:$I$89,3,0)*VLOOKUP('Données projet'!$B$10,Paramètres!$A$1:$I$89,5,0)</f>
        <v>2.7046098693972454E-13</v>
      </c>
      <c r="AK170" s="14">
        <f t="shared" si="164"/>
        <v>3.6187594451142911E-12</v>
      </c>
      <c r="AL170" s="22">
        <f t="shared" si="165"/>
        <v>6.7737255858274096E-12</v>
      </c>
      <c r="AM170" s="62">
        <f t="shared" si="113"/>
        <v>293.33333333334008</v>
      </c>
      <c r="AN170" s="62">
        <f ca="1">AVERAGE(OFFSET($AM$3,0,0,'Données projet'!$E$10+1,1))-AVERAGE(OFFSET($H$3,0,0,'Données projet'!$E$10+1,1))</f>
        <v>444.81608506581125</v>
      </c>
      <c r="AO170" s="62">
        <f t="shared" si="144"/>
        <v>306.75289431725565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70.227671145106612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70.227671145106612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8.5459999999999976</v>
      </c>
      <c r="BD170" s="13">
        <f>IF('Données projet'!$A$88&gt;35,BD169+BC170-BL169,IF(A170&lt;'Données projet'!$A$88,$BA$205^A170,IF(A170='Données projet'!$A$88,'Données projet'!$B$88,BD169+BC170-BL169)))</f>
        <v>485.82800000000037</v>
      </c>
      <c r="BE170" s="14">
        <f>BD170*VLOOKUP('Données projet'!$B$11,Paramètres!$A$1:$I$89,3,0)*VLOOKUP('Données projet'!$B$11,Paramètres!$A$1:$I$89,5,0)</f>
        <v>522.94525920000035</v>
      </c>
      <c r="BF170" s="14">
        <f t="shared" si="167"/>
        <v>116.30007368664351</v>
      </c>
      <c r="BG170" s="22">
        <f t="shared" si="168"/>
        <v>1113.3522881109047</v>
      </c>
      <c r="BH170" s="62">
        <f t="shared" si="116"/>
        <v>1406.685621444238</v>
      </c>
      <c r="BI170" s="62">
        <f ca="1">AVERAGE(OFFSET($BH$3,0,0,'Données projet'!$E$11+1,1))-AVERAGE(OFFSET($H$3,0,0,'Données projet'!$E$11+1,1))</f>
        <v>683.36974161977764</v>
      </c>
      <c r="BJ170" s="62">
        <f t="shared" si="146"/>
        <v>312.6921234697457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89.677233556268774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89.677233556268774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8.5459999999999976</v>
      </c>
      <c r="BY170" s="13">
        <f>IF('Données projet'!$A$114&gt;35,BY169+BX170-CG169,IF(A170&lt;'Données projet'!$A$114,$BV$205^A170,IF(A170='Données projet'!$A$114,'Données projet'!$B$114,BY169+BX170-CG169)))</f>
        <v>485.82800000000037</v>
      </c>
      <c r="BZ170" s="14">
        <f>BY170*VLOOKUP('Données projet'!$B$12,Paramètres!$A$1:$I$89,3,0)*VLOOKUP('Données projet'!$B$12,Paramètres!$A$1:$I$89,5,0)</f>
        <v>469.89284160000039</v>
      </c>
      <c r="CA170" s="14">
        <f t="shared" si="170"/>
        <v>105.81085657384101</v>
      </c>
      <c r="CB170" s="22">
        <f t="shared" si="171"/>
        <v>1002.6839409861069</v>
      </c>
      <c r="CC170" s="62">
        <f t="shared" si="119"/>
        <v>1296.0172743194403</v>
      </c>
      <c r="CD170" s="62">
        <f ca="1">AVERAGE(OFFSET($CC$3,0,0,'Données projet'!$E$12+1,1))-AVERAGE(OFFSET($H$3,0,0,'Données projet'!$E$12+1,1))</f>
        <v>618.83149423524605</v>
      </c>
      <c r="CE170" s="62">
        <f t="shared" si="148"/>
        <v>285.33582535802435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80.579543195487872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80.579543195487872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354.24684313982857</v>
      </c>
      <c r="CZ170" s="62">
        <f t="shared" si="150"/>
        <v>322.65043486962185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29.791509456821554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29.791509456821554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8.5459999999999976</v>
      </c>
      <c r="N171" s="14">
        <f>IF('Données projet'!$A$36&gt;35,N170+M171-V170,IF(A171&lt;'Données projet'!$A$36,$K$205^A171,IF(A171='Données projet'!$A$36,'Données projet'!$B$36,N170+M171-V170)))</f>
        <v>494.37400000000036</v>
      </c>
      <c r="O171" s="14">
        <f>N171*VLOOKUP('Données projet'!$B$9,Paramètres!$A$1:$I$89,3,0)*VLOOKUP('Données projet'!$B$9,Paramètres!$A$1:$I$89,5,0)</f>
        <v>447.30959520000027</v>
      </c>
      <c r="P171" s="14">
        <f t="shared" si="141"/>
        <v>101.30467392781068</v>
      </c>
      <c r="Q171" s="22">
        <f t="shared" si="162"/>
        <v>955.50318539760417</v>
      </c>
      <c r="R171" s="62">
        <f t="shared" si="109"/>
        <v>1248.8365187309375</v>
      </c>
      <c r="S171" s="62">
        <f ca="1">AVERAGE(OFFSET($R$3,0,0,'Données projet'!$E$9+1,1))-AVERAGE(OFFSET($H$3,0,0,'Données projet'!$E$9+1,1))</f>
        <v>581.88778927327667</v>
      </c>
      <c r="T171" s="62">
        <f t="shared" si="142"/>
        <v>269.67340993773422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73.902690243893147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73.902690243893147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2.8421709430404007E-13</v>
      </c>
      <c r="AJ171" s="14">
        <f>AI171*VLOOKUP('Données projet'!$B$10,Paramètres!$A$1:$I$89,3,0)*VLOOKUP('Données projet'!$B$10,Paramètres!$A$1:$I$89,5,0)</f>
        <v>2.7046098693972454E-13</v>
      </c>
      <c r="AK171" s="14">
        <f t="shared" si="164"/>
        <v>3.6187594451142911E-12</v>
      </c>
      <c r="AL171" s="22">
        <f t="shared" si="165"/>
        <v>6.7737255858274096E-12</v>
      </c>
      <c r="AM171" s="62">
        <f t="shared" si="113"/>
        <v>293.33333333334008</v>
      </c>
      <c r="AN171" s="62">
        <f ca="1">AVERAGE(OFFSET($AM$3,0,0,'Données projet'!$E$10+1,1))-AVERAGE(OFFSET($H$3,0,0,'Données projet'!$E$10+1,1))</f>
        <v>444.81608506581125</v>
      </c>
      <c r="AO171" s="62">
        <f t="shared" si="144"/>
        <v>306.75289431725565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68.850549348600893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68.850549348600893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8.5459999999999976</v>
      </c>
      <c r="BD171" s="13">
        <f>IF('Données projet'!$A$88&gt;35,BD170+BC171-BL170,IF(A171&lt;'Données projet'!$A$88,$BA$205^A171,IF(A171='Données projet'!$A$88,'Données projet'!$B$88,BD170+BC171-BL170)))</f>
        <v>494.37400000000036</v>
      </c>
      <c r="BE171" s="14">
        <f>BD171*VLOOKUP('Données projet'!$B$11,Paramètres!$A$1:$I$89,3,0)*VLOOKUP('Données projet'!$B$11,Paramètres!$A$1:$I$89,5,0)</f>
        <v>532.14417360000039</v>
      </c>
      <c r="BF171" s="14">
        <f t="shared" si="167"/>
        <v>118.1058921318037</v>
      </c>
      <c r="BG171" s="22">
        <f t="shared" si="168"/>
        <v>1132.518864482892</v>
      </c>
      <c r="BH171" s="62">
        <f t="shared" si="116"/>
        <v>1425.8521978162253</v>
      </c>
      <c r="BI171" s="62">
        <f ca="1">AVERAGE(OFFSET($BH$3,0,0,'Données projet'!$E$11+1,1))-AVERAGE(OFFSET($H$3,0,0,'Données projet'!$E$11+1,1))</f>
        <v>683.36974161977764</v>
      </c>
      <c r="BJ171" s="62">
        <f t="shared" si="146"/>
        <v>312.6921234697457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87.918717703941866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87.918717703941866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8.5459999999999976</v>
      </c>
      <c r="BY171" s="13">
        <f>IF('Données projet'!$A$114&gt;35,BY170+BX171-CG170,IF(A171&lt;'Données projet'!$A$114,$BV$205^A171,IF(A171='Données projet'!$A$114,'Données projet'!$B$114,BY170+BX171-CG170)))</f>
        <v>494.37400000000036</v>
      </c>
      <c r="BZ171" s="14">
        <f>BY171*VLOOKUP('Données projet'!$B$12,Paramètres!$A$1:$I$89,3,0)*VLOOKUP('Données projet'!$B$12,Paramètres!$A$1:$I$89,5,0)</f>
        <v>478.15853280000039</v>
      </c>
      <c r="CA171" s="14">
        <f t="shared" si="170"/>
        <v>107.45380649160349</v>
      </c>
      <c r="CB171" s="22">
        <f t="shared" si="171"/>
        <v>1019.9414909328767</v>
      </c>
      <c r="CC171" s="62">
        <f t="shared" si="119"/>
        <v>1313.2748242662101</v>
      </c>
      <c r="CD171" s="62">
        <f ca="1">AVERAGE(OFFSET($CC$3,0,0,'Données projet'!$E$12+1,1))-AVERAGE(OFFSET($H$3,0,0,'Données projet'!$E$12+1,1))</f>
        <v>618.83149423524605</v>
      </c>
      <c r="CE171" s="62">
        <f t="shared" si="148"/>
        <v>285.33582535802435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78.999427502092672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78.999427502092672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354.24684313982857</v>
      </c>
      <c r="CZ171" s="62">
        <f t="shared" si="150"/>
        <v>322.65043486962185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29.207316127399814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29.207316127399814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8.5459999999999976</v>
      </c>
      <c r="N172" s="14">
        <f>IF('Données projet'!$A$36&gt;35,N171+M172-V171,IF(A172&lt;'Données projet'!$A$36,$K$205^A172,IF(A172='Données projet'!$A$36,'Données projet'!$B$36,N171+M172-V171)))</f>
        <v>502.92000000000036</v>
      </c>
      <c r="O172" s="14">
        <f>N172*VLOOKUP('Données projet'!$B$9,Paramètres!$A$1:$I$89,3,0)*VLOOKUP('Données projet'!$B$9,Paramètres!$A$1:$I$89,5,0)</f>
        <v>455.04201600000027</v>
      </c>
      <c r="P172" s="14">
        <f t="shared" si="141"/>
        <v>102.85049097288233</v>
      </c>
      <c r="Q172" s="22">
        <f t="shared" si="162"/>
        <v>971.66278297777069</v>
      </c>
      <c r="R172" s="62">
        <f t="shared" si="109"/>
        <v>1264.9961163111041</v>
      </c>
      <c r="S172" s="62">
        <f ca="1">AVERAGE(OFFSET($R$3,0,0,'Données projet'!$E$9+1,1))-AVERAGE(OFFSET($H$3,0,0,'Données projet'!$E$9+1,1))</f>
        <v>581.88778927327667</v>
      </c>
      <c r="T172" s="62">
        <f t="shared" si="142"/>
        <v>269.67340993773422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72.453503564400549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72.453503564400549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2.8421709430404007E-13</v>
      </c>
      <c r="AJ172" s="14">
        <f>AI172*VLOOKUP('Données projet'!$B$10,Paramètres!$A$1:$I$89,3,0)*VLOOKUP('Données projet'!$B$10,Paramètres!$A$1:$I$89,5,0)</f>
        <v>2.7046098693972454E-13</v>
      </c>
      <c r="AK172" s="14">
        <f t="shared" si="164"/>
        <v>3.6187594451142911E-12</v>
      </c>
      <c r="AL172" s="22">
        <f t="shared" si="165"/>
        <v>6.7737255858274096E-12</v>
      </c>
      <c r="AM172" s="62">
        <f t="shared" si="113"/>
        <v>293.33333333334008</v>
      </c>
      <c r="AN172" s="62">
        <f ca="1">AVERAGE(OFFSET($AM$3,0,0,'Données projet'!$E$10+1,1))-AVERAGE(OFFSET($H$3,0,0,'Données projet'!$E$10+1,1))</f>
        <v>444.81608506581125</v>
      </c>
      <c r="AO172" s="62">
        <f t="shared" si="144"/>
        <v>306.75289431725565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67.500432070563306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67.500432070563306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8.5459999999999976</v>
      </c>
      <c r="BD172" s="13">
        <f>IF('Données projet'!$A$88&gt;35,BD171+BC172-BL171,IF(A172&lt;'Données projet'!$A$88,$BA$205^A172,IF(A172='Données projet'!$A$88,'Données projet'!$B$88,BD171+BC172-BL171)))</f>
        <v>502.92000000000036</v>
      </c>
      <c r="BE172" s="14">
        <f>BD172*VLOOKUP('Données projet'!$B$11,Paramètres!$A$1:$I$89,3,0)*VLOOKUP('Données projet'!$B$11,Paramètres!$A$1:$I$89,5,0)</f>
        <v>541.34308800000031</v>
      </c>
      <c r="BF172" s="14">
        <f t="shared" si="167"/>
        <v>119.90808046233271</v>
      </c>
      <c r="BG172" s="22">
        <f t="shared" si="168"/>
        <v>1151.6791184052299</v>
      </c>
      <c r="BH172" s="62">
        <f t="shared" si="116"/>
        <v>1445.0124517385632</v>
      </c>
      <c r="BI172" s="62">
        <f ca="1">AVERAGE(OFFSET($BH$3,0,0,'Données projet'!$E$11+1,1))-AVERAGE(OFFSET($H$3,0,0,'Données projet'!$E$11+1,1))</f>
        <v>683.36974161977764</v>
      </c>
      <c r="BJ172" s="62">
        <f t="shared" si="146"/>
        <v>312.6921234697457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86.194685274890318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86.194685274890318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8.5459999999999976</v>
      </c>
      <c r="BY172" s="13">
        <f>IF('Données projet'!$A$114&gt;35,BY171+BX172-CG171,IF(A172&lt;'Données projet'!$A$114,$BV$205^A172,IF(A172='Données projet'!$A$114,'Données projet'!$B$114,BY171+BX172-CG171)))</f>
        <v>502.92000000000036</v>
      </c>
      <c r="BZ172" s="14">
        <f>BY172*VLOOKUP('Données projet'!$B$12,Paramètres!$A$1:$I$89,3,0)*VLOOKUP('Données projet'!$B$12,Paramètres!$A$1:$I$89,5,0)</f>
        <v>486.42422400000038</v>
      </c>
      <c r="CA172" s="14">
        <f t="shared" si="170"/>
        <v>109.09345369831506</v>
      </c>
      <c r="CB172" s="22">
        <f t="shared" si="171"/>
        <v>1037.1932886578995</v>
      </c>
      <c r="CC172" s="62">
        <f t="shared" si="119"/>
        <v>1330.5266219912328</v>
      </c>
      <c r="CD172" s="62">
        <f ca="1">AVERAGE(OFFSET($CC$3,0,0,'Données projet'!$E$12+1,1))-AVERAGE(OFFSET($H$3,0,0,'Données projet'!$E$12+1,1))</f>
        <v>618.83149423524605</v>
      </c>
      <c r="CE172" s="62">
        <f t="shared" si="148"/>
        <v>285.33582535802435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77.450296913669547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77.450296913669547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354.24684313982857</v>
      </c>
      <c r="CZ172" s="62">
        <f t="shared" si="150"/>
        <v>322.65043486962185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28.634578472845284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28.634578472845284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8.5459999999999976</v>
      </c>
      <c r="N173" s="14">
        <f>IF('Données projet'!$A$36&gt;35,N172+M173-V172,IF(A173&lt;'Données projet'!$A$36,$K$205^A173,IF(A173='Données projet'!$A$36,'Données projet'!$B$36,N172+M173-V172)))</f>
        <v>511.46600000000035</v>
      </c>
      <c r="O173" s="14">
        <f>N173*VLOOKUP('Données projet'!$B$9,Paramètres!$A$1:$I$89,3,0)*VLOOKUP('Données projet'!$B$9,Paramètres!$A$1:$I$89,5,0)</f>
        <v>462.77443680000027</v>
      </c>
      <c r="P173" s="14">
        <f t="shared" si="141"/>
        <v>104.39325332394039</v>
      </c>
      <c r="Q173" s="22">
        <f t="shared" si="162"/>
        <v>987.81706029919678</v>
      </c>
      <c r="R173" s="62">
        <f t="shared" si="109"/>
        <v>1281.15039363253</v>
      </c>
      <c r="S173" s="62">
        <f ca="1">AVERAGE(OFFSET($R$3,0,0,'Données projet'!$E$9+1,1))-AVERAGE(OFFSET($H$3,0,0,'Données projet'!$E$9+1,1))</f>
        <v>581.88778927327667</v>
      </c>
      <c r="T173" s="62">
        <f t="shared" si="142"/>
        <v>269.67340993773422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71.032734551776201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71.032734551776201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2.8421709430404007E-13</v>
      </c>
      <c r="AJ173" s="14">
        <f>AI173*VLOOKUP('Données projet'!$B$10,Paramètres!$A$1:$I$89,3,0)*VLOOKUP('Données projet'!$B$10,Paramètres!$A$1:$I$89,5,0)</f>
        <v>2.7046098693972454E-13</v>
      </c>
      <c r="AK173" s="14">
        <f t="shared" si="164"/>
        <v>3.6187594451142911E-12</v>
      </c>
      <c r="AL173" s="22">
        <f t="shared" si="165"/>
        <v>6.7737255858274096E-12</v>
      </c>
      <c r="AM173" s="62">
        <f t="shared" si="113"/>
        <v>293.33333333334008</v>
      </c>
      <c r="AN173" s="62">
        <f ca="1">AVERAGE(OFFSET($AM$3,0,0,'Données projet'!$E$10+1,1))-AVERAGE(OFFSET($H$3,0,0,'Données projet'!$E$10+1,1))</f>
        <v>444.81608506581125</v>
      </c>
      <c r="AO173" s="62">
        <f t="shared" si="144"/>
        <v>306.75289431725565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66.176789768857802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66.176789768857802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8.5459999999999976</v>
      </c>
      <c r="BD173" s="13">
        <f>IF('Données projet'!$A$88&gt;35,BD172+BC173-BL172,IF(A173&lt;'Données projet'!$A$88,$BA$205^A173,IF(A173='Données projet'!$A$88,'Données projet'!$B$88,BD172+BC173-BL172)))</f>
        <v>511.46600000000035</v>
      </c>
      <c r="BE173" s="14">
        <f>BD173*VLOOKUP('Données projet'!$B$11,Paramètres!$A$1:$I$89,3,0)*VLOOKUP('Données projet'!$B$11,Paramètres!$A$1:$I$89,5,0)</f>
        <v>550.54200240000034</v>
      </c>
      <c r="BF173" s="14">
        <f t="shared" si="167"/>
        <v>121.70670748272963</v>
      </c>
      <c r="BG173" s="22">
        <f t="shared" si="168"/>
        <v>1170.8331697124213</v>
      </c>
      <c r="BH173" s="62">
        <f t="shared" si="116"/>
        <v>1464.1665030457546</v>
      </c>
      <c r="BI173" s="62">
        <f ca="1">AVERAGE(OFFSET($BH$3,0,0,'Données projet'!$E$11+1,1))-AVERAGE(OFFSET($H$3,0,0,'Données projet'!$E$11+1,1))</f>
        <v>683.36974161977764</v>
      </c>
      <c r="BJ173" s="62">
        <f t="shared" si="146"/>
        <v>312.6921234697457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84.504460070216524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84.504460070216524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8.5459999999999976</v>
      </c>
      <c r="BY173" s="13">
        <f>IF('Données projet'!$A$114&gt;35,BY172+BX173-CG172,IF(A173&lt;'Données projet'!$A$114,$BV$205^A173,IF(A173='Données projet'!$A$114,'Données projet'!$B$114,BY172+BX173-CG172)))</f>
        <v>511.46600000000035</v>
      </c>
      <c r="BZ173" s="14">
        <f>BY173*VLOOKUP('Données projet'!$B$12,Paramètres!$A$1:$I$89,3,0)*VLOOKUP('Données projet'!$B$12,Paramètres!$A$1:$I$89,5,0)</f>
        <v>494.68991520000037</v>
      </c>
      <c r="CA173" s="14">
        <f t="shared" si="170"/>
        <v>110.72986079292981</v>
      </c>
      <c r="CB173" s="22">
        <f t="shared" si="171"/>
        <v>1054.4394431876869</v>
      </c>
      <c r="CC173" s="62">
        <f t="shared" si="119"/>
        <v>1347.7727765210202</v>
      </c>
      <c r="CD173" s="62">
        <f ca="1">AVERAGE(OFFSET($CC$3,0,0,'Données projet'!$E$12+1,1))-AVERAGE(OFFSET($H$3,0,0,'Données projet'!$E$12+1,1))</f>
        <v>618.83149423524605</v>
      </c>
      <c r="CE173" s="62">
        <f t="shared" si="148"/>
        <v>285.33582535802435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75.931543831209041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75.931543831209041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354.24684313982857</v>
      </c>
      <c r="CZ173" s="62">
        <f t="shared" si="150"/>
        <v>322.65043486962185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28.073071854361096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28.073071854361096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8.5459999999999976</v>
      </c>
      <c r="N174" s="14">
        <f>IF('Données projet'!$A$36&gt;35,N173+M174-V173,IF(A174&lt;'Données projet'!$A$36,$K$205^A174,IF(A174='Données projet'!$A$36,'Données projet'!$B$36,N173+M174-V173)))</f>
        <v>520.0120000000004</v>
      </c>
      <c r="O174" s="14">
        <f>N174*VLOOKUP('Données projet'!$B$9,Paramètres!$A$1:$I$89,3,0)*VLOOKUP('Données projet'!$B$9,Paramètres!$A$1:$I$89,5,0)</f>
        <v>470.50685760000033</v>
      </c>
      <c r="P174" s="14">
        <f t="shared" si="141"/>
        <v>105.93301791241842</v>
      </c>
      <c r="Q174" s="22">
        <f t="shared" si="162"/>
        <v>1003.9661165174626</v>
      </c>
      <c r="R174" s="62">
        <f t="shared" si="109"/>
        <v>1297.299449850796</v>
      </c>
      <c r="S174" s="62">
        <f ca="1">AVERAGE(OFFSET($R$3,0,0,'Données projet'!$E$9+1,1))-AVERAGE(OFFSET($H$3,0,0,'Données projet'!$E$9+1,1))</f>
        <v>581.88778927327667</v>
      </c>
      <c r="T174" s="62">
        <f t="shared" si="142"/>
        <v>269.67340993773422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69.639825952905895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69.639825952905895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2.8421709430404007E-13</v>
      </c>
      <c r="AJ174" s="14">
        <f>AI174*VLOOKUP('Données projet'!$B$10,Paramètres!$A$1:$I$89,3,0)*VLOOKUP('Données projet'!$B$10,Paramètres!$A$1:$I$89,5,0)</f>
        <v>2.7046098693972454E-13</v>
      </c>
      <c r="AK174" s="14">
        <f t="shared" si="164"/>
        <v>3.6187594451142911E-12</v>
      </c>
      <c r="AL174" s="22">
        <f t="shared" si="165"/>
        <v>6.7737255858274096E-12</v>
      </c>
      <c r="AM174" s="62">
        <f t="shared" si="113"/>
        <v>293.33333333334008</v>
      </c>
      <c r="AN174" s="62">
        <f ca="1">AVERAGE(OFFSET($AM$3,0,0,'Données projet'!$E$10+1,1))-AVERAGE(OFFSET($H$3,0,0,'Données projet'!$E$10+1,1))</f>
        <v>444.81608506581125</v>
      </c>
      <c r="AO174" s="62">
        <f t="shared" si="144"/>
        <v>306.75289431725565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64.879103285346659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64.879103285346659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8.5459999999999976</v>
      </c>
      <c r="BD174" s="13">
        <f>IF('Données projet'!$A$88&gt;35,BD173+BC174-BL173,IF(A174&lt;'Données projet'!$A$88,$BA$205^A174,IF(A174='Données projet'!$A$88,'Données projet'!$B$88,BD173+BC174-BL173)))</f>
        <v>520.0120000000004</v>
      </c>
      <c r="BE174" s="14">
        <f>BD174*VLOOKUP('Données projet'!$B$11,Paramètres!$A$1:$I$89,3,0)*VLOOKUP('Données projet'!$B$11,Paramètres!$A$1:$I$89,5,0)</f>
        <v>559.74091680000038</v>
      </c>
      <c r="BF174" s="14">
        <f t="shared" si="167"/>
        <v>123.5018395664157</v>
      </c>
      <c r="BG174" s="22">
        <f t="shared" si="168"/>
        <v>1189.9811340048411</v>
      </c>
      <c r="BH174" s="62">
        <f t="shared" si="116"/>
        <v>1483.3144673381744</v>
      </c>
      <c r="BI174" s="62">
        <f ca="1">AVERAGE(OFFSET($BH$3,0,0,'Données projet'!$E$11+1,1))-AVERAGE(OFFSET($H$3,0,0,'Données projet'!$E$11+1,1))</f>
        <v>683.36974161977764</v>
      </c>
      <c r="BJ174" s="62">
        <f t="shared" si="146"/>
        <v>312.6921234697457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82.847379150870808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82.847379150870808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8.5459999999999976</v>
      </c>
      <c r="BY174" s="13">
        <f>IF('Données projet'!$A$114&gt;35,BY173+BX174-CG173,IF(A174&lt;'Données projet'!$A$114,$BV$205^A174,IF(A174='Données projet'!$A$114,'Données projet'!$B$114,BY173+BX174-CG173)))</f>
        <v>520.0120000000004</v>
      </c>
      <c r="BZ174" s="14">
        <f>BY174*VLOOKUP('Données projet'!$B$12,Paramètres!$A$1:$I$89,3,0)*VLOOKUP('Données projet'!$B$12,Paramètres!$A$1:$I$89,5,0)</f>
        <v>502.95560640000036</v>
      </c>
      <c r="CA174" s="14">
        <f t="shared" si="170"/>
        <v>112.36308816258565</v>
      </c>
      <c r="CB174" s="22">
        <f t="shared" si="171"/>
        <v>1071.6800596965038</v>
      </c>
      <c r="CC174" s="62">
        <f t="shared" si="119"/>
        <v>1365.0133930298371</v>
      </c>
      <c r="CD174" s="62">
        <f ca="1">AVERAGE(OFFSET($CC$3,0,0,'Données projet'!$E$12+1,1))-AVERAGE(OFFSET($H$3,0,0,'Données projet'!$E$12+1,1))</f>
        <v>618.83149423524605</v>
      </c>
      <c r="CE174" s="62">
        <f t="shared" si="148"/>
        <v>285.33582535802435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74.442572570347679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74.442572570347679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354.24684313982857</v>
      </c>
      <c r="CZ174" s="62">
        <f t="shared" si="150"/>
        <v>322.65043486962185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27.522576038180162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27.522576038180162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8.5459999999999976</v>
      </c>
      <c r="N175" s="14">
        <f>IF('Données projet'!$A$36&gt;35,N174+M175-V174,IF(A175&lt;'Données projet'!$A$36,$K$205^A175,IF(A175='Données projet'!$A$36,'Données projet'!$B$36,N174+M175-V174)))</f>
        <v>528.55800000000045</v>
      </c>
      <c r="O175" s="14">
        <f>N175*VLOOKUP('Données projet'!$B$9,Paramètres!$A$1:$I$89,3,0)*VLOOKUP('Données projet'!$B$9,Paramètres!$A$1:$I$89,5,0)</f>
        <v>478.23927840000039</v>
      </c>
      <c r="P175" s="14">
        <f t="shared" si="141"/>
        <v>107.46983969122122</v>
      </c>
      <c r="Q175" s="22">
        <f t="shared" si="162"/>
        <v>1020.110047342211</v>
      </c>
      <c r="R175" s="62">
        <f t="shared" si="109"/>
        <v>1313.4433806755444</v>
      </c>
      <c r="S175" s="62">
        <f ca="1">AVERAGE(OFFSET($R$3,0,0,'Données projet'!$E$9+1,1))-AVERAGE(OFFSET($H$3,0,0,'Données projet'!$E$9+1,1))</f>
        <v>581.88778927327667</v>
      </c>
      <c r="T175" s="62">
        <f t="shared" si="142"/>
        <v>269.67340993773422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68.27423144206908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68.27423144206908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2.8421709430404007E-13</v>
      </c>
      <c r="AJ175" s="14">
        <f>AI175*VLOOKUP('Données projet'!$B$10,Paramètres!$A$1:$I$89,3,0)*VLOOKUP('Données projet'!$B$10,Paramètres!$A$1:$I$89,5,0)</f>
        <v>2.7046098693972454E-13</v>
      </c>
      <c r="AK175" s="14">
        <f t="shared" si="164"/>
        <v>3.6187594451142911E-12</v>
      </c>
      <c r="AL175" s="22">
        <f t="shared" si="165"/>
        <v>6.7737255858274096E-12</v>
      </c>
      <c r="AM175" s="62">
        <f t="shared" si="113"/>
        <v>293.33333333334008</v>
      </c>
      <c r="AN175" s="62">
        <f ca="1">AVERAGE(OFFSET($AM$3,0,0,'Données projet'!$E$10+1,1))-AVERAGE(OFFSET($H$3,0,0,'Données projet'!$E$10+1,1))</f>
        <v>444.81608506581125</v>
      </c>
      <c r="AO175" s="62">
        <f t="shared" si="144"/>
        <v>306.75289431725565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63.606863642266568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63.606863642266568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8.5459999999999976</v>
      </c>
      <c r="BD175" s="13">
        <f>IF('Données projet'!$A$88&gt;35,BD174+BC175-BL174,IF(A175&lt;'Données projet'!$A$88,$BA$205^A175,IF(A175='Données projet'!$A$88,'Données projet'!$B$88,BD174+BC175-BL174)))</f>
        <v>528.55800000000045</v>
      </c>
      <c r="BE175" s="14">
        <f>BD175*VLOOKUP('Données projet'!$B$11,Paramètres!$A$1:$I$89,3,0)*VLOOKUP('Données projet'!$B$11,Paramètres!$A$1:$I$89,5,0)</f>
        <v>568.93983120000041</v>
      </c>
      <c r="BF175" s="14">
        <f t="shared" si="167"/>
        <v>125.29354078014669</v>
      </c>
      <c r="BG175" s="22">
        <f t="shared" si="168"/>
        <v>1209.1231228654231</v>
      </c>
      <c r="BH175" s="62">
        <f t="shared" si="116"/>
        <v>1502.4564561987563</v>
      </c>
      <c r="BI175" s="62">
        <f ca="1">AVERAGE(OFFSET($BH$3,0,0,'Données projet'!$E$11+1,1))-AVERAGE(OFFSET($H$3,0,0,'Données projet'!$E$11+1,1))</f>
        <v>683.36974161977764</v>
      </c>
      <c r="BJ175" s="62">
        <f t="shared" si="146"/>
        <v>312.6921234697457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81.222792577633896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81.222792577633896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8.5459999999999976</v>
      </c>
      <c r="BY175" s="13">
        <f>IF('Données projet'!$A$114&gt;35,BY174+BX175-CG174,IF(A175&lt;'Données projet'!$A$114,$BV$205^A175,IF(A175='Données projet'!$A$114,'Données projet'!$B$114,BY174+BX175-CG174)))</f>
        <v>528.55800000000045</v>
      </c>
      <c r="BZ175" s="14">
        <f>BY175*VLOOKUP('Données projet'!$B$12,Paramètres!$A$1:$I$89,3,0)*VLOOKUP('Données projet'!$B$12,Paramètres!$A$1:$I$89,5,0)</f>
        <v>511.22129760000047</v>
      </c>
      <c r="CA175" s="14">
        <f t="shared" si="170"/>
        <v>113.99319409579488</v>
      </c>
      <c r="CB175" s="22">
        <f t="shared" si="171"/>
        <v>1088.9152397035102</v>
      </c>
      <c r="CC175" s="62">
        <f t="shared" si="119"/>
        <v>1382.2485730368435</v>
      </c>
      <c r="CD175" s="62">
        <f ca="1">AVERAGE(OFFSET($CC$3,0,0,'Données projet'!$E$12+1,1))-AVERAGE(OFFSET($H$3,0,0,'Données projet'!$E$12+1,1))</f>
        <v>618.83149423524605</v>
      </c>
      <c r="CE175" s="62">
        <f t="shared" si="148"/>
        <v>285.33582535802435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72.98279912772901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72.98279912772901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354.24684313982857</v>
      </c>
      <c r="CZ175" s="62">
        <f t="shared" si="150"/>
        <v>322.65043486962185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26.982875109185244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26.982875109185244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8.5459999999999976</v>
      </c>
      <c r="N176" s="14">
        <f>IF('Données projet'!$A$36&gt;35,N175+M176-V175,IF(A176&lt;'Données projet'!$A$36,$K$205^A176,IF(A176='Données projet'!$A$36,'Données projet'!$B$36,N175+M176-V175)))</f>
        <v>537.1040000000005</v>
      </c>
      <c r="O176" s="14">
        <f>N176*VLOOKUP('Données projet'!$B$9,Paramètres!$A$1:$I$89,3,0)*VLOOKUP('Données projet'!$B$9,Paramètres!$A$1:$I$89,5,0)</f>
        <v>485.97169920000039</v>
      </c>
      <c r="P176" s="14">
        <f t="shared" si="141"/>
        <v>109.00377173434057</v>
      </c>
      <c r="Q176" s="22">
        <f t="shared" si="162"/>
        <v>1036.2489452106438</v>
      </c>
      <c r="R176" s="62">
        <f t="shared" si="109"/>
        <v>1329.5822785439771</v>
      </c>
      <c r="S176" s="62">
        <f ca="1">AVERAGE(OFFSET($R$3,0,0,'Données projet'!$E$9+1,1))-AVERAGE(OFFSET($H$3,0,0,'Données projet'!$E$9+1,1))</f>
        <v>581.88778927327667</v>
      </c>
      <c r="T176" s="62">
        <f t="shared" si="142"/>
        <v>269.67340993773422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66.935415406659359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66.935415406659359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2.8421709430404007E-13</v>
      </c>
      <c r="AJ176" s="14">
        <f>AI176*VLOOKUP('Données projet'!$B$10,Paramètres!$A$1:$I$89,3,0)*VLOOKUP('Données projet'!$B$10,Paramètres!$A$1:$I$89,5,0)</f>
        <v>2.7046098693972454E-13</v>
      </c>
      <c r="AK176" s="14">
        <f t="shared" si="164"/>
        <v>3.6187594451142911E-12</v>
      </c>
      <c r="AL176" s="22">
        <f t="shared" si="165"/>
        <v>6.7737255858274096E-12</v>
      </c>
      <c r="AM176" s="62">
        <f t="shared" si="113"/>
        <v>293.33333333334008</v>
      </c>
      <c r="AN176" s="62">
        <f ca="1">AVERAGE(OFFSET($AM$3,0,0,'Données projet'!$E$10+1,1))-AVERAGE(OFFSET($H$3,0,0,'Données projet'!$E$10+1,1))</f>
        <v>444.81608506581125</v>
      </c>
      <c r="AO176" s="62">
        <f t="shared" si="144"/>
        <v>306.75289431725565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62.359571842597717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62.359571842597717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8.5459999999999976</v>
      </c>
      <c r="BD176" s="13">
        <f>IF('Données projet'!$A$88&gt;35,BD175+BC176-BL175,IF(A176&lt;'Données projet'!$A$88,$BA$205^A176,IF(A176='Données projet'!$A$88,'Données projet'!$B$88,BD175+BC176-BL175)))</f>
        <v>537.1040000000005</v>
      </c>
      <c r="BE176" s="14">
        <f>BD176*VLOOKUP('Données projet'!$B$11,Paramètres!$A$1:$I$89,3,0)*VLOOKUP('Données projet'!$B$11,Paramètres!$A$1:$I$89,5,0)</f>
        <v>578.13874560000045</v>
      </c>
      <c r="BF176" s="14">
        <f t="shared" si="167"/>
        <v>127.08187300015146</v>
      </c>
      <c r="BG176" s="22">
        <f t="shared" si="168"/>
        <v>1228.2592440619312</v>
      </c>
      <c r="BH176" s="62">
        <f t="shared" si="116"/>
        <v>1521.5925773952645</v>
      </c>
      <c r="BI176" s="62">
        <f ca="1">AVERAGE(OFFSET($BH$3,0,0,'Données projet'!$E$11+1,1))-AVERAGE(OFFSET($H$3,0,0,'Données projet'!$E$11+1,1))</f>
        <v>683.36974161977764</v>
      </c>
      <c r="BJ176" s="62">
        <f t="shared" si="146"/>
        <v>312.6921234697457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79.630063156198204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79.630063156198204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8.5459999999999976</v>
      </c>
      <c r="BY176" s="13">
        <f>IF('Données projet'!$A$114&gt;35,BY175+BX176-CG175,IF(A176&lt;'Données projet'!$A$114,$BV$205^A176,IF(A176='Données projet'!$A$114,'Données projet'!$B$114,BY175+BX176-CG175)))</f>
        <v>537.1040000000005</v>
      </c>
      <c r="BZ176" s="14">
        <f>BY176*VLOOKUP('Données projet'!$B$12,Paramètres!$A$1:$I$89,3,0)*VLOOKUP('Données projet'!$B$12,Paramètres!$A$1:$I$89,5,0)</f>
        <v>519.48698880000052</v>
      </c>
      <c r="CA176" s="14">
        <f t="shared" si="170"/>
        <v>115.62023488810887</v>
      </c>
      <c r="CB176" s="22">
        <f t="shared" si="171"/>
        <v>1106.1450812567903</v>
      </c>
      <c r="CC176" s="62">
        <f t="shared" si="119"/>
        <v>1399.4784145901235</v>
      </c>
      <c r="CD176" s="62">
        <f ca="1">AVERAGE(OFFSET($CC$3,0,0,'Données projet'!$E$12+1,1))-AVERAGE(OFFSET($H$3,0,0,'Données projet'!$E$12+1,1))</f>
        <v>618.83149423524605</v>
      </c>
      <c r="CE176" s="62">
        <f t="shared" si="148"/>
        <v>285.33582535802435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71.551650951946215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71.551650951946215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354.24684313982857</v>
      </c>
      <c r="CZ176" s="62">
        <f t="shared" si="150"/>
        <v>322.65043486962185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26.453757386222854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26.453757386222854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>
        <f>VLOOKUP(A177,'Données projet'!$A$35:$I$55,2,0)</f>
        <v>545.65</v>
      </c>
      <c r="L177" s="13">
        <f>VLOOKUP(A177,'Données projet'!$A$35:$I$55,9,0)</f>
        <v>8.5459999999999976</v>
      </c>
      <c r="M177" s="13">
        <f t="array" ref="M177">INDEX(L:L,MIN(IF(ISNUMBER(L177:L373),ROW(L177:L373),"")))</f>
        <v>8.5459999999999976</v>
      </c>
      <c r="N177" s="14">
        <f>IF('Données projet'!$A$36&gt;35,N176+M177-V176,IF(A177&lt;'Données projet'!$A$36,$K$205^A177,IF(A177='Données projet'!$A$36,'Données projet'!$B$36,N176+M177-V176)))</f>
        <v>545.65000000000055</v>
      </c>
      <c r="O177" s="14">
        <f>N177*VLOOKUP('Données projet'!$B$9,Paramètres!$A$1:$I$89,3,0)*VLOOKUP('Données projet'!$B$9,Paramètres!$A$1:$I$89,5,0)</f>
        <v>493.7041200000005</v>
      </c>
      <c r="P177" s="14">
        <f t="shared" si="141"/>
        <v>110.53486532995269</v>
      </c>
      <c r="Q177" s="22">
        <f t="shared" si="162"/>
        <v>1052.3828994496685</v>
      </c>
      <c r="R177" s="62">
        <f t="shared" si="109"/>
        <v>1345.7162327830017</v>
      </c>
      <c r="S177" s="62">
        <f ca="1">AVERAGE(OFFSET($R$3,0,0,'Données projet'!$E$9+1,1))-AVERAGE(OFFSET($H$3,0,0,'Données projet'!$E$9+1,1))</f>
        <v>581.88778927327667</v>
      </c>
      <c r="T177" s="62">
        <f t="shared" si="142"/>
        <v>269.67340993773422</v>
      </c>
      <c r="U177" s="16">
        <f>IF(ISNA(VLOOKUP(A177,'Données projet'!$A$35:$I$55,3,0)),0,VLOOKUP(A177,'Données projet'!$A$35:$I$55,3,0))</f>
        <v>15</v>
      </c>
      <c r="V177" s="16">
        <f>IF(ISNA(VLOOKUP(A177,'Données projet'!$A$35:$I$55,4,0)),0,VLOOKUP(A177,'Données projet'!$A$35:$I$55,4,0))</f>
        <v>214.77</v>
      </c>
      <c r="W177" s="17">
        <f>IF(ISNA(VLOOKUP(A177,'Données projet'!$A$35:$I$55,5,0)),0%,VLOOKUP(A177,'Données projet'!$A$35:$I$55,5,0)*VLOOKUP('Données projet'!$B$9,Paramètres!$A$1:$I$89,7,0))</f>
        <v>0.34400000000000003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139.52069574293077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139.52069574293077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2.8421709430404007E-13</v>
      </c>
      <c r="AJ177" s="14">
        <f>AI177*VLOOKUP('Données projet'!$B$10,Paramètres!$A$1:$I$89,3,0)*VLOOKUP('Données projet'!$B$10,Paramètres!$A$1:$I$89,5,0)</f>
        <v>2.7046098693972454E-13</v>
      </c>
      <c r="AK177" s="14">
        <f t="shared" si="164"/>
        <v>3.6187594451142911E-12</v>
      </c>
      <c r="AL177" s="22">
        <f t="shared" si="165"/>
        <v>6.7737255858274096E-12</v>
      </c>
      <c r="AM177" s="62">
        <f t="shared" si="113"/>
        <v>293.33333333334008</v>
      </c>
      <c r="AN177" s="62">
        <f ca="1">AVERAGE(OFFSET($AM$3,0,0,'Données projet'!$E$10+1,1))-AVERAGE(OFFSET($H$3,0,0,'Données projet'!$E$10+1,1))</f>
        <v>444.81608506581125</v>
      </c>
      <c r="AO177" s="62">
        <f t="shared" si="144"/>
        <v>306.75289431725565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61.136738674347498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61.136738674347498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>
        <f>VLOOKUP(A177,'Données projet'!$A$87:$I$107,2,0)</f>
        <v>545.65</v>
      </c>
      <c r="BB177" s="13">
        <f>VLOOKUP(A177,'Données projet'!$A$87:$I$107,9,0)</f>
        <v>8.5459999999999976</v>
      </c>
      <c r="BC177" s="13">
        <f t="array" ref="BC177">INDEX(BB:BB,MIN(IF(ISNUMBER(BB177:BB373),ROW(BB177:BB373),"")))</f>
        <v>8.5459999999999976</v>
      </c>
      <c r="BD177" s="13">
        <f>IF('Données projet'!$A$88&gt;35,BD176+BC177-BL176,IF(A177&lt;'Données projet'!$A$88,$BA$205^A177,IF(A177='Données projet'!$A$88,'Données projet'!$B$88,BD176+BC177-BL176)))</f>
        <v>545.65000000000055</v>
      </c>
      <c r="BE177" s="14">
        <f>BD177*VLOOKUP('Données projet'!$B$11,Paramètres!$A$1:$I$89,3,0)*VLOOKUP('Données projet'!$B$11,Paramètres!$A$1:$I$89,5,0)</f>
        <v>587.33766000000048</v>
      </c>
      <c r="BF177" s="14">
        <f t="shared" si="167"/>
        <v>128.86689602066798</v>
      </c>
      <c r="BG177" s="22">
        <f t="shared" si="168"/>
        <v>1247.3896017359975</v>
      </c>
      <c r="BH177" s="62">
        <f t="shared" si="116"/>
        <v>1540.7229350693308</v>
      </c>
      <c r="BI177" s="62">
        <f ca="1">AVERAGE(OFFSET($BH$3,0,0,'Données projet'!$E$11+1,1))-AVERAGE(OFFSET($H$3,0,0,'Données projet'!$E$11+1,1))</f>
        <v>683.36974161977764</v>
      </c>
      <c r="BJ177" s="62">
        <f t="shared" si="146"/>
        <v>312.6921234697457</v>
      </c>
      <c r="BK177" s="16">
        <f>IF(ISNA(VLOOKUP(A177,'Données projet'!$A$87:$I$107,3,0)),0,VLOOKUP(A177,'Données projet'!$A$87:$I$107,3,0))</f>
        <v>15</v>
      </c>
      <c r="BL177" s="16">
        <f>IF(ISNA(VLOOKUP(A177,'Données projet'!$A$87:$I$107,4,0)),0,VLOOKUP(A177,'Données projet'!$A$87:$I$107,4,0))</f>
        <v>214.77</v>
      </c>
      <c r="BM177" s="17">
        <f>IF(ISNA(VLOOKUP(A177,'Données projet'!$A$87:$I$107,5,0)),0%,VLOOKUP(A177,'Données projet'!$A$87:$I$107,5,0)*VLOOKUP('Données projet'!$B$11,Paramètres!$A$1:$I$89,7,0))</f>
        <v>0.34400000000000003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165.98151734934868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165.98151734934868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>
        <f>VLOOKUP(A177,'Données projet'!$A$113:$I$133,2,0)</f>
        <v>545.65</v>
      </c>
      <c r="BW177" s="13">
        <f>VLOOKUP(A177,'Données projet'!$A$113:$I$133,9,0)</f>
        <v>8.5459999999999976</v>
      </c>
      <c r="BX177" s="13">
        <f t="array" ref="BX177">INDEX(BW:BW,MIN(IF(ISNUMBER(BW177:BW373),ROW(BW177:BW373),"")))</f>
        <v>8.5459999999999976</v>
      </c>
      <c r="BY177" s="13">
        <f>IF('Données projet'!$A$114&gt;35,BY176+BX177-CG176,IF(A177&lt;'Données projet'!$A$114,$BV$205^A177,IF(A177='Données projet'!$A$114,'Données projet'!$B$114,BY176+BX177-CG176)))</f>
        <v>545.65000000000055</v>
      </c>
      <c r="BZ177" s="14">
        <f>BY177*VLOOKUP('Données projet'!$B$12,Paramètres!$A$1:$I$89,3,0)*VLOOKUP('Données projet'!$B$12,Paramètres!$A$1:$I$89,5,0)</f>
        <v>527.75268000000051</v>
      </c>
      <c r="CA177" s="14">
        <f t="shared" si="170"/>
        <v>117.24426494086524</v>
      </c>
      <c r="CB177" s="22">
        <f t="shared" si="171"/>
        <v>1123.369679105341</v>
      </c>
      <c r="CC177" s="62">
        <f t="shared" si="119"/>
        <v>1416.7030124386743</v>
      </c>
      <c r="CD177" s="62">
        <f ca="1">AVERAGE(OFFSET($CC$3,0,0,'Données projet'!$E$12+1,1))-AVERAGE(OFFSET($H$3,0,0,'Données projet'!$E$12+1,1))</f>
        <v>618.83149423524605</v>
      </c>
      <c r="CE177" s="62">
        <f t="shared" si="148"/>
        <v>285.33582535802435</v>
      </c>
      <c r="CF177" s="16">
        <f>IF(ISNA(VLOOKUP(A177,'Données projet'!$A$113:$I$133,3,0)),0,VLOOKUP(A177,'Données projet'!$A$113:$I$133,3,0))</f>
        <v>15</v>
      </c>
      <c r="CG177" s="16">
        <f>IF(ISNA(VLOOKUP(A177,'Données projet'!$A$113:$I$133,4,0)),0,VLOOKUP(A177,'Données projet'!$A$113:$I$133,4,0))</f>
        <v>214.77</v>
      </c>
      <c r="CH177" s="17">
        <f>IF(ISNA(VLOOKUP(A177,'Données projet'!$A$113:$I$133,5,0)),0%,VLOOKUP(A177,'Données projet'!$A$113:$I$133,5,0)*VLOOKUP('Données projet'!$B$12,Paramètres!$A$1:$I$89,7,0))</f>
        <v>0.34400000000000003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149.1428126907191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149.1428126907191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354.24684313982857</v>
      </c>
      <c r="CZ177" s="62">
        <f t="shared" si="150"/>
        <v>322.65043486962185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25.935015339077811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25.935015339077811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5.3866666666666747</v>
      </c>
      <c r="N178" s="14">
        <f>IF('Données projet'!$A$36&gt;35,N177+M178-V177,IF(A178&lt;'Données projet'!$A$36,$K$205^A178,IF(A178='Données projet'!$A$36,'Données projet'!$B$36,N177+M178-V177)))</f>
        <v>336.26666666666722</v>
      </c>
      <c r="O178" s="14">
        <f>N178*VLOOKUP('Données projet'!$B$9,Paramètres!$A$1:$I$89,3,0)*VLOOKUP('Données projet'!$B$9,Paramètres!$A$1:$I$89,5,0)</f>
        <v>304.2540800000005</v>
      </c>
      <c r="P178" s="14">
        <f t="shared" si="141"/>
        <v>72.067549889405967</v>
      </c>
      <c r="Q178" s="22">
        <f t="shared" si="162"/>
        <v>655.42683872404962</v>
      </c>
      <c r="R178" s="62">
        <f t="shared" si="109"/>
        <v>948.76017205738299</v>
      </c>
      <c r="S178" s="62">
        <f ca="1">AVERAGE(OFFSET($R$3,0,0,'Données projet'!$E$9+1,1))-AVERAGE(OFFSET($H$3,0,0,'Données projet'!$E$9+1,1))</f>
        <v>581.88778927327667</v>
      </c>
      <c r="T178" s="62">
        <f t="shared" si="142"/>
        <v>269.67340993773422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136.78477999863344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136.78477999863344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2.8421709430404007E-13</v>
      </c>
      <c r="AJ178" s="14">
        <f>AI178*VLOOKUP('Données projet'!$B$10,Paramètres!$A$1:$I$89,3,0)*VLOOKUP('Données projet'!$B$10,Paramètres!$A$1:$I$89,5,0)</f>
        <v>2.7046098693972454E-13</v>
      </c>
      <c r="AK178" s="14">
        <f t="shared" si="164"/>
        <v>3.6187594451142911E-12</v>
      </c>
      <c r="AL178" s="22">
        <f t="shared" si="165"/>
        <v>6.7737255858274096E-12</v>
      </c>
      <c r="AM178" s="62">
        <f t="shared" si="113"/>
        <v>293.33333333334008</v>
      </c>
      <c r="AN178" s="62">
        <f ca="1">AVERAGE(OFFSET($AM$3,0,0,'Données projet'!$E$10+1,1))-AVERAGE(OFFSET($H$3,0,0,'Données projet'!$E$10+1,1))</f>
        <v>444.81608506581125</v>
      </c>
      <c r="AO178" s="62">
        <f t="shared" si="144"/>
        <v>306.75289431725565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59.937884518672078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59.937884518672078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5.3866666666666747</v>
      </c>
      <c r="BD178" s="13">
        <f>IF('Données projet'!$A$88&gt;35,BD177+BC178-BL177,IF(A178&lt;'Données projet'!$A$88,$BA$205^A178,IF(A178='Données projet'!$A$88,'Données projet'!$B$88,BD177+BC178-BL177)))</f>
        <v>336.26666666666722</v>
      </c>
      <c r="BE178" s="14">
        <f>BD178*VLOOKUP('Données projet'!$B$11,Paramètres!$A$1:$I$89,3,0)*VLOOKUP('Données projet'!$B$11,Paramètres!$A$1:$I$89,5,0)</f>
        <v>361.95744000000059</v>
      </c>
      <c r="BF178" s="14">
        <f t="shared" si="167"/>
        <v>84.019837816238351</v>
      </c>
      <c r="BG178" s="22">
        <f t="shared" si="168"/>
        <v>776.74375886328278</v>
      </c>
      <c r="BH178" s="62">
        <f t="shared" si="116"/>
        <v>1070.0770921966161</v>
      </c>
      <c r="BI178" s="62">
        <f ca="1">AVERAGE(OFFSET($BH$3,0,0,'Données projet'!$E$11+1,1))-AVERAGE(OFFSET($H$3,0,0,'Données projet'!$E$11+1,1))</f>
        <v>683.36974161977764</v>
      </c>
      <c r="BJ178" s="62">
        <f t="shared" si="146"/>
        <v>312.6921234697457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162.72672103285703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162.72672103285703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5.3866666666666747</v>
      </c>
      <c r="BY178" s="13">
        <f>IF('Données projet'!$A$114&gt;35,BY177+BX178-CG177,IF(A178&lt;'Données projet'!$A$114,$BV$205^A178,IF(A178='Données projet'!$A$114,'Données projet'!$B$114,BY177+BX178-CG177)))</f>
        <v>336.26666666666722</v>
      </c>
      <c r="BZ178" s="14">
        <f>BY178*VLOOKUP('Données projet'!$B$12,Paramètres!$A$1:$I$89,3,0)*VLOOKUP('Données projet'!$B$12,Paramètres!$A$1:$I$89,5,0)</f>
        <v>325.23712000000052</v>
      </c>
      <c r="CA178" s="14">
        <f t="shared" si="170"/>
        <v>76.442006670477085</v>
      </c>
      <c r="CB178" s="22">
        <f t="shared" si="171"/>
        <v>699.59114561774857</v>
      </c>
      <c r="CC178" s="62">
        <f t="shared" si="119"/>
        <v>992.92447895108194</v>
      </c>
      <c r="CD178" s="62">
        <f ca="1">AVERAGE(OFFSET($CC$3,0,0,'Données projet'!$E$12+1,1))-AVERAGE(OFFSET($H$3,0,0,'Données projet'!$E$12+1,1))</f>
        <v>618.83149423524605</v>
      </c>
      <c r="CE178" s="62">
        <f t="shared" si="148"/>
        <v>285.33582535802435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146.21821310198749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146.21821310198749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354.24684313982857</v>
      </c>
      <c r="CZ178" s="62">
        <f t="shared" si="150"/>
        <v>322.65043486962185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25.426445507075876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25.426445507075876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5.3866666666666747</v>
      </c>
      <c r="N179" s="14">
        <f>IF('Données projet'!$A$36&gt;35,N178+M179-V178,IF(A179&lt;'Données projet'!$A$36,$K$205^A179,IF(A179='Données projet'!$A$36,'Données projet'!$B$36,N178+M179-V178)))</f>
        <v>341.65333333333388</v>
      </c>
      <c r="O179" s="14">
        <f>N179*VLOOKUP('Données projet'!$B$9,Paramètres!$A$1:$I$89,3,0)*VLOOKUP('Données projet'!$B$9,Paramètres!$A$1:$I$89,5,0)</f>
        <v>309.12793600000049</v>
      </c>
      <c r="P179" s="14">
        <f t="shared" si="141"/>
        <v>73.086678650713282</v>
      </c>
      <c r="Q179" s="22">
        <f t="shared" si="162"/>
        <v>665.6904538499931</v>
      </c>
      <c r="R179" s="62">
        <f t="shared" si="109"/>
        <v>959.02378718332648</v>
      </c>
      <c r="S179" s="62">
        <f ca="1">AVERAGE(OFFSET($R$3,0,0,'Données projet'!$E$9+1,1))-AVERAGE(OFFSET($H$3,0,0,'Données projet'!$E$9+1,1))</f>
        <v>581.88778927327667</v>
      </c>
      <c r="T179" s="62">
        <f t="shared" si="142"/>
        <v>269.67340993773422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134.10251389333797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134.10251389333797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2.8421709430404007E-13</v>
      </c>
      <c r="AJ179" s="14">
        <f>AI179*VLOOKUP('Données projet'!$B$10,Paramètres!$A$1:$I$89,3,0)*VLOOKUP('Données projet'!$B$10,Paramètres!$A$1:$I$89,5,0)</f>
        <v>2.7046098693972454E-13</v>
      </c>
      <c r="AK179" s="14">
        <f t="shared" si="164"/>
        <v>3.6187594451142911E-12</v>
      </c>
      <c r="AL179" s="22">
        <f t="shared" si="165"/>
        <v>6.7737255858274096E-12</v>
      </c>
      <c r="AM179" s="62">
        <f t="shared" si="113"/>
        <v>293.33333333334008</v>
      </c>
      <c r="AN179" s="62">
        <f ca="1">AVERAGE(OFFSET($AM$3,0,0,'Données projet'!$E$10+1,1))-AVERAGE(OFFSET($H$3,0,0,'Données projet'!$E$10+1,1))</f>
        <v>444.81608506581125</v>
      </c>
      <c r="AO179" s="62">
        <f t="shared" si="144"/>
        <v>306.75289431725565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58.762539161760621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58.762539161760621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5.3866666666666747</v>
      </c>
      <c r="BD179" s="13">
        <f>IF('Données projet'!$A$88&gt;35,BD178+BC179-BL178,IF(A179&lt;'Données projet'!$A$88,$BA$205^A179,IF(A179='Données projet'!$A$88,'Données projet'!$B$88,BD178+BC179-BL178)))</f>
        <v>341.65333333333388</v>
      </c>
      <c r="BE179" s="14">
        <f>BD179*VLOOKUP('Données projet'!$B$11,Paramètres!$A$1:$I$89,3,0)*VLOOKUP('Données projet'!$B$11,Paramètres!$A$1:$I$89,5,0)</f>
        <v>367.75564800000058</v>
      </c>
      <c r="BF179" s="14">
        <f t="shared" si="167"/>
        <v>85.20798745321521</v>
      </c>
      <c r="BG179" s="22">
        <f t="shared" si="168"/>
        <v>788.91166508101742</v>
      </c>
      <c r="BH179" s="62">
        <f t="shared" si="116"/>
        <v>1082.2449984143507</v>
      </c>
      <c r="BI179" s="62">
        <f ca="1">AVERAGE(OFFSET($BH$3,0,0,'Données projet'!$E$11+1,1))-AVERAGE(OFFSET($H$3,0,0,'Données projet'!$E$11+1,1))</f>
        <v>683.36974161977764</v>
      </c>
      <c r="BJ179" s="62">
        <f t="shared" si="146"/>
        <v>312.6921234697457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159.53574928690207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159.53574928690207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5.3866666666666747</v>
      </c>
      <c r="BY179" s="13">
        <f>IF('Données projet'!$A$114&gt;35,BY178+BX179-CG178,IF(A179&lt;'Données projet'!$A$114,$BV$205^A179,IF(A179='Données projet'!$A$114,'Données projet'!$B$114,BY178+BX179-CG178)))</f>
        <v>341.65333333333388</v>
      </c>
      <c r="BZ179" s="14">
        <f>BY179*VLOOKUP('Données projet'!$B$12,Paramètres!$A$1:$I$89,3,0)*VLOOKUP('Données projet'!$B$12,Paramètres!$A$1:$I$89,5,0)</f>
        <v>330.44710400000054</v>
      </c>
      <c r="CA179" s="14">
        <f t="shared" si="170"/>
        <v>77.522995932488612</v>
      </c>
      <c r="CB179" s="22">
        <f t="shared" si="171"/>
        <v>710.54792404908528</v>
      </c>
      <c r="CC179" s="62">
        <f t="shared" si="119"/>
        <v>1003.8812573824187</v>
      </c>
      <c r="CD179" s="62">
        <f ca="1">AVERAGE(OFFSET($CC$3,0,0,'Données projet'!$E$12+1,1))-AVERAGE(OFFSET($H$3,0,0,'Données projet'!$E$12+1,1))</f>
        <v>618.83149423524605</v>
      </c>
      <c r="CE179" s="62">
        <f t="shared" si="148"/>
        <v>285.33582535802435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143.3509631273613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143.3509631273613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354.24684313982857</v>
      </c>
      <c r="CZ179" s="62">
        <f t="shared" si="150"/>
        <v>322.65043486962185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24.92784841928253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24.92784841928253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>
        <f>VLOOKUP(A180,'Données projet'!$A$35:$I$55,2,0)</f>
        <v>347.04</v>
      </c>
      <c r="L180" s="13">
        <f>VLOOKUP(A180,'Données projet'!$A$35:$I$55,9,0)</f>
        <v>5.3866666666666747</v>
      </c>
      <c r="M180" s="13">
        <f t="array" ref="M180">INDEX(L:L,MIN(IF(ISNUMBER(L180:L376),ROW(L180:L376),"")))</f>
        <v>5.3866666666666747</v>
      </c>
      <c r="N180" s="14">
        <f>IF('Données projet'!$A$36&gt;35,N179+M180-V179,IF(A180&lt;'Données projet'!$A$36,$K$205^A180,IF(A180='Données projet'!$A$36,'Données projet'!$B$36,N179+M180-V179)))</f>
        <v>347.04000000000053</v>
      </c>
      <c r="O180" s="14">
        <f>N180*VLOOKUP('Données projet'!$B$9,Paramètres!$A$1:$I$89,3,0)*VLOOKUP('Données projet'!$B$9,Paramètres!$A$1:$I$89,5,0)</f>
        <v>314.00179200000048</v>
      </c>
      <c r="P180" s="14">
        <f t="shared" si="141"/>
        <v>74.103938722927282</v>
      </c>
      <c r="Q180" s="22">
        <f t="shared" si="162"/>
        <v>675.95081434243241</v>
      </c>
      <c r="R180" s="62">
        <f t="shared" si="109"/>
        <v>969.28414767576578</v>
      </c>
      <c r="S180" s="62">
        <f ca="1">AVERAGE(OFFSET($R$3,0,0,'Données projet'!$E$9+1,1))-AVERAGE(OFFSET($H$3,0,0,'Données projet'!$E$9+1,1))</f>
        <v>581.88778927327667</v>
      </c>
      <c r="T180" s="62">
        <f t="shared" si="142"/>
        <v>269.67340993773422</v>
      </c>
      <c r="U180" s="16">
        <f>IF(ISNA(VLOOKUP(A180,'Données projet'!$A$35:$I$55,3,0)),0,VLOOKUP(A180,'Données projet'!$A$35:$I$55,3,0))</f>
        <v>16</v>
      </c>
      <c r="V180" s="16">
        <f>IF(ISNA(VLOOKUP(A180,'Données projet'!$A$35:$I$55,4,0)),0,VLOOKUP(A180,'Données projet'!$A$35:$I$55,4,0))</f>
        <v>115.19</v>
      </c>
      <c r="W180" s="17">
        <f>IF(ISNA(VLOOKUP(A180,'Données projet'!$A$35:$I$55,5,0)),0%,VLOOKUP(A180,'Données projet'!$A$35:$I$55,5,0)*VLOOKUP('Données projet'!$B$9,Paramètres!$A$1:$I$89,7,0))</f>
        <v>0.34400000000000003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171.10730334928334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171.10730334928334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2.8421709430404007E-13</v>
      </c>
      <c r="AJ180" s="14">
        <f>AI180*VLOOKUP('Données projet'!$B$10,Paramètres!$A$1:$I$89,3,0)*VLOOKUP('Données projet'!$B$10,Paramètres!$A$1:$I$89,5,0)</f>
        <v>2.7046098693972454E-13</v>
      </c>
      <c r="AK180" s="14">
        <f t="shared" si="164"/>
        <v>3.6187594451142911E-12</v>
      </c>
      <c r="AL180" s="22">
        <f t="shared" si="165"/>
        <v>6.7737255858274096E-12</v>
      </c>
      <c r="AM180" s="62">
        <f t="shared" si="113"/>
        <v>293.33333333334008</v>
      </c>
      <c r="AN180" s="62">
        <f ca="1">AVERAGE(OFFSET($AM$3,0,0,'Données projet'!$E$10+1,1))-AVERAGE(OFFSET($H$3,0,0,'Données projet'!$E$10+1,1))</f>
        <v>444.81608506581125</v>
      </c>
      <c r="AO180" s="62">
        <f t="shared" si="144"/>
        <v>306.75289431725565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57.610241610408316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57.610241610408316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>
        <f>VLOOKUP(A180,'Données projet'!$A$87:$I$107,2,0)</f>
        <v>347.04</v>
      </c>
      <c r="BB180" s="13">
        <f>VLOOKUP(A180,'Données projet'!$A$87:$I$107,9,0)</f>
        <v>5.3866666666666747</v>
      </c>
      <c r="BC180" s="13">
        <f t="array" ref="BC180">INDEX(BB:BB,MIN(IF(ISNUMBER(BB180:BB376),ROW(BB180:BB376),"")))</f>
        <v>5.3866666666666747</v>
      </c>
      <c r="BD180" s="13">
        <f>IF('Données projet'!$A$88&gt;35,BD179+BC180-BL179,IF(A180&lt;'Données projet'!$A$88,$BA$205^A180,IF(A180='Données projet'!$A$88,'Données projet'!$B$88,BD179+BC180-BL179)))</f>
        <v>347.04000000000053</v>
      </c>
      <c r="BE180" s="14">
        <f>BD180*VLOOKUP('Données projet'!$B$11,Paramètres!$A$1:$I$89,3,0)*VLOOKUP('Données projet'!$B$11,Paramètres!$A$1:$I$89,5,0)</f>
        <v>373.55385600000056</v>
      </c>
      <c r="BF180" s="14">
        <f t="shared" si="167"/>
        <v>86.393958482000173</v>
      </c>
      <c r="BG180" s="22">
        <f t="shared" si="168"/>
        <v>801.07577688948459</v>
      </c>
      <c r="BH180" s="62">
        <f t="shared" si="116"/>
        <v>1094.4091102228178</v>
      </c>
      <c r="BI180" s="62">
        <f ca="1">AVERAGE(OFFSET($BH$3,0,0,'Données projet'!$E$11+1,1))-AVERAGE(OFFSET($H$3,0,0,'Données projet'!$E$11+1,1))</f>
        <v>683.36974161977764</v>
      </c>
      <c r="BJ180" s="62">
        <f t="shared" si="146"/>
        <v>312.6921234697457</v>
      </c>
      <c r="BK180" s="16">
        <f>IF(ISNA(VLOOKUP(A180,'Données projet'!$A$87:$I$107,3,0)),0,VLOOKUP(A180,'Données projet'!$A$87:$I$107,3,0))</f>
        <v>16</v>
      </c>
      <c r="BL180" s="16">
        <f>IF(ISNA(VLOOKUP(A180,'Données projet'!$A$87:$I$107,4,0)),0,VLOOKUP(A180,'Données projet'!$A$87:$I$107,4,0))</f>
        <v>115.19</v>
      </c>
      <c r="BM180" s="17">
        <f>IF(ISNA(VLOOKUP(A180,'Données projet'!$A$87:$I$107,5,0)),0%,VLOOKUP(A180,'Données projet'!$A$87:$I$107,5,0)*VLOOKUP('Données projet'!$B$11,Paramètres!$A$1:$I$89,7,0))</f>
        <v>0.34400000000000003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203.55868846725087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203.55868846725087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>
        <f>VLOOKUP(A180,'Données projet'!$A$113:$I$133,2,0)</f>
        <v>347.04</v>
      </c>
      <c r="BW180" s="13">
        <f>VLOOKUP(A180,'Données projet'!$A$113:$I$133,9,0)</f>
        <v>5.3866666666666747</v>
      </c>
      <c r="BX180" s="13">
        <f t="array" ref="BX180">INDEX(BW:BW,MIN(IF(ISNUMBER(BW180:BW376),ROW(BW180:BW376),"")))</f>
        <v>5.3866666666666747</v>
      </c>
      <c r="BY180" s="13">
        <f>IF('Données projet'!$A$114&gt;35,BY179+BX180-CG179,IF(A180&lt;'Données projet'!$A$114,$BV$205^A180,IF(A180='Données projet'!$A$114,'Données projet'!$B$114,BY179+BX180-CG179)))</f>
        <v>347.04000000000053</v>
      </c>
      <c r="BZ180" s="14">
        <f>BY180*VLOOKUP('Données projet'!$B$12,Paramètres!$A$1:$I$89,3,0)*VLOOKUP('Données projet'!$B$12,Paramètres!$A$1:$I$89,5,0)</f>
        <v>335.6570880000005</v>
      </c>
      <c r="CA180" s="14">
        <f t="shared" si="170"/>
        <v>78.602003077106744</v>
      </c>
      <c r="CB180" s="22">
        <f t="shared" si="171"/>
        <v>721.50125029262847</v>
      </c>
      <c r="CC180" s="62">
        <f t="shared" si="119"/>
        <v>1014.8345836259618</v>
      </c>
      <c r="CD180" s="62">
        <f ca="1">AVERAGE(OFFSET($CC$3,0,0,'Données projet'!$E$12+1,1))-AVERAGE(OFFSET($H$3,0,0,'Données projet'!$E$12+1,1))</f>
        <v>618.83149423524605</v>
      </c>
      <c r="CE180" s="62">
        <f t="shared" si="148"/>
        <v>285.33582535802435</v>
      </c>
      <c r="CF180" s="16">
        <f>IF(ISNA(VLOOKUP(A180,'Données projet'!$A$113:$I$133,3,0)),0,VLOOKUP(A180,'Données projet'!$A$113:$I$133,3,0))</f>
        <v>16</v>
      </c>
      <c r="CG180" s="16">
        <f>IF(ISNA(VLOOKUP(A180,'Données projet'!$A$113:$I$133,4,0)),0,VLOOKUP(A180,'Données projet'!$A$113:$I$133,4,0))</f>
        <v>115.19</v>
      </c>
      <c r="CH180" s="17">
        <f>IF(ISNA(VLOOKUP(A180,'Données projet'!$A$113:$I$133,5,0)),0%,VLOOKUP(A180,'Données projet'!$A$113:$I$133,5,0)*VLOOKUP('Données projet'!$B$12,Paramètres!$A$1:$I$89,7,0))</f>
        <v>0.34400000000000003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182.90780702854428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182.90780702854428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354.24684313982857</v>
      </c>
      <c r="CZ180" s="62">
        <f t="shared" si="150"/>
        <v>322.65043486962185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24.439028516266617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24.439028516266617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3.2566666666666606</v>
      </c>
      <c r="N181" s="14">
        <f>IF('Données projet'!$A$36&gt;35,N180+M181-V180,IF(A181&lt;'Données projet'!$A$36,$K$205^A181,IF(A181='Données projet'!$A$36,'Données projet'!$B$36,N180+M181-V180)))</f>
        <v>235.10666666666719</v>
      </c>
      <c r="O181" s="14">
        <f>N181*VLOOKUP('Données projet'!$B$9,Paramètres!$A$1:$I$89,3,0)*VLOOKUP('Données projet'!$B$9,Paramètres!$A$1:$I$89,5,0)</f>
        <v>212.72451200000049</v>
      </c>
      <c r="P181" s="14">
        <f t="shared" si="141"/>
        <v>52.530512718953382</v>
      </c>
      <c r="Q181" s="22">
        <f t="shared" si="162"/>
        <v>461.98583471884461</v>
      </c>
      <c r="R181" s="62">
        <f t="shared" si="109"/>
        <v>755.31916805217793</v>
      </c>
      <c r="S181" s="62">
        <f ca="1">AVERAGE(OFFSET($R$3,0,0,'Données projet'!$E$9+1,1))-AVERAGE(OFFSET($H$3,0,0,'Données projet'!$E$9+1,1))</f>
        <v>581.88778927327667</v>
      </c>
      <c r="T181" s="62">
        <f t="shared" si="142"/>
        <v>269.67340993773422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167.75199349575374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167.75199349575374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2.8421709430404007E-13</v>
      </c>
      <c r="AJ181" s="14">
        <f>AI181*VLOOKUP('Données projet'!$B$10,Paramètres!$A$1:$I$89,3,0)*VLOOKUP('Données projet'!$B$10,Paramètres!$A$1:$I$89,5,0)</f>
        <v>2.7046098693972454E-13</v>
      </c>
      <c r="AK181" s="14">
        <f t="shared" si="164"/>
        <v>3.6187594451142911E-12</v>
      </c>
      <c r="AL181" s="22">
        <f t="shared" si="165"/>
        <v>6.7737255858274096E-12</v>
      </c>
      <c r="AM181" s="62">
        <f t="shared" si="113"/>
        <v>293.33333333334008</v>
      </c>
      <c r="AN181" s="62">
        <f ca="1">AVERAGE(OFFSET($AM$3,0,0,'Données projet'!$E$10+1,1))-AVERAGE(OFFSET($H$3,0,0,'Données projet'!$E$10+1,1))</f>
        <v>444.81608506581125</v>
      </c>
      <c r="AO181" s="62">
        <f t="shared" si="144"/>
        <v>306.75289431725565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56.480539911205923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56.480539911205923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3.2566666666666606</v>
      </c>
      <c r="BD181" s="13">
        <f>IF('Données projet'!$A$88&gt;35,BD180+BC181-BL180,IF(A181&lt;'Données projet'!$A$88,$BA$205^A181,IF(A181='Données projet'!$A$88,'Données projet'!$B$88,BD180+BC181-BL180)))</f>
        <v>235.10666666666719</v>
      </c>
      <c r="BE181" s="14">
        <f>BD181*VLOOKUP('Données projet'!$B$11,Paramètres!$A$1:$I$89,3,0)*VLOOKUP('Données projet'!$B$11,Paramètres!$A$1:$I$89,5,0)</f>
        <v>253.06881600000054</v>
      </c>
      <c r="BF181" s="14">
        <f t="shared" si="167"/>
        <v>61.242614267078274</v>
      </c>
      <c r="BG181" s="22">
        <f t="shared" si="168"/>
        <v>547.42574104849564</v>
      </c>
      <c r="BH181" s="62">
        <f t="shared" si="116"/>
        <v>840.7590743818289</v>
      </c>
      <c r="BI181" s="62">
        <f ca="1">AVERAGE(OFFSET($BH$3,0,0,'Données projet'!$E$11+1,1))-AVERAGE(OFFSET($H$3,0,0,'Données projet'!$E$11+1,1))</f>
        <v>683.36974161977764</v>
      </c>
      <c r="BJ181" s="62">
        <f t="shared" si="146"/>
        <v>312.6921234697457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199.56702674494841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199.56702674494841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3.2566666666666606</v>
      </c>
      <c r="BY181" s="13">
        <f>IF('Données projet'!$A$114&gt;35,BY180+BX181-CG180,IF(A181&lt;'Données projet'!$A$114,$BV$205^A181,IF(A181='Données projet'!$A$114,'Données projet'!$B$114,BY180+BX181-CG180)))</f>
        <v>235.10666666666719</v>
      </c>
      <c r="BZ181" s="14">
        <f>BY181*VLOOKUP('Données projet'!$B$12,Paramètres!$A$1:$I$89,3,0)*VLOOKUP('Données projet'!$B$12,Paramètres!$A$1:$I$89,5,0)</f>
        <v>227.39516800000052</v>
      </c>
      <c r="CA181" s="14">
        <f t="shared" si="170"/>
        <v>55.719083135586125</v>
      </c>
      <c r="CB181" s="22">
        <f t="shared" si="171"/>
        <v>493.09065406114672</v>
      </c>
      <c r="CC181" s="62">
        <f t="shared" si="119"/>
        <v>786.42398739448004</v>
      </c>
      <c r="CD181" s="62">
        <f ca="1">AVERAGE(OFFSET($CC$3,0,0,'Données projet'!$E$12+1,1))-AVERAGE(OFFSET($H$3,0,0,'Données projet'!$E$12+1,1))</f>
        <v>618.83149423524605</v>
      </c>
      <c r="CE181" s="62">
        <f t="shared" si="148"/>
        <v>285.33582535802435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179.32109649546092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179.32109649546092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354.24684313982857</v>
      </c>
      <c r="CZ181" s="62">
        <f t="shared" si="150"/>
        <v>322.65043486962185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23.959794073398147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23.959794073398147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3.2566666666666606</v>
      </c>
      <c r="N182" s="14">
        <f>IF('Données projet'!$A$36&gt;35,N181+M182-V181,IF(A182&lt;'Données projet'!$A$36,$K$205^A182,IF(A182='Données projet'!$A$36,'Données projet'!$B$36,N181+M182-V181)))</f>
        <v>238.36333333333386</v>
      </c>
      <c r="O182" s="14">
        <f>N182*VLOOKUP('Données projet'!$B$9,Paramètres!$A$1:$I$89,3,0)*VLOOKUP('Données projet'!$B$9,Paramètres!$A$1:$I$89,5,0)</f>
        <v>215.67114400000045</v>
      </c>
      <c r="P182" s="14">
        <f t="shared" si="141"/>
        <v>53.172944836363733</v>
      </c>
      <c r="Q182" s="22">
        <f t="shared" si="162"/>
        <v>468.23678805666754</v>
      </c>
      <c r="R182" s="62">
        <f t="shared" si="109"/>
        <v>761.57012139000085</v>
      </c>
      <c r="S182" s="62">
        <f ca="1">AVERAGE(OFFSET($R$3,0,0,'Données projet'!$E$9+1,1))-AVERAGE(OFFSET($H$3,0,0,'Données projet'!$E$9+1,1))</f>
        <v>581.88778927327667</v>
      </c>
      <c r="T182" s="62">
        <f t="shared" si="142"/>
        <v>269.67340993773422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164.46247922191492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164.46247922191492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2.8421709430404007E-13</v>
      </c>
      <c r="AJ182" s="14">
        <f>AI182*VLOOKUP('Données projet'!$B$10,Paramètres!$A$1:$I$89,3,0)*VLOOKUP('Données projet'!$B$10,Paramètres!$A$1:$I$89,5,0)</f>
        <v>2.7046098693972454E-13</v>
      </c>
      <c r="AK182" s="14">
        <f t="shared" si="164"/>
        <v>3.6187594451142911E-12</v>
      </c>
      <c r="AL182" s="22">
        <f t="shared" si="165"/>
        <v>6.7737255858274096E-12</v>
      </c>
      <c r="AM182" s="62">
        <f t="shared" si="113"/>
        <v>293.33333333334008</v>
      </c>
      <c r="AN182" s="62">
        <f ca="1">AVERAGE(OFFSET($AM$3,0,0,'Données projet'!$E$10+1,1))-AVERAGE(OFFSET($H$3,0,0,'Données projet'!$E$10+1,1))</f>
        <v>444.81608506581125</v>
      </c>
      <c r="AO182" s="62">
        <f t="shared" si="144"/>
        <v>306.75289431725565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55.372990973274895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55.372990973274895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3.2566666666666606</v>
      </c>
      <c r="BD182" s="13">
        <f>IF('Données projet'!$A$88&gt;35,BD181+BC182-BL181,IF(A182&lt;'Données projet'!$A$88,$BA$205^A182,IF(A182='Données projet'!$A$88,'Données projet'!$B$88,BD181+BC182-BL181)))</f>
        <v>238.36333333333386</v>
      </c>
      <c r="BE182" s="14">
        <f>BD182*VLOOKUP('Données projet'!$B$11,Paramètres!$A$1:$I$89,3,0)*VLOOKUP('Données projet'!$B$11,Paramètres!$A$1:$I$89,5,0)</f>
        <v>256.57429200000053</v>
      </c>
      <c r="BF182" s="14">
        <f t="shared" si="167"/>
        <v>61.991592724034234</v>
      </c>
      <c r="BG182" s="22">
        <f t="shared" si="168"/>
        <v>554.83558256102708</v>
      </c>
      <c r="BH182" s="62">
        <f t="shared" si="116"/>
        <v>848.16891589436045</v>
      </c>
      <c r="BI182" s="62">
        <f ca="1">AVERAGE(OFFSET($BH$3,0,0,'Données projet'!$E$11+1,1))-AVERAGE(OFFSET($H$3,0,0,'Données projet'!$E$11+1,1))</f>
        <v>683.36974161977764</v>
      </c>
      <c r="BJ182" s="62">
        <f t="shared" si="146"/>
        <v>312.6921234697457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195.65363907434704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195.65363907434704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3.2566666666666606</v>
      </c>
      <c r="BY182" s="13">
        <f>IF('Données projet'!$A$114&gt;35,BY181+BX182-CG181,IF(A182&lt;'Données projet'!$A$114,$BV$205^A182,IF(A182='Données projet'!$A$114,'Données projet'!$B$114,BY181+BX182-CG181)))</f>
        <v>238.36333333333386</v>
      </c>
      <c r="BZ182" s="14">
        <f>BY182*VLOOKUP('Données projet'!$B$12,Paramètres!$A$1:$I$89,3,0)*VLOOKUP('Données projet'!$B$12,Paramètres!$A$1:$I$89,5,0)</f>
        <v>230.54501600000052</v>
      </c>
      <c r="CA182" s="14">
        <f t="shared" si="170"/>
        <v>56.400510494775887</v>
      </c>
      <c r="CB182" s="22">
        <f t="shared" si="171"/>
        <v>499.76345864506885</v>
      </c>
      <c r="CC182" s="62">
        <f t="shared" si="119"/>
        <v>793.09679197840217</v>
      </c>
      <c r="CD182" s="62">
        <f ca="1">AVERAGE(OFFSET($CC$3,0,0,'Données projet'!$E$12+1,1))-AVERAGE(OFFSET($H$3,0,0,'Données projet'!$E$12+1,1))</f>
        <v>618.83149423524605</v>
      </c>
      <c r="CE182" s="62">
        <f t="shared" si="148"/>
        <v>285.33582535802435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175.80471916825391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175.80471916825391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354.24684313982857</v>
      </c>
      <c r="CZ182" s="62">
        <f t="shared" si="150"/>
        <v>322.65043486962185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23.489957125650179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23.489957125650179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241.62</v>
      </c>
      <c r="L183" s="13">
        <f>VLOOKUP(A183,'Données projet'!$A$35:$I$55,9,0)</f>
        <v>3.2566666666666606</v>
      </c>
      <c r="M183" s="13">
        <f t="array" ref="M183">INDEX(L:L,MIN(IF(ISNUMBER(L183:L379),ROW(L183:L379),"")))</f>
        <v>3.2566666666666606</v>
      </c>
      <c r="N183" s="14">
        <f>IF('Données projet'!$A$36&gt;35,N182+M183-V182,IF(A183&lt;'Données projet'!$A$36,$K$205^A183,IF(A183='Données projet'!$A$36,'Données projet'!$B$36,N182+M183-V182)))</f>
        <v>241.62000000000052</v>
      </c>
      <c r="O183" s="14">
        <f>N183*VLOOKUP('Données projet'!$B$9,Paramètres!$A$1:$I$89,3,0)*VLOOKUP('Données projet'!$B$9,Paramètres!$A$1:$I$89,5,0)</f>
        <v>218.61777600000045</v>
      </c>
      <c r="P183" s="14">
        <f t="shared" si="141"/>
        <v>53.814356054061541</v>
      </c>
      <c r="Q183" s="22">
        <f t="shared" si="162"/>
        <v>474.48596332749122</v>
      </c>
      <c r="R183" s="62">
        <f t="shared" si="109"/>
        <v>767.81929666082453</v>
      </c>
      <c r="S183" s="62">
        <f ca="1">AVERAGE(OFFSET($R$3,0,0,'Données projet'!$E$9+1,1))-AVERAGE(OFFSET($H$3,0,0,'Données projet'!$E$9+1,1))</f>
        <v>581.88778927327667</v>
      </c>
      <c r="T183" s="62">
        <f t="shared" si="142"/>
        <v>269.67340993773422</v>
      </c>
      <c r="U183" s="16">
        <f>IF(ISNA(VLOOKUP(A183,'Données projet'!$A$35:$I$55,3,0)),0,VLOOKUP(A183,'Données projet'!$A$35:$I$55,3,0))</f>
        <v>17</v>
      </c>
      <c r="V183" s="16">
        <f>IF(ISNA(VLOOKUP(A183,'Données projet'!$A$35:$I$55,4,0)),0,VLOOKUP(A183,'Données projet'!$A$35:$I$55,4,0))</f>
        <v>77.72</v>
      </c>
      <c r="W183" s="17">
        <f>IF(ISNA(VLOOKUP(A183,'Données projet'!$A$35:$I$55,5,0)),0%,VLOOKUP(A183,'Données projet'!$A$35:$I$55,5,0)*VLOOKUP('Données projet'!$B$9,Paramètres!$A$1:$I$89,7,0))</f>
        <v>0.34400000000000003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187.97928881270488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187.97928881270488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2.8421709430404007E-13</v>
      </c>
      <c r="AJ183" s="14">
        <f>AI183*VLOOKUP('Données projet'!$B$10,Paramètres!$A$1:$I$89,3,0)*VLOOKUP('Données projet'!$B$10,Paramètres!$A$1:$I$89,5,0)</f>
        <v>2.7046098693972454E-13</v>
      </c>
      <c r="AK183" s="14">
        <f t="shared" si="164"/>
        <v>3.6187594451142911E-12</v>
      </c>
      <c r="AL183" s="22">
        <f t="shared" si="165"/>
        <v>6.7737255858274096E-12</v>
      </c>
      <c r="AM183" s="62">
        <f t="shared" si="113"/>
        <v>293.33333333334008</v>
      </c>
      <c r="AN183" s="62">
        <f ca="1">AVERAGE(OFFSET($AM$3,0,0,'Données projet'!$E$10+1,1))-AVERAGE(OFFSET($H$3,0,0,'Données projet'!$E$10+1,1))</f>
        <v>444.81608506581125</v>
      </c>
      <c r="AO183" s="62">
        <f t="shared" si="144"/>
        <v>306.75289431725565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54.287160394478541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54.287160394478541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>
        <f>VLOOKUP(A183,'Données projet'!$A$87:$I$107,2,0)</f>
        <v>241.62</v>
      </c>
      <c r="BB183" s="13">
        <f>VLOOKUP(A183,'Données projet'!$A$87:$I$107,9,0)</f>
        <v>3.2566666666666606</v>
      </c>
      <c r="BC183" s="13">
        <f t="array" ref="BC183">INDEX(BB:BB,MIN(IF(ISNUMBER(BB183:BB379),ROW(BB183:BB379),"")))</f>
        <v>3.2566666666666606</v>
      </c>
      <c r="BD183" s="13">
        <f>IF('Données projet'!$A$88&gt;35,BD182+BC183-BL182,IF(A183&lt;'Données projet'!$A$88,$BA$205^A183,IF(A183='Données projet'!$A$88,'Données projet'!$B$88,BD182+BC183-BL182)))</f>
        <v>241.62000000000052</v>
      </c>
      <c r="BE183" s="14">
        <f>BD183*VLOOKUP('Données projet'!$B$11,Paramètres!$A$1:$I$89,3,0)*VLOOKUP('Données projet'!$B$11,Paramètres!$A$1:$I$89,5,0)</f>
        <v>260.07976800000057</v>
      </c>
      <c r="BF183" s="14">
        <f t="shared" si="167"/>
        <v>62.739380966692501</v>
      </c>
      <c r="BG183" s="22">
        <f t="shared" si="168"/>
        <v>562.24335111699042</v>
      </c>
      <c r="BH183" s="62">
        <f t="shared" si="116"/>
        <v>855.57668445032368</v>
      </c>
      <c r="BI183" s="62">
        <f ca="1">AVERAGE(OFFSET($BH$3,0,0,'Données projet'!$E$11+1,1))-AVERAGE(OFFSET($H$3,0,0,'Données projet'!$E$11+1,1))</f>
        <v>683.36974161977764</v>
      </c>
      <c r="BJ183" s="62">
        <f t="shared" si="146"/>
        <v>312.6921234697457</v>
      </c>
      <c r="BK183" s="16">
        <f>IF(ISNA(VLOOKUP(A183,'Données projet'!$A$87:$I$107,3,0)),0,VLOOKUP(A183,'Données projet'!$A$87:$I$107,3,0))</f>
        <v>17</v>
      </c>
      <c r="BL183" s="16">
        <f>IF(ISNA(VLOOKUP(A183,'Données projet'!$A$87:$I$107,4,0)),0,VLOOKUP(A183,'Données projet'!$A$87:$I$107,4,0))</f>
        <v>77.72</v>
      </c>
      <c r="BM183" s="17">
        <f>IF(ISNA(VLOOKUP(A183,'Données projet'!$A$87:$I$107,5,0)),0%,VLOOKUP(A183,'Données projet'!$A$87:$I$107,5,0)*VLOOKUP('Données projet'!$B$11,Paramètres!$A$1:$I$89,7,0))</f>
        <v>0.34400000000000003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223.63053324270061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223.63053324270061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>
        <f>VLOOKUP(A183,'Données projet'!$A$113:$I$133,2,0)</f>
        <v>241.62</v>
      </c>
      <c r="BW183" s="13">
        <f>VLOOKUP(A183,'Données projet'!$A$113:$I$133,9,0)</f>
        <v>3.2566666666666606</v>
      </c>
      <c r="BX183" s="13">
        <f t="array" ref="BX183">INDEX(BW:BW,MIN(IF(ISNUMBER(BW183:BW379),ROW(BW183:BW379),"")))</f>
        <v>3.2566666666666606</v>
      </c>
      <c r="BY183" s="13">
        <f>IF('Données projet'!$A$114&gt;35,BY182+BX183-CG182,IF(A183&lt;'Données projet'!$A$114,$BV$205^A183,IF(A183='Données projet'!$A$114,'Données projet'!$B$114,BY182+BX183-CG182)))</f>
        <v>241.62000000000052</v>
      </c>
      <c r="BZ183" s="14">
        <f>BY183*VLOOKUP('Données projet'!$B$12,Paramètres!$A$1:$I$89,3,0)*VLOOKUP('Données projet'!$B$12,Paramètres!$A$1:$I$89,5,0)</f>
        <v>233.69486400000051</v>
      </c>
      <c r="CA183" s="14">
        <f t="shared" si="170"/>
        <v>57.080854986256675</v>
      </c>
      <c r="CB183" s="22">
        <f t="shared" si="171"/>
        <v>506.43437723439791</v>
      </c>
      <c r="CC183" s="62">
        <f t="shared" si="119"/>
        <v>799.76771056773123</v>
      </c>
      <c r="CD183" s="62">
        <f ca="1">AVERAGE(OFFSET($CC$3,0,0,'Données projet'!$E$12+1,1))-AVERAGE(OFFSET($H$3,0,0,'Données projet'!$E$12+1,1))</f>
        <v>618.83149423524605</v>
      </c>
      <c r="CE183" s="62">
        <f t="shared" si="148"/>
        <v>285.33582535802435</v>
      </c>
      <c r="CF183" s="16">
        <f>IF(ISNA(VLOOKUP(A183,'Données projet'!$A$113:$I$133,3,0)),0,VLOOKUP(A183,'Données projet'!$A$113:$I$133,3,0))</f>
        <v>17</v>
      </c>
      <c r="CG183" s="16">
        <f>IF(ISNA(VLOOKUP(A183,'Données projet'!$A$113:$I$133,4,0)),0,VLOOKUP(A183,'Données projet'!$A$113:$I$133,4,0))</f>
        <v>77.72</v>
      </c>
      <c r="CH183" s="17">
        <f>IF(ISNA(VLOOKUP(A183,'Données projet'!$A$113:$I$133,5,0)),0%,VLOOKUP(A183,'Données projet'!$A$113:$I$133,5,0)*VLOOKUP('Données projet'!$B$12,Paramètres!$A$1:$I$89,7,0))</f>
        <v>0.34400000000000003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200.94337769633972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200.94337769633972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354.24684313982857</v>
      </c>
      <c r="CZ183" s="62">
        <f t="shared" si="150"/>
        <v>322.65043486962185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23.029333393875305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23.029333393875305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1.9533333333333285</v>
      </c>
      <c r="N184" s="14">
        <f>IF('Données projet'!$A$36&gt;35,N183+M184-V183,IF(A184&lt;'Données projet'!$A$36,$K$205^A184,IF(A184='Données projet'!$A$36,'Données projet'!$B$36,N183+M184-V183)))</f>
        <v>165.85333333333384</v>
      </c>
      <c r="O184" s="14">
        <f>N184*VLOOKUP('Données projet'!$B$9,Paramètres!$A$1:$I$89,3,0)*VLOOKUP('Données projet'!$B$9,Paramètres!$A$1:$I$89,5,0)</f>
        <v>150.06409600000046</v>
      </c>
      <c r="P184" s="14">
        <f t="shared" si="141"/>
        <v>38.593151304664545</v>
      </c>
      <c r="Q184" s="22">
        <f t="shared" si="162"/>
        <v>328.57803905562486</v>
      </c>
      <c r="R184" s="62">
        <f t="shared" si="109"/>
        <v>621.91137238895817</v>
      </c>
      <c r="S184" s="62">
        <f ca="1">AVERAGE(OFFSET($R$3,0,0,'Données projet'!$E$9+1,1))-AVERAGE(OFFSET($H$3,0,0,'Données projet'!$E$9+1,1))</f>
        <v>581.88778927327667</v>
      </c>
      <c r="T184" s="62">
        <f t="shared" si="142"/>
        <v>269.67340993773422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184.29312961513256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184.29312961513256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2.8421709430404007E-13</v>
      </c>
      <c r="AJ184" s="14">
        <f>AI184*VLOOKUP('Données projet'!$B$10,Paramètres!$A$1:$I$89,3,0)*VLOOKUP('Données projet'!$B$10,Paramètres!$A$1:$I$89,5,0)</f>
        <v>2.7046098693972454E-13</v>
      </c>
      <c r="AK184" s="14">
        <f t="shared" si="164"/>
        <v>3.6187594451142911E-12</v>
      </c>
      <c r="AL184" s="22">
        <f t="shared" si="165"/>
        <v>6.7737255858274096E-12</v>
      </c>
      <c r="AM184" s="62">
        <f t="shared" si="113"/>
        <v>293.33333333334008</v>
      </c>
      <c r="AN184" s="62">
        <f ca="1">AVERAGE(OFFSET($AM$3,0,0,'Données projet'!$E$10+1,1))-AVERAGE(OFFSET($H$3,0,0,'Données projet'!$E$10+1,1))</f>
        <v>444.81608506581125</v>
      </c>
      <c r="AO184" s="62">
        <f t="shared" si="144"/>
        <v>306.75289431725565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53.222622291041127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53.222622291041127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1.9533333333333285</v>
      </c>
      <c r="BD184" s="13">
        <f>IF('Données projet'!$A$88&gt;35,BD183+BC184-BL183,IF(A184&lt;'Données projet'!$A$88,$BA$205^A184,IF(A184='Données projet'!$A$88,'Données projet'!$B$88,BD183+BC184-BL183)))</f>
        <v>165.85333333333384</v>
      </c>
      <c r="BE184" s="14">
        <f>BD184*VLOOKUP('Données projet'!$B$11,Paramètres!$A$1:$I$89,3,0)*VLOOKUP('Données projet'!$B$11,Paramètres!$A$1:$I$89,5,0)</f>
        <v>178.52452800000054</v>
      </c>
      <c r="BF184" s="14">
        <f t="shared" si="167"/>
        <v>44.993763745423621</v>
      </c>
      <c r="BG184" s="22">
        <f t="shared" si="168"/>
        <v>389.29435812328035</v>
      </c>
      <c r="BH184" s="62">
        <f t="shared" si="116"/>
        <v>682.62769145661366</v>
      </c>
      <c r="BI184" s="62">
        <f ca="1">AVERAGE(OFFSET($BH$3,0,0,'Données projet'!$E$11+1,1))-AVERAGE(OFFSET($H$3,0,0,'Données projet'!$E$11+1,1))</f>
        <v>683.36974161977764</v>
      </c>
      <c r="BJ184" s="62">
        <f t="shared" si="146"/>
        <v>312.6921234697457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219.24527488696802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219.24527488696802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1.9533333333333285</v>
      </c>
      <c r="BY184" s="13">
        <f>IF('Données projet'!$A$114&gt;35,BY183+BX184-CG183,IF(A184&lt;'Données projet'!$A$114,$BV$205^A184,IF(A184='Données projet'!$A$114,'Données projet'!$B$114,BY183+BX184-CG183)))</f>
        <v>165.85333333333384</v>
      </c>
      <c r="BZ184" s="14">
        <f>BY184*VLOOKUP('Données projet'!$B$12,Paramètres!$A$1:$I$89,3,0)*VLOOKUP('Données projet'!$B$12,Paramètres!$A$1:$I$89,5,0)</f>
        <v>160.41334400000048</v>
      </c>
      <c r="CA184" s="14">
        <f t="shared" si="170"/>
        <v>40.935732295508117</v>
      </c>
      <c r="CB184" s="22">
        <f t="shared" si="171"/>
        <v>350.68297454801086</v>
      </c>
      <c r="CC184" s="62">
        <f t="shared" si="119"/>
        <v>644.01630788134412</v>
      </c>
      <c r="CD184" s="62">
        <f ca="1">AVERAGE(OFFSET($CC$3,0,0,'Données projet'!$E$12+1,1))-AVERAGE(OFFSET($H$3,0,0,'Données projet'!$E$12+1,1))</f>
        <v>618.83149423524605</v>
      </c>
      <c r="CE184" s="62">
        <f t="shared" si="148"/>
        <v>285.33582535802435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197.00300062307278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197.00300062307278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354.24684313982857</v>
      </c>
      <c r="CZ184" s="62">
        <f t="shared" si="150"/>
        <v>322.65043486962185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22.577742212527802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22.577742212527802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1.9533333333333285</v>
      </c>
      <c r="N185" s="14">
        <f>IF('Données projet'!$A$36&gt;35,N184+M185-V184,IF(A185&lt;'Données projet'!$A$36,$K$205^A185,IF(A185='Données projet'!$A$36,'Données projet'!$B$36,N184+M185-V184)))</f>
        <v>167.80666666666716</v>
      </c>
      <c r="O185" s="14">
        <f>N185*VLOOKUP('Données projet'!$B$9,Paramètres!$A$1:$I$89,3,0)*VLOOKUP('Données projet'!$B$9,Paramètres!$A$1:$I$89,5,0)</f>
        <v>151.83147200000045</v>
      </c>
      <c r="P185" s="14">
        <f t="shared" si="141"/>
        <v>38.994499777620597</v>
      </c>
      <c r="Q185" s="22">
        <f t="shared" si="162"/>
        <v>332.35523417935661</v>
      </c>
      <c r="R185" s="62">
        <f t="shared" si="109"/>
        <v>625.68856751268993</v>
      </c>
      <c r="S185" s="62">
        <f ca="1">AVERAGE(OFFSET($R$3,0,0,'Données projet'!$E$9+1,1))-AVERAGE(OFFSET($H$3,0,0,'Données projet'!$E$9+1,1))</f>
        <v>581.88778927327667</v>
      </c>
      <c r="T185" s="62">
        <f t="shared" si="142"/>
        <v>269.67340993773422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180.67925375108953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180.67925375108953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2.8421709430404007E-13</v>
      </c>
      <c r="AJ185" s="14">
        <f>AI185*VLOOKUP('Données projet'!$B$10,Paramètres!$A$1:$I$89,3,0)*VLOOKUP('Données projet'!$B$10,Paramètres!$A$1:$I$89,5,0)</f>
        <v>2.7046098693972454E-13</v>
      </c>
      <c r="AK185" s="14">
        <f t="shared" si="164"/>
        <v>3.6187594451142911E-12</v>
      </c>
      <c r="AL185" s="22">
        <f t="shared" si="165"/>
        <v>6.7737255858274096E-12</v>
      </c>
      <c r="AM185" s="62">
        <f t="shared" si="113"/>
        <v>293.33333333334008</v>
      </c>
      <c r="AN185" s="62">
        <f ca="1">AVERAGE(OFFSET($AM$3,0,0,'Données projet'!$E$10+1,1))-AVERAGE(OFFSET($H$3,0,0,'Données projet'!$E$10+1,1))</f>
        <v>444.81608506581125</v>
      </c>
      <c r="AO185" s="62">
        <f t="shared" si="144"/>
        <v>306.75289431725565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52.178959130507991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52.178959130507991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1.9533333333333285</v>
      </c>
      <c r="BD185" s="13">
        <f>IF('Données projet'!$A$88&gt;35,BD184+BC185-BL184,IF(A185&lt;'Données projet'!$A$88,$BA$205^A185,IF(A185='Données projet'!$A$88,'Données projet'!$B$88,BD184+BC185-BL184)))</f>
        <v>167.80666666666716</v>
      </c>
      <c r="BE185" s="14">
        <f>BD185*VLOOKUP('Données projet'!$B$11,Paramètres!$A$1:$I$89,3,0)*VLOOKUP('Données projet'!$B$11,Paramètres!$A$1:$I$89,5,0)</f>
        <v>180.62709600000053</v>
      </c>
      <c r="BF185" s="14">
        <f t="shared" si="167"/>
        <v>45.46167522093949</v>
      </c>
      <c r="BG185" s="22">
        <f t="shared" si="168"/>
        <v>393.77127654313722</v>
      </c>
      <c r="BH185" s="62">
        <f t="shared" si="116"/>
        <v>687.10460987647048</v>
      </c>
      <c r="BI185" s="62">
        <f ca="1">AVERAGE(OFFSET($BH$3,0,0,'Données projet'!$E$11+1,1))-AVERAGE(OFFSET($H$3,0,0,'Données projet'!$E$11+1,1))</f>
        <v>683.36974161977764</v>
      </c>
      <c r="BJ185" s="62">
        <f t="shared" si="146"/>
        <v>312.6921234697457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214.94600877284788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214.94600877284788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1.9533333333333285</v>
      </c>
      <c r="BY185" s="13">
        <f>IF('Données projet'!$A$114&gt;35,BY184+BX185-CG184,IF(A185&lt;'Données projet'!$A$114,$BV$205^A185,IF(A185='Données projet'!$A$114,'Données projet'!$B$114,BY184+BX185-CG184)))</f>
        <v>167.80666666666716</v>
      </c>
      <c r="BZ185" s="14">
        <f>BY185*VLOOKUP('Données projet'!$B$12,Paramètres!$A$1:$I$89,3,0)*VLOOKUP('Données projet'!$B$12,Paramètres!$A$1:$I$89,5,0)</f>
        <v>162.30260800000048</v>
      </c>
      <c r="CA185" s="14">
        <f t="shared" si="170"/>
        <v>41.361442378534058</v>
      </c>
      <c r="CB185" s="22">
        <f t="shared" si="171"/>
        <v>354.71488774261428</v>
      </c>
      <c r="CC185" s="62">
        <f t="shared" si="119"/>
        <v>648.04822107594759</v>
      </c>
      <c r="CD185" s="62">
        <f ca="1">AVERAGE(OFFSET($CC$3,0,0,'Données projet'!$E$12+1,1))-AVERAGE(OFFSET($H$3,0,0,'Données projet'!$E$12+1,1))</f>
        <v>618.83149423524605</v>
      </c>
      <c r="CE185" s="62">
        <f t="shared" si="148"/>
        <v>285.33582535802435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193.13989194081989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193.13989194081989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354.24684313982857</v>
      </c>
      <c r="CZ185" s="62">
        <f t="shared" si="150"/>
        <v>322.65043486962185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22.135006458803101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22.135006458803101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>
        <f>VLOOKUP(A186,'Données projet'!$A$35:$I$55,2,0)</f>
        <v>169.76</v>
      </c>
      <c r="L186" s="13">
        <f>VLOOKUP(A186,'Données projet'!$A$35:$I$55,9,0)</f>
        <v>1.9533333333333285</v>
      </c>
      <c r="M186" s="13">
        <f t="array" ref="M186">INDEX(L:L,MIN(IF(ISNUMBER(L186:L382),ROW(L186:L382),"")))</f>
        <v>1.9533333333333285</v>
      </c>
      <c r="N186" s="14">
        <f>IF('Données projet'!$A$36&gt;35,N185+M186-V185,IF(A186&lt;'Données projet'!$A$36,$K$205^A186,IF(A186='Données projet'!$A$36,'Données projet'!$B$36,N185+M186-V185)))</f>
        <v>169.76000000000047</v>
      </c>
      <c r="O186" s="14">
        <f>N186*VLOOKUP('Données projet'!$B$9,Paramètres!$A$1:$I$89,3,0)*VLOOKUP('Données projet'!$B$9,Paramètres!$A$1:$I$89,5,0)</f>
        <v>153.5988480000004</v>
      </c>
      <c r="P186" s="14">
        <f t="shared" si="141"/>
        <v>39.395304802658316</v>
      </c>
      <c r="Q186" s="22">
        <f t="shared" si="162"/>
        <v>336.13148279796388</v>
      </c>
      <c r="R186" s="62">
        <f t="shared" si="109"/>
        <v>629.4648161312972</v>
      </c>
      <c r="S186" s="62">
        <f ca="1">AVERAGE(OFFSET($R$3,0,0,'Données projet'!$E$9+1,1))-AVERAGE(OFFSET($H$3,0,0,'Données projet'!$E$9+1,1))</f>
        <v>581.88778927327667</v>
      </c>
      <c r="T186" s="62">
        <f t="shared" si="142"/>
        <v>269.67340993773422</v>
      </c>
      <c r="U186" s="16">
        <f>IF(ISNA(VLOOKUP(A186,'Données projet'!$A$35:$I$55,3,0)),0,VLOOKUP(A186,'Données projet'!$A$35:$I$55,3,0))</f>
        <v>18</v>
      </c>
      <c r="V186" s="16">
        <f>IF(ISNA(VLOOKUP(A186,'Données projet'!$A$35:$I$55,4,0)),0,VLOOKUP(A186,'Données projet'!$A$35:$I$55,4,0))</f>
        <v>169.76</v>
      </c>
      <c r="W186" s="17">
        <f>IF(ISNA(VLOOKUP(A186,'Données projet'!$A$35:$I$55,5,0)),0%,VLOOKUP(A186,'Données projet'!$A$35:$I$55,5,0)*VLOOKUP('Données projet'!$B$9,Paramètres!$A$1:$I$89,7,0))</f>
        <v>0.34400000000000003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235.54709180576182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235.54709180576182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2.8421709430404007E-13</v>
      </c>
      <c r="AJ186" s="14">
        <f>AI186*VLOOKUP('Données projet'!$B$10,Paramètres!$A$1:$I$89,3,0)*VLOOKUP('Données projet'!$B$10,Paramètres!$A$1:$I$89,5,0)</f>
        <v>2.7046098693972454E-13</v>
      </c>
      <c r="AK186" s="14">
        <f t="shared" si="164"/>
        <v>3.6187594451142911E-12</v>
      </c>
      <c r="AL186" s="22">
        <f t="shared" si="165"/>
        <v>6.7737255858274096E-12</v>
      </c>
      <c r="AM186" s="62">
        <f t="shared" si="113"/>
        <v>293.33333333334008</v>
      </c>
      <c r="AN186" s="62">
        <f ca="1">AVERAGE(OFFSET($AM$3,0,0,'Données projet'!$E$10+1,1))-AVERAGE(OFFSET($H$3,0,0,'Données projet'!$E$10+1,1))</f>
        <v>444.81608506581125</v>
      </c>
      <c r="AO186" s="62">
        <f t="shared" si="144"/>
        <v>306.75289431725565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51.155761567981237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51.155761567981237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>
        <f>VLOOKUP(A186,'Données projet'!$A$87:$I$107,2,0)</f>
        <v>169.76</v>
      </c>
      <c r="BB186" s="13">
        <f>VLOOKUP(A186,'Données projet'!$A$87:$I$107,9,0)</f>
        <v>1.9533333333333285</v>
      </c>
      <c r="BC186" s="13">
        <f t="array" ref="BC186">INDEX(BB:BB,MIN(IF(ISNUMBER(BB186:BB382),ROW(BB186:BB382),"")))</f>
        <v>1.9533333333333285</v>
      </c>
      <c r="BD186" s="13">
        <f>IF('Données projet'!$A$88&gt;35,BD185+BC186-BL185,IF(A186&lt;'Données projet'!$A$88,$BA$205^A186,IF(A186='Données projet'!$A$88,'Données projet'!$B$88,BD185+BC186-BL185)))</f>
        <v>169.76000000000047</v>
      </c>
      <c r="BE186" s="14">
        <f>BD186*VLOOKUP('Données projet'!$B$11,Paramètres!$A$1:$I$89,3,0)*VLOOKUP('Données projet'!$B$11,Paramètres!$A$1:$I$89,5,0)</f>
        <v>182.7296640000005</v>
      </c>
      <c r="BF186" s="14">
        <f t="shared" si="167"/>
        <v>45.928953118568565</v>
      </c>
      <c r="BG186" s="22">
        <f t="shared" si="168"/>
        <v>398.24709148150777</v>
      </c>
      <c r="BH186" s="62">
        <f t="shared" si="116"/>
        <v>691.58042481484108</v>
      </c>
      <c r="BI186" s="62">
        <f ca="1">AVERAGE(OFFSET($BH$3,0,0,'Données projet'!$E$11+1,1))-AVERAGE(OFFSET($H$3,0,0,'Données projet'!$E$11+1,1))</f>
        <v>683.36974161977764</v>
      </c>
      <c r="BJ186" s="62">
        <f t="shared" si="146"/>
        <v>312.6921234697457</v>
      </c>
      <c r="BK186" s="16">
        <f>IF(ISNA(VLOOKUP(A186,'Données projet'!$A$87:$I$107,3,0)),0,VLOOKUP(A186,'Données projet'!$A$87:$I$107,3,0))</f>
        <v>18</v>
      </c>
      <c r="BL186" s="16">
        <f>IF(ISNA(VLOOKUP(A186,'Données projet'!$A$87:$I$107,4,0)),0,VLOOKUP(A186,'Données projet'!$A$87:$I$107,4,0))</f>
        <v>169.76</v>
      </c>
      <c r="BM186" s="17">
        <f>IF(ISNA(VLOOKUP(A186,'Données projet'!$A$87:$I$107,5,0)),0%,VLOOKUP(A186,'Données projet'!$A$87:$I$107,5,0)*VLOOKUP('Données projet'!$B$11,Paramètres!$A$1:$I$89,7,0))</f>
        <v>0.34400000000000003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280.21981611375111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280.21981611375111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>
        <f>VLOOKUP(A186,'Données projet'!$A$113:$I$133,2,0)</f>
        <v>169.76</v>
      </c>
      <c r="BW186" s="13">
        <f>VLOOKUP(A186,'Données projet'!$A$113:$I$133,9,0)</f>
        <v>1.9533333333333285</v>
      </c>
      <c r="BX186" s="13">
        <f t="array" ref="BX186">INDEX(BW:BW,MIN(IF(ISNUMBER(BW186:BW382),ROW(BW186:BW382),"")))</f>
        <v>1.9533333333333285</v>
      </c>
      <c r="BY186" s="13">
        <f>IF('Données projet'!$A$114&gt;35,BY185+BX186-CG185,IF(A186&lt;'Données projet'!$A$114,$BV$205^A186,IF(A186='Données projet'!$A$114,'Données projet'!$B$114,BY185+BX186-CG185)))</f>
        <v>169.76000000000047</v>
      </c>
      <c r="BZ186" s="14">
        <f>BY186*VLOOKUP('Données projet'!$B$12,Paramètres!$A$1:$I$89,3,0)*VLOOKUP('Données projet'!$B$12,Paramètres!$A$1:$I$89,5,0)</f>
        <v>164.19187200000047</v>
      </c>
      <c r="CA186" s="14">
        <f t="shared" si="170"/>
        <v>41.786576026680912</v>
      </c>
      <c r="CB186" s="22">
        <f t="shared" si="171"/>
        <v>358.7457969798034</v>
      </c>
      <c r="CC186" s="62">
        <f t="shared" si="119"/>
        <v>652.07913031313672</v>
      </c>
      <c r="CD186" s="62">
        <f ca="1">AVERAGE(OFFSET($CC$3,0,0,'Données projet'!$E$12+1,1))-AVERAGE(OFFSET($H$3,0,0,'Données projet'!$E$12+1,1))</f>
        <v>618.83149423524605</v>
      </c>
      <c r="CE186" s="62">
        <f t="shared" si="148"/>
        <v>285.33582535802435</v>
      </c>
      <c r="CF186" s="16">
        <f>IF(ISNA(VLOOKUP(A186,'Données projet'!$A$113:$I$133,3,0)),0,VLOOKUP(A186,'Données projet'!$A$113:$I$133,3,0))</f>
        <v>18</v>
      </c>
      <c r="CG186" s="16">
        <f>IF(ISNA(VLOOKUP(A186,'Données projet'!$A$113:$I$133,4,0)),0,VLOOKUP(A186,'Données projet'!$A$113:$I$133,4,0))</f>
        <v>169.76</v>
      </c>
      <c r="CH186" s="17">
        <f>IF(ISNA(VLOOKUP(A186,'Données projet'!$A$113:$I$133,5,0)),0%,VLOOKUP(A186,'Données projet'!$A$113:$I$133,5,0)*VLOOKUP('Données projet'!$B$12,Paramètres!$A$1:$I$89,7,0))</f>
        <v>0.34400000000000003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251.79171882684892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251.79171882684892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354.24684313982857</v>
      </c>
      <c r="CZ186" s="62">
        <f t="shared" si="150"/>
        <v>322.65043486962185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21.700952483166798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21.700952483166798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4.8316906031686813E-13</v>
      </c>
      <c r="O187" s="14">
        <f>N187*VLOOKUP('Données projet'!$B$9,Paramètres!$A$1:$I$89,3,0)*VLOOKUP('Données projet'!$B$9,Paramètres!$A$1:$I$89,5,0)</f>
        <v>4.3717136577470225E-13</v>
      </c>
      <c r="P187" s="14">
        <f t="shared" si="141"/>
        <v>5.5313598682231701E-12</v>
      </c>
      <c r="Q187" s="22">
        <f t="shared" si="162"/>
        <v>1.039519189921296E-11</v>
      </c>
      <c r="R187" s="62">
        <f t="shared" si="109"/>
        <v>293.33333333334372</v>
      </c>
      <c r="S187" s="62">
        <f ca="1">AVERAGE(OFFSET($R$3,0,0,'Données projet'!$E$9+1,1))-AVERAGE(OFFSET($H$3,0,0,'Données projet'!$E$9+1,1))</f>
        <v>581.88778927327667</v>
      </c>
      <c r="T187" s="62">
        <f t="shared" si="142"/>
        <v>269.67340993773422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230.92815700499065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230.92815700499065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2.8421709430404007E-13</v>
      </c>
      <c r="AJ187" s="14">
        <f>AI187*VLOOKUP('Données projet'!$B$10,Paramètres!$A$1:$I$89,3,0)*VLOOKUP('Données projet'!$B$10,Paramètres!$A$1:$I$89,5,0)</f>
        <v>2.7046098693972454E-13</v>
      </c>
      <c r="AK187" s="14">
        <f t="shared" si="164"/>
        <v>3.6187594451142911E-12</v>
      </c>
      <c r="AL187" s="22">
        <f t="shared" si="165"/>
        <v>6.7737255858274096E-12</v>
      </c>
      <c r="AM187" s="62">
        <f t="shared" si="113"/>
        <v>293.33333333334008</v>
      </c>
      <c r="AN187" s="62">
        <f ca="1">AVERAGE(OFFSET($AM$3,0,0,'Données projet'!$E$10+1,1))-AVERAGE(OFFSET($H$3,0,0,'Données projet'!$E$10+1,1))</f>
        <v>444.81608506581125</v>
      </c>
      <c r="AO187" s="62">
        <f t="shared" si="144"/>
        <v>306.75289431725565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50.152628285566749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50.152628285566749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4.8316906031686813E-13</v>
      </c>
      <c r="BE187" s="14">
        <f>BD187*VLOOKUP('Données projet'!$B$11,Paramètres!$A$1:$I$89,3,0)*VLOOKUP('Données projet'!$B$11,Paramètres!$A$1:$I$89,5,0)</f>
        <v>5.2008317652507685E-13</v>
      </c>
      <c r="BF187" s="14">
        <f t="shared" si="167"/>
        <v>6.4487270587740506E-12</v>
      </c>
      <c r="BG187" s="22">
        <f t="shared" si="168"/>
        <v>1.213734449314598E-11</v>
      </c>
      <c r="BH187" s="62">
        <f t="shared" si="116"/>
        <v>293.33333333334548</v>
      </c>
      <c r="BI187" s="62">
        <f ca="1">AVERAGE(OFFSET($BH$3,0,0,'Données projet'!$E$11+1,1))-AVERAGE(OFFSET($H$3,0,0,'Données projet'!$E$11+1,1))</f>
        <v>683.36974161977764</v>
      </c>
      <c r="BJ187" s="62">
        <f t="shared" si="146"/>
        <v>312.6921234697457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274.72487643697161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274.72487643697161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4.8316906031686813E-13</v>
      </c>
      <c r="BZ187" s="14">
        <f>BY187*VLOOKUP('Données projet'!$B$12,Paramètres!$A$1:$I$89,3,0)*VLOOKUP('Données projet'!$B$12,Paramètres!$A$1:$I$89,5,0)</f>
        <v>4.6732111513847483E-13</v>
      </c>
      <c r="CA187" s="14">
        <f t="shared" si="170"/>
        <v>5.8671100737071438E-12</v>
      </c>
      <c r="CB187" s="22">
        <f t="shared" si="171"/>
        <v>1.1032467653906121E-11</v>
      </c>
      <c r="CC187" s="62">
        <f t="shared" si="119"/>
        <v>293.33333333334434</v>
      </c>
      <c r="CD187" s="62">
        <f ca="1">AVERAGE(OFFSET($CC$3,0,0,'Données projet'!$E$12+1,1))-AVERAGE(OFFSET($H$3,0,0,'Données projet'!$E$12+1,1))</f>
        <v>618.83149423524605</v>
      </c>
      <c r="CE187" s="62">
        <f t="shared" si="148"/>
        <v>285.33582535802435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246.85423679843836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246.85423679843836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354.24684313982857</v>
      </c>
      <c r="CZ187" s="62">
        <f t="shared" si="150"/>
        <v>322.65043486962185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21.275410041245937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21.275410041245937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4.8316906031686813E-13</v>
      </c>
      <c r="O188" s="14">
        <f>N188*VLOOKUP('Données projet'!$B$9,Paramètres!$A$1:$I$89,3,0)*VLOOKUP('Données projet'!$B$9,Paramètres!$A$1:$I$89,5,0)</f>
        <v>4.3717136577470225E-13</v>
      </c>
      <c r="P188" s="14">
        <f t="shared" si="141"/>
        <v>5.5313598682231701E-12</v>
      </c>
      <c r="Q188" s="22">
        <f t="shared" si="162"/>
        <v>1.039519189921296E-11</v>
      </c>
      <c r="R188" s="62">
        <f t="shared" si="109"/>
        <v>293.33333333334372</v>
      </c>
      <c r="S188" s="62">
        <f ca="1">AVERAGE(OFFSET($R$3,0,0,'Données projet'!$E$9+1,1))-AVERAGE(OFFSET($H$3,0,0,'Données projet'!$E$9+1,1))</f>
        <v>581.88778927327667</v>
      </c>
      <c r="T188" s="62">
        <f t="shared" si="142"/>
        <v>269.67340993773422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226.39979669839056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226.39979669839056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2.8421709430404007E-13</v>
      </c>
      <c r="AJ188" s="14">
        <f>AI188*VLOOKUP('Données projet'!$B$10,Paramètres!$A$1:$I$89,3,0)*VLOOKUP('Données projet'!$B$10,Paramètres!$A$1:$I$89,5,0)</f>
        <v>2.7046098693972454E-13</v>
      </c>
      <c r="AK188" s="14">
        <f t="shared" si="164"/>
        <v>3.6187594451142911E-12</v>
      </c>
      <c r="AL188" s="22">
        <f t="shared" si="165"/>
        <v>6.7737255858274096E-12</v>
      </c>
      <c r="AM188" s="62">
        <f t="shared" si="113"/>
        <v>293.33333333334008</v>
      </c>
      <c r="AN188" s="62">
        <f ca="1">AVERAGE(OFFSET($AM$3,0,0,'Données projet'!$E$10+1,1))-AVERAGE(OFFSET($H$3,0,0,'Données projet'!$E$10+1,1))</f>
        <v>444.81608506581125</v>
      </c>
      <c r="AO188" s="62">
        <f t="shared" si="144"/>
        <v>306.75289431725565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49.169165834969519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49.169165834969519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4.8316906031686813E-13</v>
      </c>
      <c r="BE188" s="14">
        <f>BD188*VLOOKUP('Données projet'!$B$11,Paramètres!$A$1:$I$89,3,0)*VLOOKUP('Données projet'!$B$11,Paramètres!$A$1:$I$89,5,0)</f>
        <v>5.2008317652507685E-13</v>
      </c>
      <c r="BF188" s="14">
        <f t="shared" si="167"/>
        <v>6.4487270587740506E-12</v>
      </c>
      <c r="BG188" s="22">
        <f t="shared" si="168"/>
        <v>1.213734449314598E-11</v>
      </c>
      <c r="BH188" s="62">
        <f t="shared" si="116"/>
        <v>293.33333333334548</v>
      </c>
      <c r="BI188" s="62">
        <f ca="1">AVERAGE(OFFSET($BH$3,0,0,'Données projet'!$E$11+1,1))-AVERAGE(OFFSET($H$3,0,0,'Données projet'!$E$11+1,1))</f>
        <v>683.36974161977764</v>
      </c>
      <c r="BJ188" s="62">
        <f t="shared" si="146"/>
        <v>312.6921234697457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269.33768917567147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269.33768917567147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4.8316906031686813E-13</v>
      </c>
      <c r="BZ188" s="14">
        <f>BY188*VLOOKUP('Données projet'!$B$12,Paramètres!$A$1:$I$89,3,0)*VLOOKUP('Données projet'!$B$12,Paramètres!$A$1:$I$89,5,0)</f>
        <v>4.6732111513847483E-13</v>
      </c>
      <c r="CA188" s="14">
        <f t="shared" si="170"/>
        <v>5.8671100737071438E-12</v>
      </c>
      <c r="CB188" s="22">
        <f t="shared" si="171"/>
        <v>1.1032467653906121E-11</v>
      </c>
      <c r="CC188" s="62">
        <f t="shared" si="119"/>
        <v>293.33333333334434</v>
      </c>
      <c r="CD188" s="62">
        <f ca="1">AVERAGE(OFFSET($CC$3,0,0,'Données projet'!$E$12+1,1))-AVERAGE(OFFSET($H$3,0,0,'Données projet'!$E$12+1,1))</f>
        <v>618.83149423524605</v>
      </c>
      <c r="CE188" s="62">
        <f t="shared" si="148"/>
        <v>285.33582535802435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242.01357578103827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242.01357578103827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354.24684313982857</v>
      </c>
      <c r="CZ188" s="62">
        <f t="shared" si="150"/>
        <v>322.65043486962185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20.858212227055883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20.858212227055883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4.8316906031686813E-13</v>
      </c>
      <c r="O189" s="14">
        <f>N189*VLOOKUP('Données projet'!$B$9,Paramètres!$A$1:$I$89,3,0)*VLOOKUP('Données projet'!$B$9,Paramètres!$A$1:$I$89,5,0)</f>
        <v>4.3717136577470225E-13</v>
      </c>
      <c r="P189" s="14">
        <f t="shared" si="141"/>
        <v>5.5313598682231701E-12</v>
      </c>
      <c r="Q189" s="22">
        <f t="shared" si="162"/>
        <v>1.039519189921296E-11</v>
      </c>
      <c r="R189" s="62">
        <f t="shared" si="109"/>
        <v>293.33333333334372</v>
      </c>
      <c r="S189" s="62">
        <f ca="1">AVERAGE(OFFSET($R$3,0,0,'Données projet'!$E$9+1,1))-AVERAGE(OFFSET($H$3,0,0,'Données projet'!$E$9+1,1))</f>
        <v>581.88778927327667</v>
      </c>
      <c r="T189" s="62">
        <f t="shared" si="142"/>
        <v>269.67340993773422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221.96023477537582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221.96023477537582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2.8421709430404007E-13</v>
      </c>
      <c r="AJ189" s="14">
        <f>AI189*VLOOKUP('Données projet'!$B$10,Paramètres!$A$1:$I$89,3,0)*VLOOKUP('Données projet'!$B$10,Paramètres!$A$1:$I$89,5,0)</f>
        <v>2.7046098693972454E-13</v>
      </c>
      <c r="AK189" s="14">
        <f t="shared" si="164"/>
        <v>3.6187594451142911E-12</v>
      </c>
      <c r="AL189" s="22">
        <f t="shared" si="165"/>
        <v>6.7737255858274096E-12</v>
      </c>
      <c r="AM189" s="62">
        <f t="shared" si="113"/>
        <v>293.33333333334008</v>
      </c>
      <c r="AN189" s="62">
        <f ca="1">AVERAGE(OFFSET($AM$3,0,0,'Données projet'!$E$10+1,1))-AVERAGE(OFFSET($H$3,0,0,'Données projet'!$E$10+1,1))</f>
        <v>444.81608506581125</v>
      </c>
      <c r="AO189" s="62">
        <f t="shared" si="144"/>
        <v>306.75289431725565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48.20498848317564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48.20498848317564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4.8316906031686813E-13</v>
      </c>
      <c r="BE189" s="14">
        <f>BD189*VLOOKUP('Données projet'!$B$11,Paramètres!$A$1:$I$89,3,0)*VLOOKUP('Données projet'!$B$11,Paramètres!$A$1:$I$89,5,0)</f>
        <v>5.2008317652507685E-13</v>
      </c>
      <c r="BF189" s="14">
        <f t="shared" si="167"/>
        <v>6.4487270587740506E-12</v>
      </c>
      <c r="BG189" s="22">
        <f t="shared" si="168"/>
        <v>1.213734449314598E-11</v>
      </c>
      <c r="BH189" s="62">
        <f t="shared" si="116"/>
        <v>293.33333333334548</v>
      </c>
      <c r="BI189" s="62">
        <f ca="1">AVERAGE(OFFSET($BH$3,0,0,'Données projet'!$E$11+1,1))-AVERAGE(OFFSET($H$3,0,0,'Données projet'!$E$11+1,1))</f>
        <v>683.36974161977764</v>
      </c>
      <c r="BJ189" s="62">
        <f t="shared" si="146"/>
        <v>312.6921234697457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264.05614137070569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264.05614137070569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4.8316906031686813E-13</v>
      </c>
      <c r="BZ189" s="14">
        <f>BY189*VLOOKUP('Données projet'!$B$12,Paramètres!$A$1:$I$89,3,0)*VLOOKUP('Données projet'!$B$12,Paramètres!$A$1:$I$89,5,0)</f>
        <v>4.6732111513847483E-13</v>
      </c>
      <c r="CA189" s="14">
        <f t="shared" si="170"/>
        <v>5.8671100737071438E-12</v>
      </c>
      <c r="CB189" s="22">
        <f t="shared" si="171"/>
        <v>1.1032467653906121E-11</v>
      </c>
      <c r="CC189" s="62">
        <f t="shared" si="119"/>
        <v>293.33333333334434</v>
      </c>
      <c r="CD189" s="62">
        <f ca="1">AVERAGE(OFFSET($CC$3,0,0,'Données projet'!$E$12+1,1))-AVERAGE(OFFSET($H$3,0,0,'Données projet'!$E$12+1,1))</f>
        <v>618.83149423524605</v>
      </c>
      <c r="CE189" s="62">
        <f t="shared" si="148"/>
        <v>285.33582535802435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237.26783717367769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237.26783717367769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354.24684313982857</v>
      </c>
      <c r="CZ189" s="62">
        <f t="shared" si="150"/>
        <v>322.65043486962185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20.449195407536557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20.449195407536557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4.8316906031686813E-13</v>
      </c>
      <c r="O190" s="14">
        <f>N190*VLOOKUP('Données projet'!$B$9,Paramètres!$A$1:$I$89,3,0)*VLOOKUP('Données projet'!$B$9,Paramètres!$A$1:$I$89,5,0)</f>
        <v>4.3717136577470225E-13</v>
      </c>
      <c r="P190" s="14">
        <f t="shared" si="141"/>
        <v>5.5313598682231701E-12</v>
      </c>
      <c r="Q190" s="22">
        <f t="shared" si="162"/>
        <v>1.039519189921296E-11</v>
      </c>
      <c r="R190" s="62">
        <f t="shared" si="109"/>
        <v>293.33333333334372</v>
      </c>
      <c r="S190" s="62">
        <f ca="1">AVERAGE(OFFSET($R$3,0,0,'Données projet'!$E$9+1,1))-AVERAGE(OFFSET($H$3,0,0,'Données projet'!$E$9+1,1))</f>
        <v>581.88778927327667</v>
      </c>
      <c r="T190" s="62">
        <f t="shared" si="142"/>
        <v>269.67340993773422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217.60772995380603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217.60772995380603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2.8421709430404007E-13</v>
      </c>
      <c r="AJ190" s="14">
        <f>AI190*VLOOKUP('Données projet'!$B$10,Paramètres!$A$1:$I$89,3,0)*VLOOKUP('Données projet'!$B$10,Paramètres!$A$1:$I$89,5,0)</f>
        <v>2.7046098693972454E-13</v>
      </c>
      <c r="AK190" s="14">
        <f t="shared" si="164"/>
        <v>3.6187594451142911E-12</v>
      </c>
      <c r="AL190" s="22">
        <f t="shared" si="165"/>
        <v>6.7737255858274096E-12</v>
      </c>
      <c r="AM190" s="62">
        <f t="shared" si="113"/>
        <v>293.33333333334008</v>
      </c>
      <c r="AN190" s="62">
        <f ca="1">AVERAGE(OFFSET($AM$3,0,0,'Données projet'!$E$10+1,1))-AVERAGE(OFFSET($H$3,0,0,'Données projet'!$E$10+1,1))</f>
        <v>444.81608506581125</v>
      </c>
      <c r="AO190" s="62">
        <f t="shared" si="144"/>
        <v>306.75289431725565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47.259718061160321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47.259718061160321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4.8316906031686813E-13</v>
      </c>
      <c r="BE190" s="14">
        <f>BD190*VLOOKUP('Données projet'!$B$11,Paramètres!$A$1:$I$89,3,0)*VLOOKUP('Données projet'!$B$11,Paramètres!$A$1:$I$89,5,0)</f>
        <v>5.2008317652507685E-13</v>
      </c>
      <c r="BF190" s="14">
        <f t="shared" si="167"/>
        <v>6.4487270587740506E-12</v>
      </c>
      <c r="BG190" s="22">
        <f t="shared" si="168"/>
        <v>1.213734449314598E-11</v>
      </c>
      <c r="BH190" s="62">
        <f t="shared" si="116"/>
        <v>293.33333333334548</v>
      </c>
      <c r="BI190" s="62">
        <f ca="1">AVERAGE(OFFSET($BH$3,0,0,'Données projet'!$E$11+1,1))-AVERAGE(OFFSET($H$3,0,0,'Données projet'!$E$11+1,1))</f>
        <v>683.36974161977764</v>
      </c>
      <c r="BJ190" s="62">
        <f t="shared" si="146"/>
        <v>312.6921234697457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258.87816149676922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258.87816149676922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4.8316906031686813E-13</v>
      </c>
      <c r="BZ190" s="14">
        <f>BY190*VLOOKUP('Données projet'!$B$12,Paramètres!$A$1:$I$89,3,0)*VLOOKUP('Données projet'!$B$12,Paramètres!$A$1:$I$89,5,0)</f>
        <v>4.6732111513847483E-13</v>
      </c>
      <c r="CA190" s="14">
        <f t="shared" si="170"/>
        <v>5.8671100737071438E-12</v>
      </c>
      <c r="CB190" s="22">
        <f t="shared" si="171"/>
        <v>1.1032467653906121E-11</v>
      </c>
      <c r="CC190" s="62">
        <f t="shared" si="119"/>
        <v>293.33333333334434</v>
      </c>
      <c r="CD190" s="62">
        <f ca="1">AVERAGE(OFFSET($CC$3,0,0,'Données projet'!$E$12+1,1))-AVERAGE(OFFSET($H$3,0,0,'Données projet'!$E$12+1,1))</f>
        <v>618.83149423524605</v>
      </c>
      <c r="CE190" s="62">
        <f t="shared" si="148"/>
        <v>285.33582535802435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232.61515960579271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232.61515960579271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354.24684313982857</v>
      </c>
      <c r="CZ190" s="62">
        <f t="shared" si="150"/>
        <v>322.65043486962185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20.04819915837238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20.04819915837238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4.8316906031686813E-13</v>
      </c>
      <c r="O191" s="14">
        <f>N191*VLOOKUP('Données projet'!$B$9,Paramètres!$A$1:$I$89,3,0)*VLOOKUP('Données projet'!$B$9,Paramètres!$A$1:$I$89,5,0)</f>
        <v>4.3717136577470225E-13</v>
      </c>
      <c r="P191" s="14">
        <f t="shared" si="141"/>
        <v>5.5313598682231701E-12</v>
      </c>
      <c r="Q191" s="22">
        <f t="shared" si="162"/>
        <v>1.039519189921296E-11</v>
      </c>
      <c r="R191" s="62">
        <f t="shared" si="109"/>
        <v>293.33333333334372</v>
      </c>
      <c r="S191" s="62">
        <f ca="1">AVERAGE(OFFSET($R$3,0,0,'Données projet'!$E$9+1,1))-AVERAGE(OFFSET($H$3,0,0,'Données projet'!$E$9+1,1))</f>
        <v>581.88778927327667</v>
      </c>
      <c r="T191" s="62">
        <f t="shared" si="142"/>
        <v>269.67340993773422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213.3405750970214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213.3405750970214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2.8421709430404007E-13</v>
      </c>
      <c r="AJ191" s="14">
        <f>AI191*VLOOKUP('Données projet'!$B$10,Paramètres!$A$1:$I$89,3,0)*VLOOKUP('Données projet'!$B$10,Paramètres!$A$1:$I$89,5,0)</f>
        <v>2.7046098693972454E-13</v>
      </c>
      <c r="AK191" s="14">
        <f t="shared" si="164"/>
        <v>3.6187594451142911E-12</v>
      </c>
      <c r="AL191" s="22">
        <f t="shared" si="165"/>
        <v>6.7737255858274096E-12</v>
      </c>
      <c r="AM191" s="62">
        <f t="shared" si="113"/>
        <v>293.33333333334008</v>
      </c>
      <c r="AN191" s="62">
        <f ca="1">AVERAGE(OFFSET($AM$3,0,0,'Données projet'!$E$10+1,1))-AVERAGE(OFFSET($H$3,0,0,'Données projet'!$E$10+1,1))</f>
        <v>444.81608506581125</v>
      </c>
      <c r="AO191" s="62">
        <f t="shared" si="144"/>
        <v>306.75289431725565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46.332983815562692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46.332983815562692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4.8316906031686813E-13</v>
      </c>
      <c r="BE191" s="14">
        <f>BD191*VLOOKUP('Données projet'!$B$11,Paramètres!$A$1:$I$89,3,0)*VLOOKUP('Données projet'!$B$11,Paramètres!$A$1:$I$89,5,0)</f>
        <v>5.2008317652507685E-13</v>
      </c>
      <c r="BF191" s="14">
        <f t="shared" si="167"/>
        <v>6.4487270587740506E-12</v>
      </c>
      <c r="BG191" s="22">
        <f t="shared" si="168"/>
        <v>1.213734449314598E-11</v>
      </c>
      <c r="BH191" s="62">
        <f t="shared" si="116"/>
        <v>293.33333333334548</v>
      </c>
      <c r="BI191" s="62">
        <f ca="1">AVERAGE(OFFSET($BH$3,0,0,'Données projet'!$E$11+1,1))-AVERAGE(OFFSET($H$3,0,0,'Données projet'!$E$11+1,1))</f>
        <v>683.36974161977764</v>
      </c>
      <c r="BJ191" s="62">
        <f t="shared" si="146"/>
        <v>312.6921234697457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253.80171864990476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253.80171864990476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4.8316906031686813E-13</v>
      </c>
      <c r="BZ191" s="14">
        <f>BY191*VLOOKUP('Données projet'!$B$12,Paramètres!$A$1:$I$89,3,0)*VLOOKUP('Données projet'!$B$12,Paramètres!$A$1:$I$89,5,0)</f>
        <v>4.6732111513847483E-13</v>
      </c>
      <c r="CA191" s="14">
        <f t="shared" si="170"/>
        <v>5.8671100737071438E-12</v>
      </c>
      <c r="CB191" s="22">
        <f t="shared" si="171"/>
        <v>1.1032467653906121E-11</v>
      </c>
      <c r="CC191" s="62">
        <f t="shared" si="119"/>
        <v>293.33333333334434</v>
      </c>
      <c r="CD191" s="62">
        <f ca="1">AVERAGE(OFFSET($CC$3,0,0,'Données projet'!$E$12+1,1))-AVERAGE(OFFSET($H$3,0,0,'Données projet'!$E$12+1,1))</f>
        <v>618.83149423524605</v>
      </c>
      <c r="CE191" s="62">
        <f t="shared" si="148"/>
        <v>285.33582535802435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228.05371820716087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228.05371820716087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354.24684313982857</v>
      </c>
      <c r="CZ191" s="62">
        <f t="shared" si="150"/>
        <v>322.65043486962185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19.655066201070749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19.655066201070749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4.8316906031686813E-13</v>
      </c>
      <c r="O192" s="14">
        <f>N192*VLOOKUP('Données projet'!$B$9,Paramètres!$A$1:$I$89,3,0)*VLOOKUP('Données projet'!$B$9,Paramètres!$A$1:$I$89,5,0)</f>
        <v>4.3717136577470225E-13</v>
      </c>
      <c r="P192" s="14">
        <f t="shared" si="141"/>
        <v>5.5313598682231701E-12</v>
      </c>
      <c r="Q192" s="22">
        <f t="shared" si="162"/>
        <v>1.039519189921296E-11</v>
      </c>
      <c r="R192" s="62">
        <f t="shared" si="109"/>
        <v>293.33333333334372</v>
      </c>
      <c r="S192" s="62">
        <f ca="1">AVERAGE(OFFSET($R$3,0,0,'Données projet'!$E$9+1,1))-AVERAGE(OFFSET($H$3,0,0,'Données projet'!$E$9+1,1))</f>
        <v>581.88778927327667</v>
      </c>
      <c r="T192" s="62">
        <f t="shared" si="142"/>
        <v>269.67340993773422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209.15709654427084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209.15709654427084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2.8421709430404007E-13</v>
      </c>
      <c r="AJ192" s="14">
        <f>AI192*VLOOKUP('Données projet'!$B$10,Paramètres!$A$1:$I$89,3,0)*VLOOKUP('Données projet'!$B$10,Paramètres!$A$1:$I$89,5,0)</f>
        <v>2.7046098693972454E-13</v>
      </c>
      <c r="AK192" s="14">
        <f t="shared" si="164"/>
        <v>3.6187594451142911E-12</v>
      </c>
      <c r="AL192" s="22">
        <f t="shared" si="165"/>
        <v>6.7737255858274096E-12</v>
      </c>
      <c r="AM192" s="62">
        <f t="shared" si="113"/>
        <v>293.33333333334008</v>
      </c>
      <c r="AN192" s="62">
        <f ca="1">AVERAGE(OFFSET($AM$3,0,0,'Données projet'!$E$10+1,1))-AVERAGE(OFFSET($H$3,0,0,'Données projet'!$E$10+1,1))</f>
        <v>444.81608506581125</v>
      </c>
      <c r="AO192" s="62">
        <f t="shared" si="144"/>
        <v>306.75289431725565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45.424422263269157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45.424422263269157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4.8316906031686813E-13</v>
      </c>
      <c r="BE192" s="14">
        <f>BD192*VLOOKUP('Données projet'!$B$11,Paramètres!$A$1:$I$89,3,0)*VLOOKUP('Données projet'!$B$11,Paramètres!$A$1:$I$89,5,0)</f>
        <v>5.2008317652507685E-13</v>
      </c>
      <c r="BF192" s="14">
        <f t="shared" si="167"/>
        <v>6.4487270587740506E-12</v>
      </c>
      <c r="BG192" s="22">
        <f t="shared" si="168"/>
        <v>1.213734449314598E-11</v>
      </c>
      <c r="BH192" s="62">
        <f t="shared" si="116"/>
        <v>293.33333333334548</v>
      </c>
      <c r="BI192" s="62">
        <f ca="1">AVERAGE(OFFSET($BH$3,0,0,'Données projet'!$E$11+1,1))-AVERAGE(OFFSET($H$3,0,0,'Données projet'!$E$11+1,1))</f>
        <v>683.36974161977764</v>
      </c>
      <c r="BJ192" s="62">
        <f t="shared" si="146"/>
        <v>312.6921234697457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248.8248217509429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248.8248217509429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4.8316906031686813E-13</v>
      </c>
      <c r="BZ192" s="14">
        <f>BY192*VLOOKUP('Données projet'!$B$12,Paramètres!$A$1:$I$89,3,0)*VLOOKUP('Données projet'!$B$12,Paramètres!$A$1:$I$89,5,0)</f>
        <v>4.6732111513847483E-13</v>
      </c>
      <c r="CA192" s="14">
        <f t="shared" si="170"/>
        <v>5.8671100737071438E-12</v>
      </c>
      <c r="CB192" s="22">
        <f t="shared" si="171"/>
        <v>1.1032467653906121E-11</v>
      </c>
      <c r="CC192" s="62">
        <f t="shared" si="119"/>
        <v>293.33333333334434</v>
      </c>
      <c r="CD192" s="62">
        <f ca="1">AVERAGE(OFFSET($CC$3,0,0,'Données projet'!$E$12+1,1))-AVERAGE(OFFSET($H$3,0,0,'Données projet'!$E$12+1,1))</f>
        <v>618.83149423524605</v>
      </c>
      <c r="CE192" s="62">
        <f t="shared" si="148"/>
        <v>285.33582535802435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223.58172389215167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223.58172389215167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354.24684313982857</v>
      </c>
      <c r="CZ192" s="62">
        <f t="shared" si="150"/>
        <v>322.65043486962185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19.269642341274377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19.269642341274377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4.8316906031686813E-13</v>
      </c>
      <c r="O193" s="14">
        <f>N193*VLOOKUP('Données projet'!$B$9,Paramètres!$A$1:$I$89,3,0)*VLOOKUP('Données projet'!$B$9,Paramètres!$A$1:$I$89,5,0)</f>
        <v>4.3717136577470225E-13</v>
      </c>
      <c r="P193" s="14">
        <f t="shared" si="141"/>
        <v>5.5313598682231701E-12</v>
      </c>
      <c r="Q193" s="22">
        <f t="shared" si="162"/>
        <v>1.039519189921296E-11</v>
      </c>
      <c r="R193" s="62">
        <f t="shared" si="109"/>
        <v>293.33333333334372</v>
      </c>
      <c r="S193" s="62">
        <f ca="1">AVERAGE(OFFSET($R$3,0,0,'Données projet'!$E$9+1,1))-AVERAGE(OFFSET($H$3,0,0,'Données projet'!$E$9+1,1))</f>
        <v>581.88778927327667</v>
      </c>
      <c r="T193" s="62">
        <f t="shared" si="142"/>
        <v>269.67340993773422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205.05565345426976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205.05565345426976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2.8421709430404007E-13</v>
      </c>
      <c r="AJ193" s="14">
        <f>AI193*VLOOKUP('Données projet'!$B$10,Paramètres!$A$1:$I$89,3,0)*VLOOKUP('Données projet'!$B$10,Paramètres!$A$1:$I$89,5,0)</f>
        <v>2.7046098693972454E-13</v>
      </c>
      <c r="AK193" s="14">
        <f t="shared" si="164"/>
        <v>3.6187594451142911E-12</v>
      </c>
      <c r="AL193" s="22">
        <f t="shared" si="165"/>
        <v>6.7737255858274096E-12</v>
      </c>
      <c r="AM193" s="62">
        <f t="shared" si="113"/>
        <v>293.33333333334008</v>
      </c>
      <c r="AN193" s="62">
        <f ca="1">AVERAGE(OFFSET($AM$3,0,0,'Données projet'!$E$10+1,1))-AVERAGE(OFFSET($H$3,0,0,'Données projet'!$E$10+1,1))</f>
        <v>444.81608506581125</v>
      </c>
      <c r="AO193" s="62">
        <f t="shared" si="144"/>
        <v>306.75289431725565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44.533677048848276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44.533677048848276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4.8316906031686813E-13</v>
      </c>
      <c r="BE193" s="14">
        <f>BD193*VLOOKUP('Données projet'!$B$11,Paramètres!$A$1:$I$89,3,0)*VLOOKUP('Données projet'!$B$11,Paramètres!$A$1:$I$89,5,0)</f>
        <v>5.2008317652507685E-13</v>
      </c>
      <c r="BF193" s="14">
        <f t="shared" si="167"/>
        <v>6.4487270587740506E-12</v>
      </c>
      <c r="BG193" s="22">
        <f t="shared" si="168"/>
        <v>1.213734449314598E-11</v>
      </c>
      <c r="BH193" s="62">
        <f t="shared" si="116"/>
        <v>293.33333333334548</v>
      </c>
      <c r="BI193" s="62">
        <f ca="1">AVERAGE(OFFSET($BH$3,0,0,'Données projet'!$E$11+1,1))-AVERAGE(OFFSET($H$3,0,0,'Données projet'!$E$11+1,1))</f>
        <v>683.36974161977764</v>
      </c>
      <c r="BJ193" s="62">
        <f t="shared" si="146"/>
        <v>312.6921234697457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243.94551876456231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243.94551876456231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4.8316906031686813E-13</v>
      </c>
      <c r="BZ193" s="14">
        <f>BY193*VLOOKUP('Données projet'!$B$12,Paramètres!$A$1:$I$89,3,0)*VLOOKUP('Données projet'!$B$12,Paramètres!$A$1:$I$89,5,0)</f>
        <v>4.6732111513847483E-13</v>
      </c>
      <c r="CA193" s="14">
        <f t="shared" si="170"/>
        <v>5.8671100737071438E-12</v>
      </c>
      <c r="CB193" s="22">
        <f t="shared" si="171"/>
        <v>1.1032467653906121E-11</v>
      </c>
      <c r="CC193" s="62">
        <f t="shared" si="119"/>
        <v>293.33333333334434</v>
      </c>
      <c r="CD193" s="62">
        <f ca="1">AVERAGE(OFFSET($CC$3,0,0,'Données projet'!$E$12+1,1))-AVERAGE(OFFSET($H$3,0,0,'Données projet'!$E$12+1,1))</f>
        <v>618.83149423524605</v>
      </c>
      <c r="CE193" s="62">
        <f t="shared" si="148"/>
        <v>285.33582535802435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219.19742265801258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219.19742265801258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354.24684313982857</v>
      </c>
      <c r="CZ193" s="62">
        <f t="shared" si="150"/>
        <v>322.65043486962185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18.89177640828327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18.89177640828327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4.8316906031686813E-13</v>
      </c>
      <c r="O194" s="14">
        <f>N194*VLOOKUP('Données projet'!$B$9,Paramètres!$A$1:$I$89,3,0)*VLOOKUP('Données projet'!$B$9,Paramètres!$A$1:$I$89,5,0)</f>
        <v>4.3717136577470225E-13</v>
      </c>
      <c r="P194" s="14">
        <f t="shared" si="141"/>
        <v>5.5313598682231701E-12</v>
      </c>
      <c r="Q194" s="22">
        <f t="shared" si="162"/>
        <v>1.039519189921296E-11</v>
      </c>
      <c r="R194" s="62">
        <f t="shared" si="109"/>
        <v>293.33333333334372</v>
      </c>
      <c r="S194" s="62">
        <f ca="1">AVERAGE(OFFSET($R$3,0,0,'Données projet'!$E$9+1,1))-AVERAGE(OFFSET($H$3,0,0,'Données projet'!$E$9+1,1))</f>
        <v>581.88778927327667</v>
      </c>
      <c r="T194" s="62">
        <f t="shared" si="142"/>
        <v>269.67340993773422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201.03463716163034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201.03463716163034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2.8421709430404007E-13</v>
      </c>
      <c r="AJ194" s="14">
        <f>AI194*VLOOKUP('Données projet'!$B$10,Paramètres!$A$1:$I$89,3,0)*VLOOKUP('Données projet'!$B$10,Paramètres!$A$1:$I$89,5,0)</f>
        <v>2.7046098693972454E-13</v>
      </c>
      <c r="AK194" s="14">
        <f t="shared" si="164"/>
        <v>3.6187594451142911E-12</v>
      </c>
      <c r="AL194" s="22">
        <f t="shared" si="165"/>
        <v>6.7737255858274096E-12</v>
      </c>
      <c r="AM194" s="62">
        <f t="shared" si="113"/>
        <v>293.33333333334008</v>
      </c>
      <c r="AN194" s="62">
        <f ca="1">AVERAGE(OFFSET($AM$3,0,0,'Données projet'!$E$10+1,1))-AVERAGE(OFFSET($H$3,0,0,'Données projet'!$E$10+1,1))</f>
        <v>444.81608506581125</v>
      </c>
      <c r="AO194" s="62">
        <f t="shared" si="144"/>
        <v>306.75289431725565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43.660398804781252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43.660398804781252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4.8316906031686813E-13</v>
      </c>
      <c r="BE194" s="14">
        <f>BD194*VLOOKUP('Données projet'!$B$11,Paramètres!$A$1:$I$89,3,0)*VLOOKUP('Données projet'!$B$11,Paramètres!$A$1:$I$89,5,0)</f>
        <v>5.2008317652507685E-13</v>
      </c>
      <c r="BF194" s="14">
        <f t="shared" si="167"/>
        <v>6.4487270587740506E-12</v>
      </c>
      <c r="BG194" s="22">
        <f t="shared" si="168"/>
        <v>1.213734449314598E-11</v>
      </c>
      <c r="BH194" s="62">
        <f t="shared" si="116"/>
        <v>293.33333333334548</v>
      </c>
      <c r="BI194" s="62">
        <f ca="1">AVERAGE(OFFSET($BH$3,0,0,'Données projet'!$E$11+1,1))-AVERAGE(OFFSET($H$3,0,0,'Données projet'!$E$11+1,1))</f>
        <v>683.36974161977764</v>
      </c>
      <c r="BJ194" s="62">
        <f t="shared" si="146"/>
        <v>312.6921234697457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239.16189593366369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239.16189593366369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4.8316906031686813E-13</v>
      </c>
      <c r="BZ194" s="14">
        <f>BY194*VLOOKUP('Données projet'!$B$12,Paramètres!$A$1:$I$89,3,0)*VLOOKUP('Données projet'!$B$12,Paramètres!$A$1:$I$89,5,0)</f>
        <v>4.6732111513847483E-13</v>
      </c>
      <c r="CA194" s="14">
        <f t="shared" si="170"/>
        <v>5.8671100737071438E-12</v>
      </c>
      <c r="CB194" s="22">
        <f t="shared" si="171"/>
        <v>1.1032467653906121E-11</v>
      </c>
      <c r="CC194" s="62">
        <f t="shared" si="119"/>
        <v>293.33333333334434</v>
      </c>
      <c r="CD194" s="62">
        <f ca="1">AVERAGE(OFFSET($CC$3,0,0,'Données projet'!$E$12+1,1))-AVERAGE(OFFSET($H$3,0,0,'Données projet'!$E$12+1,1))</f>
        <v>618.83149423524605</v>
      </c>
      <c r="CE194" s="62">
        <f t="shared" si="148"/>
        <v>285.33582535802435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214.89909489691527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214.89909489691527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354.24684313982857</v>
      </c>
      <c r="CZ194" s="62">
        <f t="shared" si="150"/>
        <v>322.65043486962185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18.521320195762659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18.521320195762659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4.8316906031686813E-13</v>
      </c>
      <c r="O195" s="14">
        <f>N195*VLOOKUP('Données projet'!$B$9,Paramètres!$A$1:$I$89,3,0)*VLOOKUP('Données projet'!$B$9,Paramètres!$A$1:$I$89,5,0)</f>
        <v>4.3717136577470225E-13</v>
      </c>
      <c r="P195" s="14">
        <f t="shared" si="141"/>
        <v>5.5313598682231701E-12</v>
      </c>
      <c r="Q195" s="22">
        <f t="shared" si="162"/>
        <v>1.039519189921296E-11</v>
      </c>
      <c r="R195" s="62">
        <f t="shared" ref="R195:R203" si="191">Q195+(I195+J195)*44/12</f>
        <v>293.33333333334372</v>
      </c>
      <c r="S195" s="62">
        <f ca="1">AVERAGE(OFFSET($R$3,0,0,'Données projet'!$E$9+1,1))-AVERAGE(OFFSET($H$3,0,0,'Données projet'!$E$9+1,1))</f>
        <v>581.88778927327667</v>
      </c>
      <c r="T195" s="62">
        <f t="shared" si="142"/>
        <v>269.67340993773422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197.09247054591182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197.09247054591182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2.8421709430404007E-13</v>
      </c>
      <c r="AJ195" s="14">
        <f>AI195*VLOOKUP('Données projet'!$B$10,Paramètres!$A$1:$I$89,3,0)*VLOOKUP('Données projet'!$B$10,Paramètres!$A$1:$I$89,5,0)</f>
        <v>2.7046098693972454E-13</v>
      </c>
      <c r="AK195" s="14">
        <f t="shared" si="164"/>
        <v>3.6187594451142911E-12</v>
      </c>
      <c r="AL195" s="22">
        <f t="shared" si="165"/>
        <v>6.7737255858274096E-12</v>
      </c>
      <c r="AM195" s="62">
        <f t="shared" si="113"/>
        <v>293.33333333334008</v>
      </c>
      <c r="AN195" s="62">
        <f ca="1">AVERAGE(OFFSET($AM$3,0,0,'Données projet'!$E$10+1,1))-AVERAGE(OFFSET($H$3,0,0,'Données projet'!$E$10+1,1))</f>
        <v>444.81608506581125</v>
      </c>
      <c r="AO195" s="62">
        <f t="shared" si="144"/>
        <v>306.75289431725565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42.804245014433249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42.804245014433249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4.8316906031686813E-13</v>
      </c>
      <c r="BE195" s="14">
        <f>BD195*VLOOKUP('Données projet'!$B$11,Paramètres!$A$1:$I$89,3,0)*VLOOKUP('Données projet'!$B$11,Paramètres!$A$1:$I$89,5,0)</f>
        <v>5.2008317652507685E-13</v>
      </c>
      <c r="BF195" s="14">
        <f t="shared" si="167"/>
        <v>6.4487270587740506E-12</v>
      </c>
      <c r="BG195" s="22">
        <f t="shared" si="168"/>
        <v>1.213734449314598E-11</v>
      </c>
      <c r="BH195" s="62">
        <f t="shared" si="116"/>
        <v>293.33333333334548</v>
      </c>
      <c r="BI195" s="62">
        <f ca="1">AVERAGE(OFFSET($BH$3,0,0,'Données projet'!$E$11+1,1))-AVERAGE(OFFSET($H$3,0,0,'Données projet'!$E$11+1,1))</f>
        <v>683.36974161977764</v>
      </c>
      <c r="BJ195" s="62">
        <f t="shared" si="146"/>
        <v>312.6921234697457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234.47207702875716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234.47207702875716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4.8316906031686813E-13</v>
      </c>
      <c r="BZ195" s="14">
        <f>BY195*VLOOKUP('Données projet'!$B$12,Paramètres!$A$1:$I$89,3,0)*VLOOKUP('Données projet'!$B$12,Paramètres!$A$1:$I$89,5,0)</f>
        <v>4.6732111513847483E-13</v>
      </c>
      <c r="CA195" s="14">
        <f t="shared" si="170"/>
        <v>5.8671100737071438E-12</v>
      </c>
      <c r="CB195" s="22">
        <f t="shared" si="171"/>
        <v>1.1032467653906121E-11</v>
      </c>
      <c r="CC195" s="62">
        <f t="shared" si="119"/>
        <v>293.33333333334434</v>
      </c>
      <c r="CD195" s="62">
        <f ca="1">AVERAGE(OFFSET($CC$3,0,0,'Données projet'!$E$12+1,1))-AVERAGE(OFFSET($H$3,0,0,'Données projet'!$E$12+1,1))</f>
        <v>618.83149423524605</v>
      </c>
      <c r="CE195" s="62">
        <f t="shared" si="148"/>
        <v>285.33582535802435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210.68505472149201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210.68505472149201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354.24684313982857</v>
      </c>
      <c r="CZ195" s="62">
        <f t="shared" si="150"/>
        <v>322.65043486962185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18.158128403613595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18.158128403613595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4.8316906031686813E-13</v>
      </c>
      <c r="O196" s="14">
        <f>N196*VLOOKUP('Données projet'!$B$9,Paramètres!$A$1:$I$89,3,0)*VLOOKUP('Données projet'!$B$9,Paramètres!$A$1:$I$89,5,0)</f>
        <v>4.3717136577470225E-13</v>
      </c>
      <c r="P196" s="14">
        <f t="shared" si="141"/>
        <v>5.5313598682231701E-12</v>
      </c>
      <c r="Q196" s="22">
        <f t="shared" si="162"/>
        <v>1.039519189921296E-11</v>
      </c>
      <c r="R196" s="62">
        <f t="shared" si="191"/>
        <v>293.33333333334372</v>
      </c>
      <c r="S196" s="62">
        <f ca="1">AVERAGE(OFFSET($R$3,0,0,'Données projet'!$E$9+1,1))-AVERAGE(OFFSET($H$3,0,0,'Données projet'!$E$9+1,1))</f>
        <v>581.88778927327667</v>
      </c>
      <c r="T196" s="62">
        <f t="shared" si="142"/>
        <v>269.67340993773422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193.22760741304333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193.22760741304333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2.8421709430404007E-13</v>
      </c>
      <c r="AJ196" s="14">
        <f>AI196*VLOOKUP('Données projet'!$B$10,Paramètres!$A$1:$I$89,3,0)*VLOOKUP('Données projet'!$B$10,Paramètres!$A$1:$I$89,5,0)</f>
        <v>2.7046098693972454E-13</v>
      </c>
      <c r="AK196" s="14">
        <f t="shared" si="164"/>
        <v>3.6187594451142911E-12</v>
      </c>
      <c r="AL196" s="22">
        <f t="shared" si="165"/>
        <v>6.7737255858274096E-12</v>
      </c>
      <c r="AM196" s="62">
        <f t="shared" ref="AM196:AM203" si="193">AL196+(AD196+AE196)*44/12</f>
        <v>293.33333333334008</v>
      </c>
      <c r="AN196" s="62">
        <f ca="1">AVERAGE(OFFSET($AM$3,0,0,'Données projet'!$E$10+1,1))-AVERAGE(OFFSET($H$3,0,0,'Données projet'!$E$10+1,1))</f>
        <v>444.81608506581125</v>
      </c>
      <c r="AO196" s="62">
        <f t="shared" si="144"/>
        <v>306.75289431725565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41.964879877711716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41.964879877711716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4.8316906031686813E-13</v>
      </c>
      <c r="BE196" s="14">
        <f>BD196*VLOOKUP('Données projet'!$B$11,Paramètres!$A$1:$I$89,3,0)*VLOOKUP('Données projet'!$B$11,Paramètres!$A$1:$I$89,5,0)</f>
        <v>5.2008317652507685E-13</v>
      </c>
      <c r="BF196" s="14">
        <f t="shared" si="167"/>
        <v>6.4487270587740506E-12</v>
      </c>
      <c r="BG196" s="22">
        <f t="shared" si="168"/>
        <v>1.213734449314598E-11</v>
      </c>
      <c r="BH196" s="62">
        <f t="shared" ref="BH196:BH203" si="194">BG196+(AY196+AZ196)*44/12</f>
        <v>293.33333333334548</v>
      </c>
      <c r="BI196" s="62">
        <f ca="1">AVERAGE(OFFSET($BH$3,0,0,'Données projet'!$E$11+1,1))-AVERAGE(OFFSET($H$3,0,0,'Données projet'!$E$11+1,1))</f>
        <v>683.36974161977764</v>
      </c>
      <c r="BJ196" s="62">
        <f t="shared" si="146"/>
        <v>312.6921234697457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229.87422261206876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229.87422261206876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4.8316906031686813E-13</v>
      </c>
      <c r="BZ196" s="14">
        <f>BY196*VLOOKUP('Données projet'!$B$12,Paramètres!$A$1:$I$89,3,0)*VLOOKUP('Données projet'!$B$12,Paramètres!$A$1:$I$89,5,0)</f>
        <v>4.6732111513847483E-13</v>
      </c>
      <c r="CA196" s="14">
        <f t="shared" si="170"/>
        <v>5.8671100737071438E-12</v>
      </c>
      <c r="CB196" s="22">
        <f t="shared" si="171"/>
        <v>1.1032467653906121E-11</v>
      </c>
      <c r="CC196" s="62">
        <f t="shared" ref="CC196:CC203" si="195">CB196+(BT196+BU196)*44/12</f>
        <v>293.33333333334434</v>
      </c>
      <c r="CD196" s="62">
        <f ca="1">AVERAGE(OFFSET($CC$3,0,0,'Données projet'!$E$12+1,1))-AVERAGE(OFFSET($H$3,0,0,'Données projet'!$E$12+1,1))</f>
        <v>618.83149423524605</v>
      </c>
      <c r="CE196" s="62">
        <f t="shared" si="148"/>
        <v>285.33582535802435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206.55364930359809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206.55364930359809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354.24684313982857</v>
      </c>
      <c r="CZ196" s="62">
        <f t="shared" si="150"/>
        <v>322.65043486962185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17.802058580983459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17.802058580983459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4.8316906031686813E-13</v>
      </c>
      <c r="O197" s="14">
        <f>N197*VLOOKUP('Données projet'!$B$9,Paramètres!$A$1:$I$89,3,0)*VLOOKUP('Données projet'!$B$9,Paramètres!$A$1:$I$89,5,0)</f>
        <v>4.3717136577470225E-13</v>
      </c>
      <c r="P197" s="14">
        <f t="shared" ref="P197:P203" si="203">EXP(-1.0587+0.8836*LN(O197)+0.284)</f>
        <v>5.5313598682231701E-12</v>
      </c>
      <c r="Q197" s="22">
        <f t="shared" si="162"/>
        <v>1.039519189921296E-11</v>
      </c>
      <c r="R197" s="62">
        <f t="shared" si="191"/>
        <v>293.33333333334372</v>
      </c>
      <c r="S197" s="62">
        <f ca="1">AVERAGE(OFFSET($R$3,0,0,'Données projet'!$E$9+1,1))-AVERAGE(OFFSET($H$3,0,0,'Données projet'!$E$9+1,1))</f>
        <v>581.88778927327667</v>
      </c>
      <c r="T197" s="62">
        <f t="shared" ref="T197:T203" si="204">$T$3</f>
        <v>269.67340993773422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189.43853188887664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189.43853188887664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2.8421709430404007E-13</v>
      </c>
      <c r="AJ197" s="14">
        <f>AI197*VLOOKUP('Données projet'!$B$10,Paramètres!$A$1:$I$89,3,0)*VLOOKUP('Données projet'!$B$10,Paramètres!$A$1:$I$89,5,0)</f>
        <v>2.7046098693972454E-13</v>
      </c>
      <c r="AK197" s="14">
        <f t="shared" si="164"/>
        <v>3.6187594451142911E-12</v>
      </c>
      <c r="AL197" s="22">
        <f t="shared" si="165"/>
        <v>6.7737255858274096E-12</v>
      </c>
      <c r="AM197" s="62">
        <f t="shared" si="193"/>
        <v>293.33333333334008</v>
      </c>
      <c r="AN197" s="62">
        <f ca="1">AVERAGE(OFFSET($AM$3,0,0,'Données projet'!$E$10+1,1))-AVERAGE(OFFSET($H$3,0,0,'Données projet'!$E$10+1,1))</f>
        <v>444.81608506581125</v>
      </c>
      <c r="AO197" s="62">
        <f t="shared" ref="AO197:AO203" si="205">$AO$3</f>
        <v>306.75289431725565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41.141974179359117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41.141974179359117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4.8316906031686813E-13</v>
      </c>
      <c r="BE197" s="14">
        <f>BD197*VLOOKUP('Données projet'!$B$11,Paramètres!$A$1:$I$89,3,0)*VLOOKUP('Données projet'!$B$11,Paramètres!$A$1:$I$89,5,0)</f>
        <v>5.2008317652507685E-13</v>
      </c>
      <c r="BF197" s="14">
        <f t="shared" si="167"/>
        <v>6.4487270587740506E-12</v>
      </c>
      <c r="BG197" s="22">
        <f t="shared" si="168"/>
        <v>1.213734449314598E-11</v>
      </c>
      <c r="BH197" s="62">
        <f t="shared" si="194"/>
        <v>293.33333333334548</v>
      </c>
      <c r="BI197" s="62">
        <f ca="1">AVERAGE(OFFSET($BH$3,0,0,'Données projet'!$E$11+1,1))-AVERAGE(OFFSET($H$3,0,0,'Données projet'!$E$11+1,1))</f>
        <v>683.36974161977764</v>
      </c>
      <c r="BJ197" s="62">
        <f t="shared" ref="BJ197:BJ203" si="206">$BJ$3</f>
        <v>312.6921234697457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225.36652931607736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225.36652931607736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4.8316906031686813E-13</v>
      </c>
      <c r="BZ197" s="14">
        <f>BY197*VLOOKUP('Données projet'!$B$12,Paramètres!$A$1:$I$89,3,0)*VLOOKUP('Données projet'!$B$12,Paramètres!$A$1:$I$89,5,0)</f>
        <v>4.6732111513847483E-13</v>
      </c>
      <c r="CA197" s="14">
        <f t="shared" si="170"/>
        <v>5.8671100737071438E-12</v>
      </c>
      <c r="CB197" s="22">
        <f t="shared" si="171"/>
        <v>1.1032467653906121E-11</v>
      </c>
      <c r="CC197" s="62">
        <f t="shared" si="195"/>
        <v>293.33333333334434</v>
      </c>
      <c r="CD197" s="62">
        <f ca="1">AVERAGE(OFFSET($CC$3,0,0,'Données projet'!$E$12+1,1))-AVERAGE(OFFSET($H$3,0,0,'Données projet'!$E$12+1,1))</f>
        <v>618.83149423524605</v>
      </c>
      <c r="CE197" s="62">
        <f t="shared" ref="CE197:CE203" si="207">$CE$3</f>
        <v>285.33582535802435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202.5032582260406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202.5032582260406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354.24684313982857</v>
      </c>
      <c r="CZ197" s="62">
        <f t="shared" ref="CZ197:CZ203" si="208">$CZ$3</f>
        <v>322.65043486962185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17.45297107039395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17.45297107039395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4.8316906031686813E-13</v>
      </c>
      <c r="O198" s="14">
        <f>N198*VLOOKUP('Données projet'!$B$9,Paramètres!$A$1:$I$89,3,0)*VLOOKUP('Données projet'!$B$9,Paramètres!$A$1:$I$89,5,0)</f>
        <v>4.3717136577470225E-13</v>
      </c>
      <c r="P198" s="14">
        <f t="shared" si="203"/>
        <v>5.5313598682231701E-12</v>
      </c>
      <c r="Q198" s="22">
        <f t="shared" si="162"/>
        <v>1.039519189921296E-11</v>
      </c>
      <c r="R198" s="62">
        <f t="shared" si="191"/>
        <v>293.33333333334372</v>
      </c>
      <c r="S198" s="62">
        <f ca="1">AVERAGE(OFFSET($R$3,0,0,'Données projet'!$E$9+1,1))-AVERAGE(OFFSET($H$3,0,0,'Données projet'!$E$9+1,1))</f>
        <v>581.88778927327667</v>
      </c>
      <c r="T198" s="62">
        <f t="shared" si="204"/>
        <v>269.67340993773422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185.72375782463098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185.72375782463098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2.8421709430404007E-13</v>
      </c>
      <c r="AJ198" s="14">
        <f>AI198*VLOOKUP('Données projet'!$B$10,Paramètres!$A$1:$I$89,3,0)*VLOOKUP('Données projet'!$B$10,Paramètres!$A$1:$I$89,5,0)</f>
        <v>2.7046098693972454E-13</v>
      </c>
      <c r="AK198" s="14">
        <f t="shared" si="164"/>
        <v>3.6187594451142911E-12</v>
      </c>
      <c r="AL198" s="22">
        <f t="shared" si="165"/>
        <v>6.7737255858274096E-12</v>
      </c>
      <c r="AM198" s="62">
        <f t="shared" si="193"/>
        <v>293.33333333334008</v>
      </c>
      <c r="AN198" s="62">
        <f ca="1">AVERAGE(OFFSET($AM$3,0,0,'Données projet'!$E$10+1,1))-AVERAGE(OFFSET($H$3,0,0,'Données projet'!$E$10+1,1))</f>
        <v>444.81608506581125</v>
      </c>
      <c r="AO198" s="62">
        <f t="shared" si="205"/>
        <v>306.75289431725565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40.335205159828298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40.335205159828298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4.8316906031686813E-13</v>
      </c>
      <c r="BE198" s="14">
        <f>BD198*VLOOKUP('Données projet'!$B$11,Paramètres!$A$1:$I$89,3,0)*VLOOKUP('Données projet'!$B$11,Paramètres!$A$1:$I$89,5,0)</f>
        <v>5.2008317652507685E-13</v>
      </c>
      <c r="BF198" s="14">
        <f t="shared" si="167"/>
        <v>6.4487270587740506E-12</v>
      </c>
      <c r="BG198" s="22">
        <f t="shared" si="168"/>
        <v>1.213734449314598E-11</v>
      </c>
      <c r="BH198" s="62">
        <f t="shared" si="194"/>
        <v>293.33333333334548</v>
      </c>
      <c r="BI198" s="62">
        <f ca="1">AVERAGE(OFFSET($BH$3,0,0,'Données projet'!$E$11+1,1))-AVERAGE(OFFSET($H$3,0,0,'Données projet'!$E$11+1,1))</f>
        <v>683.36974161977764</v>
      </c>
      <c r="BJ198" s="62">
        <f t="shared" si="206"/>
        <v>312.6921234697457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220.94722913619893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220.94722913619893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4.8316906031686813E-13</v>
      </c>
      <c r="BZ198" s="14">
        <f>BY198*VLOOKUP('Données projet'!$B$12,Paramètres!$A$1:$I$89,3,0)*VLOOKUP('Données projet'!$B$12,Paramètres!$A$1:$I$89,5,0)</f>
        <v>4.6732111513847483E-13</v>
      </c>
      <c r="CA198" s="14">
        <f t="shared" si="170"/>
        <v>5.8671100737071438E-12</v>
      </c>
      <c r="CB198" s="22">
        <f t="shared" si="171"/>
        <v>1.1032467653906121E-11</v>
      </c>
      <c r="CC198" s="62">
        <f t="shared" si="195"/>
        <v>293.33333333334434</v>
      </c>
      <c r="CD198" s="62">
        <f ca="1">AVERAGE(OFFSET($CC$3,0,0,'Données projet'!$E$12+1,1))-AVERAGE(OFFSET($H$3,0,0,'Données projet'!$E$12+1,1))</f>
        <v>618.83149423524605</v>
      </c>
      <c r="CE198" s="62">
        <f t="shared" si="207"/>
        <v>285.33582535802435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198.53229284701939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198.53229284701939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354.24684313982857</v>
      </c>
      <c r="CZ198" s="62">
        <f t="shared" si="208"/>
        <v>322.65043486962185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17.110728952964745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17.110728952964745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4.8316906031686813E-13</v>
      </c>
      <c r="O199" s="14">
        <f>N199*VLOOKUP('Données projet'!$B$9,Paramètres!$A$1:$I$89,3,0)*VLOOKUP('Données projet'!$B$9,Paramètres!$A$1:$I$89,5,0)</f>
        <v>4.3717136577470225E-13</v>
      </c>
      <c r="P199" s="14">
        <f t="shared" si="203"/>
        <v>5.5313598682231701E-12</v>
      </c>
      <c r="Q199" s="22">
        <f t="shared" si="162"/>
        <v>1.039519189921296E-11</v>
      </c>
      <c r="R199" s="62">
        <f t="shared" si="191"/>
        <v>293.33333333334372</v>
      </c>
      <c r="S199" s="62">
        <f ca="1">AVERAGE(OFFSET($R$3,0,0,'Données projet'!$E$9+1,1))-AVERAGE(OFFSET($H$3,0,0,'Données projet'!$E$9+1,1))</f>
        <v>581.88778927327667</v>
      </c>
      <c r="T199" s="62">
        <f t="shared" si="204"/>
        <v>269.67340993773422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182.08182821399674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182.08182821399674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2.8421709430404007E-13</v>
      </c>
      <c r="AJ199" s="14">
        <f>AI199*VLOOKUP('Données projet'!$B$10,Paramètres!$A$1:$I$89,3,0)*VLOOKUP('Données projet'!$B$10,Paramètres!$A$1:$I$89,5,0)</f>
        <v>2.7046098693972454E-13</v>
      </c>
      <c r="AK199" s="14">
        <f t="shared" si="164"/>
        <v>3.6187594451142911E-12</v>
      </c>
      <c r="AL199" s="22">
        <f t="shared" si="165"/>
        <v>6.7737255858274096E-12</v>
      </c>
      <c r="AM199" s="62">
        <f t="shared" si="193"/>
        <v>293.33333333334008</v>
      </c>
      <c r="AN199" s="62">
        <f ca="1">AVERAGE(OFFSET($AM$3,0,0,'Données projet'!$E$10+1,1))-AVERAGE(OFFSET($H$3,0,0,'Données projet'!$E$10+1,1))</f>
        <v>444.81608506581125</v>
      </c>
      <c r="AO199" s="62">
        <f t="shared" si="205"/>
        <v>306.75289431725565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39.544256388689959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39.544256388689959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4.8316906031686813E-13</v>
      </c>
      <c r="BE199" s="14">
        <f>BD199*VLOOKUP('Données projet'!$B$11,Paramètres!$A$1:$I$89,3,0)*VLOOKUP('Données projet'!$B$11,Paramètres!$A$1:$I$89,5,0)</f>
        <v>5.2008317652507685E-13</v>
      </c>
      <c r="BF199" s="14">
        <f t="shared" si="167"/>
        <v>6.4487270587740506E-12</v>
      </c>
      <c r="BG199" s="22">
        <f t="shared" si="168"/>
        <v>1.213734449314598E-11</v>
      </c>
      <c r="BH199" s="62">
        <f t="shared" si="194"/>
        <v>293.33333333334548</v>
      </c>
      <c r="BI199" s="62">
        <f ca="1">AVERAGE(OFFSET($BH$3,0,0,'Données projet'!$E$11+1,1))-AVERAGE(OFFSET($H$3,0,0,'Données projet'!$E$11+1,1))</f>
        <v>683.36974161977764</v>
      </c>
      <c r="BJ199" s="62">
        <f t="shared" si="206"/>
        <v>312.6921234697457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216.61458873734094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216.61458873734094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4.8316906031686813E-13</v>
      </c>
      <c r="BZ199" s="14">
        <f>BY199*VLOOKUP('Données projet'!$B$12,Paramètres!$A$1:$I$89,3,0)*VLOOKUP('Données projet'!$B$12,Paramètres!$A$1:$I$89,5,0)</f>
        <v>4.6732111513847483E-13</v>
      </c>
      <c r="CA199" s="14">
        <f t="shared" si="170"/>
        <v>5.8671100737071438E-12</v>
      </c>
      <c r="CB199" s="22">
        <f t="shared" si="171"/>
        <v>1.1032467653906121E-11</v>
      </c>
      <c r="CC199" s="62">
        <f t="shared" si="195"/>
        <v>293.33333333334434</v>
      </c>
      <c r="CD199" s="62">
        <f ca="1">AVERAGE(OFFSET($CC$3,0,0,'Données projet'!$E$12+1,1))-AVERAGE(OFFSET($H$3,0,0,'Données projet'!$E$12+1,1))</f>
        <v>618.83149423524605</v>
      </c>
      <c r="CE199" s="62">
        <f t="shared" si="207"/>
        <v>285.33582535802435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194.63919567703107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194.63919567703107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354.24684313982857</v>
      </c>
      <c r="CZ199" s="62">
        <f t="shared" si="208"/>
        <v>322.65043486962185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16.775197994711249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16.775197994711249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4.8316906031686813E-13</v>
      </c>
      <c r="O200" s="14">
        <f>N200*VLOOKUP('Données projet'!$B$9,Paramètres!$A$1:$I$89,3,0)*VLOOKUP('Données projet'!$B$9,Paramètres!$A$1:$I$89,5,0)</f>
        <v>4.3717136577470225E-13</v>
      </c>
      <c r="P200" s="14">
        <f t="shared" si="203"/>
        <v>5.5313598682231701E-12</v>
      </c>
      <c r="Q200" s="22">
        <f t="shared" si="162"/>
        <v>1.039519189921296E-11</v>
      </c>
      <c r="R200" s="62">
        <f t="shared" si="191"/>
        <v>293.33333333334372</v>
      </c>
      <c r="S200" s="62">
        <f ca="1">AVERAGE(OFFSET($R$3,0,0,'Données projet'!$E$9+1,1))-AVERAGE(OFFSET($H$3,0,0,'Données projet'!$E$9+1,1))</f>
        <v>581.88778927327667</v>
      </c>
      <c r="T200" s="62">
        <f t="shared" si="204"/>
        <v>269.67340993773422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178.51131462166933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178.51131462166933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2.8421709430404007E-13</v>
      </c>
      <c r="AJ200" s="14">
        <f>AI200*VLOOKUP('Données projet'!$B$10,Paramètres!$A$1:$I$89,3,0)*VLOOKUP('Données projet'!$B$10,Paramètres!$A$1:$I$89,5,0)</f>
        <v>2.7046098693972454E-13</v>
      </c>
      <c r="AK200" s="14">
        <f t="shared" si="164"/>
        <v>3.6187594451142911E-12</v>
      </c>
      <c r="AL200" s="22">
        <f t="shared" si="165"/>
        <v>6.7737255858274096E-12</v>
      </c>
      <c r="AM200" s="62">
        <f t="shared" si="193"/>
        <v>293.33333333334008</v>
      </c>
      <c r="AN200" s="62">
        <f ca="1">AVERAGE(OFFSET($AM$3,0,0,'Données projet'!$E$10+1,1))-AVERAGE(OFFSET($H$3,0,0,'Données projet'!$E$10+1,1))</f>
        <v>444.81608506581125</v>
      </c>
      <c r="AO200" s="62">
        <f t="shared" si="205"/>
        <v>306.75289431725565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38.768817640522535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38.768817640522535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4.8316906031686813E-13</v>
      </c>
      <c r="BE200" s="14">
        <f>BD200*VLOOKUP('Données projet'!$B$11,Paramètres!$A$1:$I$89,3,0)*VLOOKUP('Données projet'!$B$11,Paramètres!$A$1:$I$89,5,0)</f>
        <v>5.2008317652507685E-13</v>
      </c>
      <c r="BF200" s="14">
        <f t="shared" si="167"/>
        <v>6.4487270587740506E-12</v>
      </c>
      <c r="BG200" s="22">
        <f t="shared" si="168"/>
        <v>1.213734449314598E-11</v>
      </c>
      <c r="BH200" s="62">
        <f t="shared" si="194"/>
        <v>293.33333333334548</v>
      </c>
      <c r="BI200" s="62">
        <f ca="1">AVERAGE(OFFSET($BH$3,0,0,'Données projet'!$E$11+1,1))-AVERAGE(OFFSET($H$3,0,0,'Données projet'!$E$11+1,1))</f>
        <v>683.36974161977764</v>
      </c>
      <c r="BJ200" s="62">
        <f t="shared" si="206"/>
        <v>312.6921234697457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212.36690877405485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212.36690877405485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4.8316906031686813E-13</v>
      </c>
      <c r="BZ200" s="14">
        <f>BY200*VLOOKUP('Données projet'!$B$12,Paramètres!$A$1:$I$89,3,0)*VLOOKUP('Données projet'!$B$12,Paramètres!$A$1:$I$89,5,0)</f>
        <v>4.6732111513847483E-13</v>
      </c>
      <c r="CA200" s="14">
        <f t="shared" si="170"/>
        <v>5.8671100737071438E-12</v>
      </c>
      <c r="CB200" s="22">
        <f t="shared" si="171"/>
        <v>1.1032467653906121E-11</v>
      </c>
      <c r="CC200" s="62">
        <f t="shared" si="195"/>
        <v>293.33333333334434</v>
      </c>
      <c r="CD200" s="62">
        <f ca="1">AVERAGE(OFFSET($CC$3,0,0,'Données projet'!$E$12+1,1))-AVERAGE(OFFSET($H$3,0,0,'Données projet'!$E$12+1,1))</f>
        <v>618.83149423524605</v>
      </c>
      <c r="CE200" s="62">
        <f t="shared" si="207"/>
        <v>285.33582535802435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190.8224397679914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190.8224397679914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354.24684313982857</v>
      </c>
      <c r="CZ200" s="62">
        <f t="shared" si="208"/>
        <v>322.65043486962185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16.446246593895427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16.446246593895427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4.8316906031686813E-13</v>
      </c>
      <c r="O201" s="14">
        <f>N201*VLOOKUP('Données projet'!$B$9,Paramètres!$A$1:$I$89,3,0)*VLOOKUP('Données projet'!$B$9,Paramètres!$A$1:$I$89,5,0)</f>
        <v>4.3717136577470225E-13</v>
      </c>
      <c r="P201" s="14">
        <f t="shared" si="203"/>
        <v>5.5313598682231701E-12</v>
      </c>
      <c r="Q201" s="22">
        <f t="shared" si="162"/>
        <v>1.039519189921296E-11</v>
      </c>
      <c r="R201" s="62">
        <f t="shared" si="191"/>
        <v>293.33333333334372</v>
      </c>
      <c r="S201" s="62">
        <f ca="1">AVERAGE(OFFSET($R$3,0,0,'Données projet'!$E$9+1,1))-AVERAGE(OFFSET($H$3,0,0,'Données projet'!$E$9+1,1))</f>
        <v>581.88778927327667</v>
      </c>
      <c r="T201" s="62">
        <f t="shared" si="204"/>
        <v>269.67340993773422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175.0108166230892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175.0108166230892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2.8421709430404007E-13</v>
      </c>
      <c r="AJ201" s="14">
        <f>AI201*VLOOKUP('Données projet'!$B$10,Paramètres!$A$1:$I$89,3,0)*VLOOKUP('Données projet'!$B$10,Paramètres!$A$1:$I$89,5,0)</f>
        <v>2.7046098693972454E-13</v>
      </c>
      <c r="AK201" s="14">
        <f t="shared" si="164"/>
        <v>3.6187594451142911E-12</v>
      </c>
      <c r="AL201" s="22">
        <f t="shared" si="165"/>
        <v>6.7737255858274096E-12</v>
      </c>
      <c r="AM201" s="62">
        <f t="shared" si="193"/>
        <v>293.33333333334008</v>
      </c>
      <c r="AN201" s="62">
        <f ca="1">AVERAGE(OFFSET($AM$3,0,0,'Données projet'!$E$10+1,1))-AVERAGE(OFFSET($H$3,0,0,'Données projet'!$E$10+1,1))</f>
        <v>444.81608506581125</v>
      </c>
      <c r="AO201" s="62">
        <f t="shared" si="205"/>
        <v>306.75289431725565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38.008584773235739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38.008584773235739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4.8316906031686813E-13</v>
      </c>
      <c r="BE201" s="14">
        <f>BD201*VLOOKUP('Données projet'!$B$11,Paramètres!$A$1:$I$89,3,0)*VLOOKUP('Données projet'!$B$11,Paramètres!$A$1:$I$89,5,0)</f>
        <v>5.2008317652507685E-13</v>
      </c>
      <c r="BF201" s="14">
        <f t="shared" si="167"/>
        <v>6.4487270587740506E-12</v>
      </c>
      <c r="BG201" s="22">
        <f t="shared" si="168"/>
        <v>1.213734449314598E-11</v>
      </c>
      <c r="BH201" s="62">
        <f t="shared" si="194"/>
        <v>293.33333333334548</v>
      </c>
      <c r="BI201" s="62">
        <f ca="1">AVERAGE(OFFSET($BH$3,0,0,'Données projet'!$E$11+1,1))-AVERAGE(OFFSET($H$3,0,0,'Données projet'!$E$11+1,1))</f>
        <v>683.36974161977764</v>
      </c>
      <c r="BJ201" s="62">
        <f t="shared" si="206"/>
        <v>312.6921234697457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208.20252322401987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208.20252322401987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4.8316906031686813E-13</v>
      </c>
      <c r="BZ201" s="14">
        <f>BY201*VLOOKUP('Données projet'!$B$12,Paramètres!$A$1:$I$89,3,0)*VLOOKUP('Données projet'!$B$12,Paramètres!$A$1:$I$89,5,0)</f>
        <v>4.6732111513847483E-13</v>
      </c>
      <c r="CA201" s="14">
        <f t="shared" si="170"/>
        <v>5.8671100737071438E-12</v>
      </c>
      <c r="CB201" s="22">
        <f t="shared" si="171"/>
        <v>1.1032467653906121E-11</v>
      </c>
      <c r="CC201" s="62">
        <f t="shared" si="195"/>
        <v>293.33333333334434</v>
      </c>
      <c r="CD201" s="62">
        <f ca="1">AVERAGE(OFFSET($CC$3,0,0,'Données projet'!$E$12+1,1))-AVERAGE(OFFSET($H$3,0,0,'Données projet'!$E$12+1,1))</f>
        <v>618.83149423524605</v>
      </c>
      <c r="CE201" s="62">
        <f t="shared" si="207"/>
        <v>285.33582535802435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187.08052811433677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187.08052811433677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354.24684313982857</v>
      </c>
      <c r="CZ201" s="62">
        <f t="shared" si="208"/>
        <v>322.65043486962185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16.123745729409059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16.123745729409059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4.8316906031686813E-13</v>
      </c>
      <c r="O202" s="14">
        <f>N202*VLOOKUP('Données projet'!$B$9,Paramètres!$A$1:$I$89,3,0)*VLOOKUP('Données projet'!$B$9,Paramètres!$A$1:$I$89,5,0)</f>
        <v>4.3717136577470225E-13</v>
      </c>
      <c r="P202" s="14">
        <f t="shared" si="203"/>
        <v>5.5313598682231701E-12</v>
      </c>
      <c r="Q202" s="22">
        <f t="shared" si="162"/>
        <v>1.039519189921296E-11</v>
      </c>
      <c r="R202" s="62">
        <f t="shared" si="191"/>
        <v>293.33333333334372</v>
      </c>
      <c r="S202" s="62">
        <f ca="1">AVERAGE(OFFSET($R$3,0,0,'Données projet'!$E$9+1,1))-AVERAGE(OFFSET($H$3,0,0,'Données projet'!$E$9+1,1))</f>
        <v>581.88778927327667</v>
      </c>
      <c r="T202" s="62">
        <f t="shared" si="204"/>
        <v>269.67340993773422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171.57896125516825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171.57896125516825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2.8421709430404007E-13</v>
      </c>
      <c r="AJ202" s="14">
        <f>AI202*VLOOKUP('Données projet'!$B$10,Paramètres!$A$1:$I$89,3,0)*VLOOKUP('Données projet'!$B$10,Paramètres!$A$1:$I$89,5,0)</f>
        <v>2.7046098693972454E-13</v>
      </c>
      <c r="AK202" s="14">
        <f t="shared" si="164"/>
        <v>3.6187594451142911E-12</v>
      </c>
      <c r="AL202" s="22">
        <f t="shared" si="165"/>
        <v>6.7737255858274096E-12</v>
      </c>
      <c r="AM202" s="62">
        <f t="shared" si="193"/>
        <v>293.33333333334008</v>
      </c>
      <c r="AN202" s="62">
        <f ca="1">AVERAGE(OFFSET($AM$3,0,0,'Données projet'!$E$10+1,1))-AVERAGE(OFFSET($H$3,0,0,'Données projet'!$E$10+1,1))</f>
        <v>444.81608506581125</v>
      </c>
      <c r="AO202" s="62">
        <f t="shared" si="205"/>
        <v>306.75289431725565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37.263259608780174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37.263259608780174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4.8316906031686813E-13</v>
      </c>
      <c r="BE202" s="14">
        <f>BD202*VLOOKUP('Données projet'!$B$11,Paramètres!$A$1:$I$89,3,0)*VLOOKUP('Données projet'!$B$11,Paramètres!$A$1:$I$89,5,0)</f>
        <v>5.2008317652507685E-13</v>
      </c>
      <c r="BF202" s="14">
        <f t="shared" si="167"/>
        <v>6.4487270587740506E-12</v>
      </c>
      <c r="BG202" s="22">
        <f t="shared" si="168"/>
        <v>1.213734449314598E-11</v>
      </c>
      <c r="BH202" s="62">
        <f t="shared" si="194"/>
        <v>293.33333333334548</v>
      </c>
      <c r="BI202" s="62">
        <f ca="1">AVERAGE(OFFSET($BH$3,0,0,'Données projet'!$E$11+1,1))-AVERAGE(OFFSET($H$3,0,0,'Données projet'!$E$11+1,1))</f>
        <v>683.36974161977764</v>
      </c>
      <c r="BJ202" s="62">
        <f t="shared" si="206"/>
        <v>312.6921234697457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204.11979873459669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204.11979873459669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4.8316906031686813E-13</v>
      </c>
      <c r="BZ202" s="14">
        <f>BY202*VLOOKUP('Données projet'!$B$12,Paramètres!$A$1:$I$89,3,0)*VLOOKUP('Données projet'!$B$12,Paramètres!$A$1:$I$89,5,0)</f>
        <v>4.6732111513847483E-13</v>
      </c>
      <c r="CA202" s="14">
        <f t="shared" si="170"/>
        <v>5.8671100737071438E-12</v>
      </c>
      <c r="CB202" s="22">
        <f t="shared" si="171"/>
        <v>1.1032467653906121E-11</v>
      </c>
      <c r="CC202" s="62">
        <f t="shared" si="195"/>
        <v>293.33333333334434</v>
      </c>
      <c r="CD202" s="62">
        <f ca="1">AVERAGE(OFFSET($CC$3,0,0,'Données projet'!$E$12+1,1))-AVERAGE(OFFSET($H$3,0,0,'Données projet'!$E$12+1,1))</f>
        <v>618.83149423524605</v>
      </c>
      <c r="CE202" s="62">
        <f t="shared" si="207"/>
        <v>285.33582535802435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183.41199306586955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183.41199306586955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354.24684313982857</v>
      </c>
      <c r="CZ202" s="62">
        <f t="shared" si="208"/>
        <v>322.65043486962185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15.807568910169165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15.807568910169165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4.8316906031686813E-13</v>
      </c>
      <c r="O203" s="14">
        <f>N203*VLOOKUP('Données projet'!$B$9,Paramètres!$A$1:$I$89,3,0)*VLOOKUP('Données projet'!$B$9,Paramètres!$A$1:$I$89,5,0)</f>
        <v>4.3717136577470225E-13</v>
      </c>
      <c r="P203" s="14">
        <f t="shared" si="203"/>
        <v>5.5313598682231701E-12</v>
      </c>
      <c r="Q203" s="22">
        <f t="shared" si="162"/>
        <v>1.039519189921296E-11</v>
      </c>
      <c r="R203" s="62">
        <f t="shared" si="191"/>
        <v>293.33333333334372</v>
      </c>
      <c r="S203" s="62">
        <f ca="1">AVERAGE(OFFSET($R$3,0,0,'Données projet'!$E$9+1,1))-AVERAGE(OFFSET($H$3,0,0,'Données projet'!$E$9+1,1))</f>
        <v>581.88778927327667</v>
      </c>
      <c r="T203" s="62">
        <f t="shared" si="204"/>
        <v>269.67340993773422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168.21440247778716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168.21440247778716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2.8421709430404007E-13</v>
      </c>
      <c r="AJ203" s="14">
        <f>AI203*VLOOKUP('Données projet'!$B$10,Paramètres!$A$1:$I$89,3,0)*VLOOKUP('Données projet'!$B$10,Paramètres!$A$1:$I$89,5,0)</f>
        <v>2.7046098693972454E-13</v>
      </c>
      <c r="AK203" s="14">
        <f t="shared" si="164"/>
        <v>3.6187594451142911E-12</v>
      </c>
      <c r="AL203" s="22">
        <f t="shared" si="165"/>
        <v>6.7737255858274096E-12</v>
      </c>
      <c r="AM203" s="62">
        <f t="shared" si="193"/>
        <v>293.33333333334008</v>
      </c>
      <c r="AN203" s="62">
        <f ca="1">AVERAGE(OFFSET($AM$3,0,0,'Données projet'!$E$10+1,1))-AVERAGE(OFFSET($H$3,0,0,'Données projet'!$E$10+1,1))</f>
        <v>444.81608506581125</v>
      </c>
      <c r="AO203" s="62">
        <f t="shared" si="205"/>
        <v>306.75289431725565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36.532549816196116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36.532549816196116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4.8316906031686813E-13</v>
      </c>
      <c r="BE203" s="14">
        <f>BD203*VLOOKUP('Données projet'!$B$11,Paramètres!$A$1:$I$89,3,0)*VLOOKUP('Données projet'!$B$11,Paramètres!$A$1:$I$89,5,0)</f>
        <v>5.2008317652507685E-13</v>
      </c>
      <c r="BF203" s="14">
        <f t="shared" si="167"/>
        <v>6.4487270587740506E-12</v>
      </c>
      <c r="BG203" s="22">
        <f t="shared" si="168"/>
        <v>1.213734449314598E-11</v>
      </c>
      <c r="BH203" s="62">
        <f t="shared" si="194"/>
        <v>293.33333333334548</v>
      </c>
      <c r="BI203" s="62">
        <f ca="1">AVERAGE(OFFSET($BH$3,0,0,'Données projet'!$E$11+1,1))-AVERAGE(OFFSET($H$3,0,0,'Données projet'!$E$11+1,1))</f>
        <v>683.36974161977764</v>
      </c>
      <c r="BJ203" s="62">
        <f t="shared" si="206"/>
        <v>312.6921234697457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200.11713398219504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200.11713398219504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4.8316906031686813E-13</v>
      </c>
      <c r="BZ203" s="14">
        <f>BY203*VLOOKUP('Données projet'!$B$12,Paramètres!$A$1:$I$89,3,0)*VLOOKUP('Données projet'!$B$12,Paramètres!$A$1:$I$89,5,0)</f>
        <v>4.6732111513847483E-13</v>
      </c>
      <c r="CA203" s="14">
        <f t="shared" si="170"/>
        <v>5.8671100737071438E-12</v>
      </c>
      <c r="CB203" s="22">
        <f t="shared" si="171"/>
        <v>1.1032467653906121E-11</v>
      </c>
      <c r="CC203" s="62">
        <f t="shared" si="195"/>
        <v>293.33333333334434</v>
      </c>
      <c r="CD203" s="62">
        <f ca="1">AVERAGE(OFFSET($CC$3,0,0,'Données projet'!$E$12+1,1))-AVERAGE(OFFSET($H$3,0,0,'Données projet'!$E$12+1,1))</f>
        <v>618.83149423524605</v>
      </c>
      <c r="CE203" s="62">
        <f t="shared" si="207"/>
        <v>285.33582535802435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179.81539575211735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179.81539575211735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354.24684313982857</v>
      </c>
      <c r="CZ203" s="62">
        <f t="shared" si="208"/>
        <v>322.65043486962185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15.497592125505747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15.497592125505747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1.1289835501862808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1.1794938141711815</v>
      </c>
      <c r="BA205" s="88">
        <f>EXP(LN('Données projet'!B88)/'Données projet'!A88)</f>
        <v>1.1289835501862808</v>
      </c>
      <c r="BV205" s="88">
        <f>EXP(LN('Données projet'!B114)/'Données projet'!A114)</f>
        <v>1.1289835501862808</v>
      </c>
      <c r="CQ205" s="88">
        <f>EXP(LN('Données projet'!B140)/'Données projet'!A140)</f>
        <v>1.4003603312913959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6" zoomScale="90" zoomScaleNormal="90" workbookViewId="0">
      <selection activeCell="H5" sqref="H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sessile</v>
      </c>
      <c r="B6" s="155">
        <f>'Données projet'!D9</f>
        <v>1.42377675</v>
      </c>
      <c r="C6" s="156">
        <f ca="1">IF(OR('Données projet'!B9="",'Données projet'!C9="",'Données projet'!C9=0%),0,Calculateur!S3)</f>
        <v>581.88778927327667</v>
      </c>
      <c r="D6" s="156">
        <f>IF(OR('Données projet'!B9="",'Données projet'!C9="",'Données projet'!C9=0%),0,Calculateur!T3)</f>
        <v>269.67340993773422</v>
      </c>
      <c r="E6" s="156">
        <f ca="1">MIN(C6,D6)</f>
        <v>269.67340993773422</v>
      </c>
      <c r="F6" s="156">
        <f ca="1">E6*B6</f>
        <v>383.95473116256494</v>
      </c>
      <c r="G6" s="156">
        <f ca="1">F6*(100%-'Données projet'!$C$24)*(100%-'Données projet'!$C$25)*(100%-'Données projet'!$C$26)*(100%-'Données projet'!$C$27)</f>
        <v>328.28129514399302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328.28129514399302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Charme</v>
      </c>
      <c r="B7" s="163">
        <f>'Données projet'!D10</f>
        <v>0.17832099999999998</v>
      </c>
      <c r="C7" s="156">
        <f ca="1">IF(OR('Données projet'!B10="",'Données projet'!C10="",'Données projet'!C10=0%),0,Calculateur!AN3)</f>
        <v>444.81608506581125</v>
      </c>
      <c r="D7" s="156">
        <f>IF(OR('Données projet'!B10="",'Données projet'!C10="",'Données projet'!C10=0%),0,Calculateur!AO3)</f>
        <v>306.75289431725565</v>
      </c>
      <c r="E7" s="156">
        <f t="shared" ref="E7:E15" ca="1" si="0">MIN(C7,D7)</f>
        <v>306.75289431725565</v>
      </c>
      <c r="F7" s="156">
        <f t="shared" ref="F7:F15" ca="1" si="1">E7*B7</f>
        <v>54.700482867547336</v>
      </c>
      <c r="G7" s="156">
        <f ca="1">F7*(100%-'Données projet'!$C$24)*(100%-'Données projet'!$C$25)*(100%-'Données projet'!$C$26)*(100%-'Données projet'!$C$27)</f>
        <v>46.768912851752972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1.1145062499999998</v>
      </c>
      <c r="K7" s="160">
        <f>J7*(100%-'Données projet'!$C$24)*(100%-'Données projet'!$C$25)*(100%-'Données projet'!$C$26)*(100%-'Données projet'!$C$27)</f>
        <v>0.95290284374999978</v>
      </c>
      <c r="L7" s="161">
        <f t="shared" ref="L7:L15" ca="1" si="2">G7+I7+K7</f>
        <v>47.721815695502976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Cormier</v>
      </c>
      <c r="B8" s="163">
        <f>'Données projet'!D11</f>
        <v>8.8809600000000002E-2</v>
      </c>
      <c r="C8" s="156">
        <f ca="1">IF(OR('Données projet'!B11="",'Données projet'!C11="",'Données projet'!C11=0%),0,Calculateur!BI3)</f>
        <v>683.36974161977764</v>
      </c>
      <c r="D8" s="156">
        <f>IF(OR('Données projet'!B11="",'Données projet'!C11="",'Données projet'!C11=0%),0,Calculateur!BJ3)</f>
        <v>312.6921234697457</v>
      </c>
      <c r="E8" s="156">
        <f t="shared" ca="1" si="0"/>
        <v>312.6921234697457</v>
      </c>
      <c r="F8" s="156">
        <f t="shared" ca="1" si="1"/>
        <v>27.770062408498728</v>
      </c>
      <c r="G8" s="156">
        <f ca="1">F8*(100%-'Données projet'!$C$24)*(100%-'Données projet'!$C$25)*(100%-'Données projet'!$C$26)*(100%-'Données projet'!$C$27)</f>
        <v>23.743403359266413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23.743403359266413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Alisier torminal</v>
      </c>
      <c r="B9" s="163">
        <f>'Données projet'!D12</f>
        <v>8.8809600000000002E-2</v>
      </c>
      <c r="C9" s="156">
        <f ca="1">IF(OR('Données projet'!B12="",'Données projet'!C12="",'Données projet'!C12=0%),0,Calculateur!CD3)</f>
        <v>618.83149423524605</v>
      </c>
      <c r="D9" s="156">
        <f>IF(OR('Données projet'!B12="",'Données projet'!C12="",'Données projet'!C12=0%),0,Calculateur!CE3)</f>
        <v>285.33582535802435</v>
      </c>
      <c r="E9" s="156">
        <f t="shared" ca="1" si="0"/>
        <v>285.33582535802435</v>
      </c>
      <c r="F9" s="156">
        <f t="shared" ca="1" si="1"/>
        <v>25.340560515716</v>
      </c>
      <c r="G9" s="156">
        <f ca="1">F9*(100%-'Données projet'!$C$24)*(100%-'Données projet'!$C$25)*(100%-'Données projet'!$C$26)*(100%-'Données projet'!$C$27)</f>
        <v>21.666179240937179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21.666179240937179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Chêne rouge d'Amérique</v>
      </c>
      <c r="B10" s="163">
        <f>'Données projet'!D13</f>
        <v>1.4097917899999999</v>
      </c>
      <c r="C10" s="156">
        <f ca="1">IF(OR('Données projet'!B13="",'Données projet'!C13="",'Données projet'!C13=0%),0,Calculateur!CY3)</f>
        <v>354.24684313982857</v>
      </c>
      <c r="D10" s="156">
        <f>IF(OR('Données projet'!B13="",'Données projet'!C13="",'Données projet'!C13=0%),0,Calculateur!CZ3)</f>
        <v>322.65043486962185</v>
      </c>
      <c r="E10" s="156">
        <f t="shared" ca="1" si="0"/>
        <v>322.65043486962185</v>
      </c>
      <c r="F10" s="156">
        <f t="shared" ca="1" si="1"/>
        <v>454.86993411912255</v>
      </c>
      <c r="G10" s="156">
        <f ca="1">F10*(100%-'Données projet'!$C$24)*(100%-'Données projet'!$C$25)*(100%-'Données projet'!$C$26)*(100%-'Données projet'!$C$27)</f>
        <v>388.91379367184976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37.7119303825</v>
      </c>
      <c r="K10" s="160">
        <f>J10*(100%-'Données projet'!$C$24)*(100%-'Données projet'!$C$25)*(100%-'Données projet'!$C$26)*(100%-'Données projet'!$C$27)</f>
        <v>32.2437004770375</v>
      </c>
      <c r="L10" s="161">
        <f t="shared" ca="1" si="2"/>
        <v>421.15749414888728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946.63577107344963</v>
      </c>
      <c r="G16" s="175">
        <f t="shared" ca="1" si="3"/>
        <v>809.3735842677994</v>
      </c>
      <c r="H16" s="176">
        <f t="shared" si="3"/>
        <v>0</v>
      </c>
      <c r="I16" s="176">
        <f t="shared" si="3"/>
        <v>0</v>
      </c>
      <c r="J16" s="177">
        <f t="shared" si="3"/>
        <v>38.826436632499998</v>
      </c>
      <c r="K16" s="177">
        <f t="shared" si="3"/>
        <v>33.196603320787503</v>
      </c>
      <c r="L16" s="178">
        <f t="shared" ca="1" si="3"/>
        <v>842.57018758858692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Chêne rouge d'Amérique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" zoomScaleNormal="80" workbookViewId="0">
      <selection activeCell="U35" sqref="U3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-1511.767609599709</v>
      </c>
      <c r="U10" s="190">
        <f>'Données projet'!D9</f>
        <v>1.42377675</v>
      </c>
      <c r="V10" s="189">
        <f>U10*T10</f>
        <v>-2152.4195739511424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Charme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-802.07164676457978</v>
      </c>
      <c r="U11" s="190">
        <f>'Données projet'!D10</f>
        <v>0.17832099999999998</v>
      </c>
      <c r="V11" s="189">
        <f t="shared" ref="V11" si="0">U11*T11</f>
        <v>-143.02621812270661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Cormier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-2197.4816061404822</v>
      </c>
      <c r="U12" s="190">
        <f>'Données projet'!D11</f>
        <v>8.8809600000000002E-2</v>
      </c>
      <c r="V12" s="189">
        <f t="shared" ref="V12:V19" si="1">U12*T12</f>
        <v>-195.15746244869376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Alisier torminal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-3788.1294892341261</v>
      </c>
      <c r="U13" s="190">
        <f>'Données projet'!D12</f>
        <v>8.8809600000000002E-2</v>
      </c>
      <c r="V13" s="189">
        <f t="shared" si="1"/>
        <v>-336.42226468708708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Chêne rouge d'Amérique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583.17975034895051</v>
      </c>
      <c r="U14" s="190">
        <f>'Données projet'!D13</f>
        <v>1.4097917899999999</v>
      </c>
      <c r="V14" s="189">
        <f t="shared" si="1"/>
        <v>822.16202413619999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>
        <v>1</v>
      </c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3003</v>
      </c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f>650+310</f>
        <v>960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550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550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42</v>
      </c>
      <c r="B23" s="193">
        <f>'Données projet'!D36</f>
        <v>43.21</v>
      </c>
      <c r="C23" s="206">
        <f>225*'Données projet'!E36+13.8*('Données projet'!F36+'Données projet'!G36)+15*'Données projet'!G36</f>
        <v>45</v>
      </c>
      <c r="D23" s="194">
        <f>B23*C23</f>
        <v>1944.45</v>
      </c>
      <c r="E23" s="206"/>
      <c r="F23" s="260"/>
      <c r="H23" s="203">
        <v>3</v>
      </c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-8352.8590629404662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50</v>
      </c>
      <c r="B24" s="193">
        <f>'Données projet'!D37</f>
        <v>35.58</v>
      </c>
      <c r="C24" s="206">
        <f>225*'Données projet'!E37+13.8*('Données projet'!F37+'Données projet'!G37)+15*'Données projet'!G37</f>
        <v>45</v>
      </c>
      <c r="D24" s="194">
        <f t="shared" ref="D24:D42" si="2">B24*C24</f>
        <v>1601.1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58</v>
      </c>
      <c r="B25" s="193">
        <f>'Données projet'!D38</f>
        <v>44.93</v>
      </c>
      <c r="C25" s="206">
        <f>225*'Données projet'!E38+13.8*('Données projet'!F38+'Données projet'!G38)+15*'Données projet'!G38</f>
        <v>45</v>
      </c>
      <c r="D25" s="194">
        <f t="shared" si="2"/>
        <v>2021.85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40">
        <f ca="1">T23-T24</f>
        <v>-8352.8590629404662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66</v>
      </c>
      <c r="B26" s="193">
        <f>'Données projet'!D39</f>
        <v>49.91</v>
      </c>
      <c r="C26" s="206">
        <f>225*'Données projet'!E39+13.8*('Données projet'!F39+'Données projet'!G39)+15*'Données projet'!G39</f>
        <v>67.5</v>
      </c>
      <c r="D26" s="194">
        <f t="shared" si="2"/>
        <v>3368.9249999999997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74</v>
      </c>
      <c r="B27" s="193">
        <f>'Données projet'!D40</f>
        <v>47.4</v>
      </c>
      <c r="C27" s="206">
        <f>225*'Données projet'!E40+13.8*('Données projet'!F40+'Données projet'!G40)+15*'Données projet'!G40</f>
        <v>90</v>
      </c>
      <c r="D27" s="194">
        <f t="shared" si="2"/>
        <v>4266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84</v>
      </c>
      <c r="B28" s="193">
        <f>'Données projet'!D41</f>
        <v>61.47</v>
      </c>
      <c r="C28" s="206">
        <f>225*'Données projet'!E41+13.8*('Données projet'!F41+'Données projet'!G41)+15*'Données projet'!G41</f>
        <v>90</v>
      </c>
      <c r="D28" s="194">
        <f t="shared" si="2"/>
        <v>5532.3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94</v>
      </c>
      <c r="B29" s="193">
        <f>'Données projet'!D42</f>
        <v>61.85</v>
      </c>
      <c r="C29" s="206">
        <f>225*'Données projet'!E42+13.8*('Données projet'!F42+'Données projet'!G42)+15*'Données projet'!G42</f>
        <v>112.5</v>
      </c>
      <c r="D29" s="194">
        <f t="shared" si="2"/>
        <v>6958.125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104</v>
      </c>
      <c r="B30" s="193">
        <f>'Données projet'!D43</f>
        <v>60.19</v>
      </c>
      <c r="C30" s="206">
        <f>225*'Données projet'!E43+13.8*('Données projet'!F43+'Données projet'!G43)+15*'Données projet'!G43</f>
        <v>112.5</v>
      </c>
      <c r="D30" s="194">
        <f t="shared" si="2"/>
        <v>6771.375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114</v>
      </c>
      <c r="B31" s="193">
        <f>'Données projet'!D44</f>
        <v>56.07</v>
      </c>
      <c r="C31" s="206">
        <f>225*'Données projet'!E44+13.8*('Données projet'!F44+'Données projet'!G44)+15*'Données projet'!G44</f>
        <v>135</v>
      </c>
      <c r="D31" s="194">
        <f t="shared" si="2"/>
        <v>7569.45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124</v>
      </c>
      <c r="B32" s="193">
        <f>'Données projet'!D45</f>
        <v>52.53</v>
      </c>
      <c r="C32" s="206">
        <f>225*'Données projet'!E45+13.8*('Données projet'!F45+'Données projet'!G45)+15*'Données projet'!G45</f>
        <v>157.5</v>
      </c>
      <c r="D32" s="194">
        <f t="shared" si="2"/>
        <v>8273.4750000000004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134</v>
      </c>
      <c r="B33" s="193">
        <f>'Données projet'!D46</f>
        <v>54.95</v>
      </c>
      <c r="C33" s="206">
        <f>225*'Données projet'!E46+13.8*('Données projet'!F46+'Données projet'!G46)+15*'Données projet'!G46</f>
        <v>157.5</v>
      </c>
      <c r="D33" s="194">
        <f t="shared" si="2"/>
        <v>8654.625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144</v>
      </c>
      <c r="B34" s="193">
        <f>'Données projet'!D47</f>
        <v>56.01</v>
      </c>
      <c r="C34" s="206">
        <f>225*'Données projet'!E47+13.8*('Données projet'!F47+'Données projet'!G47)+15*'Données projet'!G47</f>
        <v>157.5</v>
      </c>
      <c r="D34" s="194">
        <f t="shared" si="2"/>
        <v>8821.5749999999989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154</v>
      </c>
      <c r="B35" s="193">
        <f>'Données projet'!D48</f>
        <v>55.13</v>
      </c>
      <c r="C35" s="206">
        <f>225*'Données projet'!E48+13.8*('Données projet'!F48+'Données projet'!G48)+15*'Données projet'!G48</f>
        <v>157.5</v>
      </c>
      <c r="D35" s="194">
        <f t="shared" si="2"/>
        <v>8682.9750000000004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164</v>
      </c>
      <c r="B36" s="193">
        <f>'Données projet'!D49</f>
        <v>59.58</v>
      </c>
      <c r="C36" s="206">
        <f>225*'Données projet'!E49+13.8*('Données projet'!F49+'Données projet'!G49)+15*'Données projet'!G49</f>
        <v>180</v>
      </c>
      <c r="D36" s="194">
        <f t="shared" si="2"/>
        <v>10724.4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174</v>
      </c>
      <c r="B37" s="193">
        <f>'Données projet'!D50</f>
        <v>214.77</v>
      </c>
      <c r="C37" s="206">
        <f>225*'Données projet'!E50+13.8*('Données projet'!F50+'Données projet'!G50)+15*'Données projet'!G50</f>
        <v>180</v>
      </c>
      <c r="D37" s="194">
        <f t="shared" si="2"/>
        <v>38658.6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177</v>
      </c>
      <c r="B38" s="193">
        <f>'Données projet'!D51</f>
        <v>115.19</v>
      </c>
      <c r="C38" s="206">
        <f>225*'Données projet'!E51+13.8*('Données projet'!F51+'Données projet'!G51)+15*'Données projet'!G51</f>
        <v>180</v>
      </c>
      <c r="D38" s="194">
        <f t="shared" si="2"/>
        <v>20734.2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180</v>
      </c>
      <c r="B39" s="193">
        <f>'Données projet'!D52</f>
        <v>77.72</v>
      </c>
      <c r="C39" s="206">
        <f>225*'Données projet'!E52+13.8*('Données projet'!F52+'Données projet'!G52)+15*'Données projet'!G52</f>
        <v>180</v>
      </c>
      <c r="D39" s="194">
        <f t="shared" si="2"/>
        <v>13989.6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183</v>
      </c>
      <c r="B40" s="193">
        <f>'Données projet'!D53</f>
        <v>169.76</v>
      </c>
      <c r="C40" s="206">
        <f>225*'Données projet'!E53+13.8*('Données projet'!F53+'Données projet'!G53)+15*'Données projet'!G53</f>
        <v>180</v>
      </c>
      <c r="D40" s="194">
        <f t="shared" si="2"/>
        <v>30556.799999999999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projet'!G54)+15*'Données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projet'!G55)+15*'Données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1716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25</v>
      </c>
      <c r="B54" s="193">
        <f>'Données projet'!D62</f>
        <v>8</v>
      </c>
      <c r="C54" s="204">
        <f>50*'Données projet'!E62+13.8*('Données projet'!F62+'Données projet'!G62)+15*'Données projet'!H62</f>
        <v>15</v>
      </c>
      <c r="D54" s="191">
        <f>B54*C54</f>
        <v>120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30</v>
      </c>
      <c r="B55" s="193">
        <f>'Données projet'!D63</f>
        <v>17</v>
      </c>
      <c r="C55" s="204">
        <f>50*'Données projet'!E63+13.8*('Données projet'!F63+'Données projet'!G63)+15*'Données projet'!H63</f>
        <v>15</v>
      </c>
      <c r="D55" s="191">
        <f t="shared" ref="D55:D73" si="4">B55*C55</f>
        <v>255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35</v>
      </c>
      <c r="B56" s="193">
        <f>'Données projet'!D64</f>
        <v>22</v>
      </c>
      <c r="C56" s="204">
        <f>50*'Données projet'!E64+13.8*('Données projet'!F64+'Données projet'!G64)+15*'Données projet'!H64</f>
        <v>22</v>
      </c>
      <c r="D56" s="191">
        <f t="shared" si="4"/>
        <v>484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40</v>
      </c>
      <c r="B57" s="193">
        <f>'Données projet'!D65</f>
        <v>26</v>
      </c>
      <c r="C57" s="204">
        <f>50*'Données projet'!E65+13.8*('Données projet'!F65+'Données projet'!G65)+15*'Données projet'!H65</f>
        <v>22</v>
      </c>
      <c r="D57" s="191">
        <f t="shared" si="4"/>
        <v>572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45</v>
      </c>
      <c r="B58" s="193">
        <f>'Données projet'!D66</f>
        <v>28</v>
      </c>
      <c r="C58" s="204">
        <f>50*'Données projet'!E66+13.8*('Données projet'!F66+'Données projet'!G66)+15*'Données projet'!H66</f>
        <v>22</v>
      </c>
      <c r="D58" s="191">
        <f t="shared" si="4"/>
        <v>616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50</v>
      </c>
      <c r="B59" s="193">
        <f>'Données projet'!D67</f>
        <v>30</v>
      </c>
      <c r="C59" s="204">
        <f>50*'Données projet'!E67+13.8*('Données projet'!F67+'Données projet'!G67)+15*'Données projet'!H67</f>
        <v>25.5</v>
      </c>
      <c r="D59" s="191">
        <f t="shared" si="4"/>
        <v>765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55</v>
      </c>
      <c r="B60" s="193">
        <f>'Données projet'!D68</f>
        <v>30</v>
      </c>
      <c r="C60" s="204">
        <f>50*'Données projet'!E68+13.8*('Données projet'!F68+'Données projet'!G68)+15*'Données projet'!H68</f>
        <v>29</v>
      </c>
      <c r="D60" s="191">
        <f t="shared" si="4"/>
        <v>870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60</v>
      </c>
      <c r="B61" s="193">
        <f>'Données projet'!D69</f>
        <v>31</v>
      </c>
      <c r="C61" s="204">
        <f>50*'Données projet'!E69+13.8*('Données projet'!F69+'Données projet'!G69)+15*'Données projet'!H69</f>
        <v>29</v>
      </c>
      <c r="D61" s="191">
        <f t="shared" si="4"/>
        <v>899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65</v>
      </c>
      <c r="B62" s="193">
        <f>'Données projet'!D70</f>
        <v>31</v>
      </c>
      <c r="C62" s="204">
        <f>50*'Données projet'!E70+13.8*('Données projet'!F70+'Données projet'!G70)+15*'Données projet'!H70</f>
        <v>32.5</v>
      </c>
      <c r="D62" s="191">
        <f t="shared" si="4"/>
        <v>1007.5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70</v>
      </c>
      <c r="B63" s="193">
        <f>'Données projet'!D71</f>
        <v>31</v>
      </c>
      <c r="C63" s="204">
        <f>50*'Données projet'!E71+13.8*('Données projet'!F71+'Données projet'!G71)+15*'Données projet'!H71</f>
        <v>32.5</v>
      </c>
      <c r="D63" s="191">
        <f t="shared" si="4"/>
        <v>1007.5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75</v>
      </c>
      <c r="B64" s="193">
        <f>'Données projet'!D72</f>
        <v>31</v>
      </c>
      <c r="C64" s="204">
        <f>50*'Données projet'!E72+13.8*('Données projet'!F72+'Données projet'!G72)+15*'Données projet'!H72</f>
        <v>36</v>
      </c>
      <c r="D64" s="191">
        <f t="shared" si="4"/>
        <v>1116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80</v>
      </c>
      <c r="B65" s="193">
        <f>'Données projet'!D73</f>
        <v>31</v>
      </c>
      <c r="C65" s="204">
        <f>50*'Données projet'!E73+13.8*('Données projet'!F73+'Données projet'!G73)+15*'Données projet'!H73</f>
        <v>39.5</v>
      </c>
      <c r="D65" s="191">
        <f t="shared" si="4"/>
        <v>1224.5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85</v>
      </c>
      <c r="B66" s="193">
        <f>'Données projet'!D74</f>
        <v>30</v>
      </c>
      <c r="C66" s="204">
        <f>50*'Données projet'!E74+13.8*('Données projet'!F74+'Données projet'!G74)+15*'Données projet'!H74</f>
        <v>39.5</v>
      </c>
      <c r="D66" s="191">
        <f t="shared" si="4"/>
        <v>1185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90</v>
      </c>
      <c r="B67" s="193">
        <f>'Données projet'!D75</f>
        <v>30</v>
      </c>
      <c r="C67" s="204">
        <f>50*'Données projet'!E75+13.8*('Données projet'!F75+'Données projet'!G75)+15*'Données projet'!H75</f>
        <v>39.5</v>
      </c>
      <c r="D67" s="191">
        <f t="shared" si="4"/>
        <v>1185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95</v>
      </c>
      <c r="B68" s="193">
        <f>'Données projet'!D76</f>
        <v>29</v>
      </c>
      <c r="C68" s="204">
        <f>50*'Données projet'!E76+13.8*('Données projet'!F76+'Données projet'!G76)+15*'Données projet'!H76</f>
        <v>39.5</v>
      </c>
      <c r="D68" s="191">
        <f t="shared" si="4"/>
        <v>1145.5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100</v>
      </c>
      <c r="B69" s="193">
        <f>'Données projet'!D77</f>
        <v>29</v>
      </c>
      <c r="C69" s="204">
        <f>50*'Données projet'!E77+13.8*('Données projet'!F77+'Données projet'!G77)+15*'Données projet'!H77</f>
        <v>43</v>
      </c>
      <c r="D69" s="191">
        <f t="shared" si="4"/>
        <v>1247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105</v>
      </c>
      <c r="B70" s="193">
        <f>'Données projet'!D78</f>
        <v>28</v>
      </c>
      <c r="C70" s="204">
        <f>50*'Données projet'!E78+13.8*('Données projet'!F78+'Données projet'!G78)+15*'Données projet'!H78</f>
        <v>43</v>
      </c>
      <c r="D70" s="191">
        <f t="shared" si="4"/>
        <v>1204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110</v>
      </c>
      <c r="B71" s="193">
        <f>'Données projet'!D79</f>
        <v>27</v>
      </c>
      <c r="C71" s="204">
        <f>50*'Données projet'!E79+13.8*('Données projet'!F79+'Données projet'!G79)+15*'Données projet'!H79</f>
        <v>43</v>
      </c>
      <c r="D71" s="191">
        <f t="shared" si="4"/>
        <v>1161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115</v>
      </c>
      <c r="B72" s="193">
        <f>'Données projet'!D80</f>
        <v>26</v>
      </c>
      <c r="C72" s="204">
        <f>50*'Données projet'!E80+13.8*('Données projet'!F80+'Données projet'!G80)+15*'Données projet'!H80</f>
        <v>43</v>
      </c>
      <c r="D72" s="191">
        <f t="shared" si="4"/>
        <v>1118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120</v>
      </c>
      <c r="B73" s="193">
        <f>'Données projet'!D81</f>
        <v>312</v>
      </c>
      <c r="C73" s="204">
        <f>50*'Données projet'!E81+13.8*('Données projet'!F81+'Données projet'!G81)+15*'Données projet'!H81</f>
        <v>43</v>
      </c>
      <c r="D73" s="191">
        <f t="shared" si="4"/>
        <v>13416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4433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42</v>
      </c>
      <c r="B85" s="193">
        <f>'Données projet'!D88</f>
        <v>43.21</v>
      </c>
      <c r="C85" s="204">
        <f>300*'Données projet'!E88+13.8*('Données projet'!F88+'Données projet'!G88)+15*'Données projet'!H88</f>
        <v>72</v>
      </c>
      <c r="D85" s="191">
        <f>B85*C85</f>
        <v>3111.12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50</v>
      </c>
      <c r="B86" s="193">
        <f>'Données projet'!D89</f>
        <v>35.58</v>
      </c>
      <c r="C86" s="204">
        <f>300*'Données projet'!E89+13.8*('Données projet'!F89+'Données projet'!G89)+15*'Données projet'!H89</f>
        <v>72</v>
      </c>
      <c r="D86" s="191">
        <f t="shared" ref="D86:D104" si="6">B86*C86</f>
        <v>2561.7599999999998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58</v>
      </c>
      <c r="B87" s="193">
        <f>'Données projet'!D90</f>
        <v>44.93</v>
      </c>
      <c r="C87" s="204">
        <f>300*'Données projet'!E90+13.8*('Données projet'!F90+'Données projet'!G90)+15*'Données projet'!H90</f>
        <v>72</v>
      </c>
      <c r="D87" s="191">
        <f t="shared" si="6"/>
        <v>3234.96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66</v>
      </c>
      <c r="B88" s="193">
        <f>'Données projet'!D91</f>
        <v>49.91</v>
      </c>
      <c r="C88" s="204">
        <f>300*'Données projet'!E91+13.8*('Données projet'!F91+'Données projet'!G91)+15*'Données projet'!H91</f>
        <v>100.5</v>
      </c>
      <c r="D88" s="191">
        <f t="shared" si="6"/>
        <v>5015.9549999999999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74</v>
      </c>
      <c r="B89" s="193">
        <f>'Données projet'!D92</f>
        <v>47.4</v>
      </c>
      <c r="C89" s="204">
        <f>300*'Données projet'!E92+13.8*('Données projet'!F92+'Données projet'!G92)+15*'Données projet'!H92</f>
        <v>129</v>
      </c>
      <c r="D89" s="191">
        <f t="shared" si="6"/>
        <v>6114.5999999999995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84</v>
      </c>
      <c r="B90" s="193">
        <f>'Données projet'!D93</f>
        <v>61.47</v>
      </c>
      <c r="C90" s="204">
        <f>300*'Données projet'!E93+13.8*('Données projet'!F93+'Données projet'!G93)+15*'Données projet'!H93</f>
        <v>129</v>
      </c>
      <c r="D90" s="191">
        <f t="shared" si="6"/>
        <v>7929.63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94</v>
      </c>
      <c r="B91" s="193">
        <f>'Données projet'!D94</f>
        <v>61.85</v>
      </c>
      <c r="C91" s="204">
        <f>300*'Données projet'!E94+13.8*('Données projet'!F94+'Données projet'!G94)+15*'Données projet'!H94</f>
        <v>157.5</v>
      </c>
      <c r="D91" s="191">
        <f t="shared" si="6"/>
        <v>9741.375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104</v>
      </c>
      <c r="B92" s="193">
        <f>'Données projet'!D95</f>
        <v>60.19</v>
      </c>
      <c r="C92" s="204">
        <f>300*'Données projet'!E95+13.8*('Données projet'!F95+'Données projet'!G95)+15*'Données projet'!H95</f>
        <v>157.5</v>
      </c>
      <c r="D92" s="191">
        <f t="shared" si="6"/>
        <v>9479.9249999999993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114</v>
      </c>
      <c r="B93" s="193">
        <f>'Données projet'!D96</f>
        <v>56.07</v>
      </c>
      <c r="C93" s="204">
        <f>300*'Données projet'!E96+13.8*('Données projet'!F96+'Données projet'!G96)+15*'Données projet'!H96</f>
        <v>186</v>
      </c>
      <c r="D93" s="191">
        <f t="shared" si="6"/>
        <v>10429.02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124</v>
      </c>
      <c r="B94" s="193">
        <f>'Données projet'!D97</f>
        <v>52.53</v>
      </c>
      <c r="C94" s="204">
        <f>300*'Données projet'!E97+13.8*('Données projet'!F97+'Données projet'!G97)+15*'Données projet'!H97</f>
        <v>214.5</v>
      </c>
      <c r="D94" s="191">
        <f t="shared" si="6"/>
        <v>11267.684999999999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134</v>
      </c>
      <c r="B95" s="193">
        <f>'Données projet'!D98</f>
        <v>54.95</v>
      </c>
      <c r="C95" s="204">
        <f>300*'Données projet'!E98+13.8*('Données projet'!F98+'Données projet'!G98)+15*'Données projet'!H98</f>
        <v>214.5</v>
      </c>
      <c r="D95" s="191">
        <f t="shared" si="6"/>
        <v>11786.775000000001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144</v>
      </c>
      <c r="B96" s="193">
        <f>'Données projet'!D99</f>
        <v>56.01</v>
      </c>
      <c r="C96" s="204">
        <f>300*'Données projet'!E99+13.8*('Données projet'!F99+'Données projet'!G99)+15*'Données projet'!H99</f>
        <v>214.5</v>
      </c>
      <c r="D96" s="191">
        <f t="shared" si="6"/>
        <v>12014.145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154</v>
      </c>
      <c r="B97" s="193">
        <f>'Données projet'!D100</f>
        <v>55.13</v>
      </c>
      <c r="C97" s="204">
        <f>300*'Données projet'!E100+13.8*('Données projet'!F100+'Données projet'!G100)+15*'Données projet'!H100</f>
        <v>214.5</v>
      </c>
      <c r="D97" s="191">
        <f t="shared" si="6"/>
        <v>11825.385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164</v>
      </c>
      <c r="B98" s="193">
        <f>'Données projet'!D101</f>
        <v>59.58</v>
      </c>
      <c r="C98" s="204">
        <f>300*'Données projet'!E101+13.8*('Données projet'!F101+'Données projet'!G101)+15*'Données projet'!H101</f>
        <v>243</v>
      </c>
      <c r="D98" s="191">
        <f t="shared" si="6"/>
        <v>14477.939999999999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174</v>
      </c>
      <c r="B99" s="193">
        <f>'Données projet'!D102</f>
        <v>214.77</v>
      </c>
      <c r="C99" s="204">
        <f>300*'Données projet'!E102+13.8*('Données projet'!F102+'Données projet'!G102)+15*'Données projet'!H102</f>
        <v>243</v>
      </c>
      <c r="D99" s="191">
        <f t="shared" si="6"/>
        <v>52189.11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177</v>
      </c>
      <c r="B100" s="193">
        <f>'Données projet'!D103</f>
        <v>115.19</v>
      </c>
      <c r="C100" s="204">
        <f>300*'Données projet'!E103+13.8*('Données projet'!F103+'Données projet'!G103)+15*'Données projet'!H103</f>
        <v>243</v>
      </c>
      <c r="D100" s="191">
        <f t="shared" si="6"/>
        <v>27991.17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180</v>
      </c>
      <c r="B101" s="193">
        <f>'Données projet'!D104</f>
        <v>77.72</v>
      </c>
      <c r="C101" s="204">
        <f>300*'Données projet'!E104+13.8*('Données projet'!F104+'Données projet'!G104)+15*'Données projet'!H104</f>
        <v>243</v>
      </c>
      <c r="D101" s="191">
        <f t="shared" si="6"/>
        <v>18885.96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183</v>
      </c>
      <c r="B102" s="193">
        <f>'Données projet'!D105</f>
        <v>169.76</v>
      </c>
      <c r="C102" s="204">
        <f>300*'Données projet'!E105+13.8*('Données projet'!F105+'Données projet'!G105)+15*'Données projet'!H105</f>
        <v>243</v>
      </c>
      <c r="D102" s="191">
        <f t="shared" si="6"/>
        <v>41251.68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300*'Données projet'!E106+13.8*('Données projet'!F106+'Données projet'!G106)+15*'Données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300*'Données projet'!E107+13.8*('Données projet'!F107+'Données projet'!G107)+15*'Données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>
        <v>4433</v>
      </c>
      <c r="F110" s="261"/>
      <c r="G110" s="222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42</v>
      </c>
      <c r="B116" s="193">
        <f>'Données projet'!D114</f>
        <v>43.21</v>
      </c>
      <c r="C116" s="204">
        <f>60*'Données projet'!E114+13.8*('Données projet'!F114+'Données projet'!G114)+15*'Données projet'!H114</f>
        <v>24</v>
      </c>
      <c r="D116" s="191">
        <f>B116*C116</f>
        <v>1037.04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50</v>
      </c>
      <c r="B117" s="193">
        <f>'Données projet'!D115</f>
        <v>35.58</v>
      </c>
      <c r="C117" s="204">
        <f>60*'Données projet'!E115+13.8*('Données projet'!F115+'Données projet'!G115)+15*'Données projet'!H115</f>
        <v>24</v>
      </c>
      <c r="D117" s="191">
        <f t="shared" ref="D117:D135" si="8">B117*C117</f>
        <v>853.92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58</v>
      </c>
      <c r="B118" s="193">
        <f>'Données projet'!D116</f>
        <v>44.93</v>
      </c>
      <c r="C118" s="204">
        <f>60*'Données projet'!E116+13.8*('Données projet'!F116+'Données projet'!G116)+15*'Données projet'!H116</f>
        <v>24</v>
      </c>
      <c r="D118" s="191">
        <f t="shared" si="8"/>
        <v>1078.32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66</v>
      </c>
      <c r="B119" s="193">
        <f>'Données projet'!D117</f>
        <v>49.91</v>
      </c>
      <c r="C119" s="204">
        <f>60*'Données projet'!E117+13.8*('Données projet'!F117+'Données projet'!G117)+15*'Données projet'!H117</f>
        <v>28.5</v>
      </c>
      <c r="D119" s="191">
        <f t="shared" si="8"/>
        <v>1422.4349999999999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74</v>
      </c>
      <c r="B120" s="193">
        <f>'Données projet'!D118</f>
        <v>47.4</v>
      </c>
      <c r="C120" s="204">
        <f>60*'Données projet'!E118+13.8*('Données projet'!F118+'Données projet'!G118)+15*'Données projet'!H118</f>
        <v>33</v>
      </c>
      <c r="D120" s="191">
        <f t="shared" si="8"/>
        <v>1564.2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84</v>
      </c>
      <c r="B121" s="193">
        <f>'Données projet'!D119</f>
        <v>61.47</v>
      </c>
      <c r="C121" s="204">
        <f>60*'Données projet'!E119+13.8*('Données projet'!F119+'Données projet'!G119)+15*'Données projet'!H119</f>
        <v>33</v>
      </c>
      <c r="D121" s="191">
        <f t="shared" si="8"/>
        <v>2028.51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94</v>
      </c>
      <c r="B122" s="193">
        <f>'Données projet'!D120</f>
        <v>61.85</v>
      </c>
      <c r="C122" s="204">
        <f>60*'Données projet'!E120+13.8*('Données projet'!F120+'Données projet'!G120)+15*'Données projet'!H120</f>
        <v>37.5</v>
      </c>
      <c r="D122" s="191">
        <f t="shared" si="8"/>
        <v>2319.375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104</v>
      </c>
      <c r="B123" s="193">
        <f>'Données projet'!D121</f>
        <v>60.19</v>
      </c>
      <c r="C123" s="204">
        <f>60*'Données projet'!E121+13.8*('Données projet'!F121+'Données projet'!G121)+15*'Données projet'!H121</f>
        <v>37.5</v>
      </c>
      <c r="D123" s="191">
        <f t="shared" si="8"/>
        <v>2257.125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114</v>
      </c>
      <c r="B124" s="193">
        <f>'Données projet'!D122</f>
        <v>56.07</v>
      </c>
      <c r="C124" s="204">
        <f>60*'Données projet'!E122+13.8*('Données projet'!F122+'Données projet'!G122)+15*'Données projet'!H122</f>
        <v>42</v>
      </c>
      <c r="D124" s="191">
        <f t="shared" si="8"/>
        <v>2354.94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124</v>
      </c>
      <c r="B125" s="193">
        <f>'Données projet'!D123</f>
        <v>52.53</v>
      </c>
      <c r="C125" s="204">
        <f>60*'Données projet'!E123+13.8*('Données projet'!F123+'Données projet'!G123)+15*'Données projet'!H123</f>
        <v>46.5</v>
      </c>
      <c r="D125" s="191">
        <f t="shared" si="8"/>
        <v>2442.645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134</v>
      </c>
      <c r="B126" s="193">
        <f>'Données projet'!D124</f>
        <v>54.95</v>
      </c>
      <c r="C126" s="204">
        <f>60*'Données projet'!E124+13.8*('Données projet'!F124+'Données projet'!G124)+15*'Données projet'!H124</f>
        <v>46.5</v>
      </c>
      <c r="D126" s="191">
        <f t="shared" si="8"/>
        <v>2555.1750000000002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144</v>
      </c>
      <c r="B127" s="193">
        <f>'Données projet'!D125</f>
        <v>56.01</v>
      </c>
      <c r="C127" s="204">
        <f>60*'Données projet'!E125+13.8*('Données projet'!F125+'Données projet'!G125)+15*'Données projet'!H125</f>
        <v>46.5</v>
      </c>
      <c r="D127" s="191">
        <f t="shared" si="8"/>
        <v>2604.4649999999997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154</v>
      </c>
      <c r="B128" s="193">
        <f>'Données projet'!D126</f>
        <v>55.13</v>
      </c>
      <c r="C128" s="204">
        <f>60*'Données projet'!E126+13.8*('Données projet'!F126+'Données projet'!G126)+15*'Données projet'!H126</f>
        <v>46.5</v>
      </c>
      <c r="D128" s="191">
        <f t="shared" si="8"/>
        <v>2563.5450000000001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164</v>
      </c>
      <c r="B129" s="193">
        <f>'Données projet'!D127</f>
        <v>59.58</v>
      </c>
      <c r="C129" s="204">
        <f>60*'Données projet'!E127+13.8*('Données projet'!F127+'Données projet'!G127)+15*'Données projet'!H127</f>
        <v>51</v>
      </c>
      <c r="D129" s="191">
        <f t="shared" si="8"/>
        <v>3038.58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174</v>
      </c>
      <c r="B130" s="193">
        <f>'Données projet'!D128</f>
        <v>214.77</v>
      </c>
      <c r="C130" s="204">
        <f>60*'Données projet'!E128+13.8*('Données projet'!F128+'Données projet'!G128)+15*'Données projet'!H128</f>
        <v>51</v>
      </c>
      <c r="D130" s="191">
        <f t="shared" si="8"/>
        <v>10953.27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177</v>
      </c>
      <c r="B131" s="193">
        <f>'Données projet'!D129</f>
        <v>115.19</v>
      </c>
      <c r="C131" s="204">
        <f>60*'Données projet'!E129+13.8*('Données projet'!F129+'Données projet'!G129)+15*'Données projet'!H129</f>
        <v>51</v>
      </c>
      <c r="D131" s="191">
        <f t="shared" si="8"/>
        <v>5874.69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180</v>
      </c>
      <c r="B132" s="193">
        <f>'Données projet'!D130</f>
        <v>77.72</v>
      </c>
      <c r="C132" s="204">
        <f>60*'Données projet'!E130+13.8*('Données projet'!F130+'Données projet'!G130)+15*'Données projet'!H130</f>
        <v>51</v>
      </c>
      <c r="D132" s="191">
        <f t="shared" si="8"/>
        <v>3963.72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183</v>
      </c>
      <c r="B133" s="193">
        <f>'Données projet'!D131</f>
        <v>169.76</v>
      </c>
      <c r="C133" s="204">
        <f>60*'Données projet'!E131+13.8*('Données projet'!F131+'Données projet'!G131)+15*'Données projet'!H131</f>
        <v>51</v>
      </c>
      <c r="D133" s="191">
        <f t="shared" si="8"/>
        <v>8657.76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60*'Données projet'!E132+13.8*('Données projet'!F132+'Données projet'!G132)+15*'Données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60*'Données projet'!E133+13.8*('Données projet'!F133+'Données projet'!G133)+15*'Données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Chêne rouge d'Amérique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>
        <v>2717</v>
      </c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10</v>
      </c>
      <c r="B147" s="187">
        <f>'Données projet'!D140</f>
        <v>0</v>
      </c>
      <c r="C147" s="204">
        <f>225*'Données projet'!E140+13.8*('Données projet'!F140+'Données projet'!G140)+15*'Données projet'!H140</f>
        <v>15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15</v>
      </c>
      <c r="B148" s="187">
        <f>'Données projet'!D141</f>
        <v>0</v>
      </c>
      <c r="C148" s="204">
        <f>225*'Données projet'!E141+13.8*('Données projet'!F141+'Données projet'!G141)+15*'Données projet'!H141</f>
        <v>15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7">
        <f>'Données projet'!D142</f>
        <v>54</v>
      </c>
      <c r="C149" s="204">
        <f>225*'Données projet'!E142+13.8*('Données projet'!F142+'Données projet'!G142)+15*'Données projet'!H142</f>
        <v>15</v>
      </c>
      <c r="D149" s="194">
        <f t="shared" si="10"/>
        <v>810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25</v>
      </c>
      <c r="B150" s="187">
        <f>'Données projet'!D143</f>
        <v>26</v>
      </c>
      <c r="C150" s="204">
        <f>225*'Données projet'!E143+13.8*('Données projet'!F143+'Données projet'!G143)+15*'Données projet'!H143</f>
        <v>15</v>
      </c>
      <c r="D150" s="194">
        <f t="shared" si="10"/>
        <v>390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30</v>
      </c>
      <c r="B151" s="187">
        <f>'Données projet'!D144</f>
        <v>27</v>
      </c>
      <c r="C151" s="204">
        <f>225*'Données projet'!E144+13.8*('Données projet'!F144+'Données projet'!G144)+15*'Données projet'!H144</f>
        <v>15</v>
      </c>
      <c r="D151" s="194">
        <f t="shared" si="10"/>
        <v>405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35</v>
      </c>
      <c r="B152" s="187">
        <f>'Données projet'!D145</f>
        <v>27</v>
      </c>
      <c r="C152" s="204">
        <f>225*'Données projet'!E145+13.8*('Données projet'!F145+'Données projet'!G145)+15*'Données projet'!H145</f>
        <v>57</v>
      </c>
      <c r="D152" s="194">
        <f t="shared" si="10"/>
        <v>1539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7">
        <f>'Données projet'!D146</f>
        <v>27</v>
      </c>
      <c r="C153" s="204">
        <f>225*'Données projet'!E146+13.8*('Données projet'!F146+'Données projet'!G146)+15*'Données projet'!H146</f>
        <v>78</v>
      </c>
      <c r="D153" s="194">
        <f t="shared" si="10"/>
        <v>2106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45</v>
      </c>
      <c r="B154" s="187">
        <f>'Données projet'!D147</f>
        <v>26</v>
      </c>
      <c r="C154" s="204">
        <f>225*'Données projet'!E147+13.8*('Données projet'!F147+'Données projet'!G147)+15*'Données projet'!H147</f>
        <v>78</v>
      </c>
      <c r="D154" s="194">
        <f t="shared" si="10"/>
        <v>2028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50</v>
      </c>
      <c r="B155" s="187">
        <f>'Données projet'!D148</f>
        <v>24</v>
      </c>
      <c r="C155" s="204">
        <f>225*'Données projet'!E148+13.8*('Données projet'!F148+'Données projet'!G148)+15*'Données projet'!H148</f>
        <v>99</v>
      </c>
      <c r="D155" s="194">
        <f t="shared" si="10"/>
        <v>2376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55</v>
      </c>
      <c r="B156" s="187">
        <f>'Données projet'!D149</f>
        <v>23</v>
      </c>
      <c r="C156" s="204">
        <f>225*'Données projet'!E149+13.8*('Données projet'!F149+'Données projet'!G149)+15*'Données projet'!H149</f>
        <v>99</v>
      </c>
      <c r="D156" s="194">
        <f t="shared" si="10"/>
        <v>2277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60</v>
      </c>
      <c r="B157" s="187">
        <f>'Données projet'!D150</f>
        <v>21</v>
      </c>
      <c r="C157" s="204">
        <f>225*'Données projet'!E150+13.8*('Données projet'!F150+'Données projet'!G150)+15*'Données projet'!H150</f>
        <v>120</v>
      </c>
      <c r="D157" s="194">
        <f t="shared" si="10"/>
        <v>2520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65</v>
      </c>
      <c r="B158" s="187">
        <f>'Données projet'!D151</f>
        <v>20</v>
      </c>
      <c r="C158" s="204">
        <f>225*'Données projet'!E151+13.8*('Données projet'!F151+'Données projet'!G151)+15*'Données projet'!H151</f>
        <v>120</v>
      </c>
      <c r="D158" s="194">
        <f t="shared" si="10"/>
        <v>2400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70</v>
      </c>
      <c r="B159" s="187">
        <f>'Données projet'!D152</f>
        <v>18</v>
      </c>
      <c r="C159" s="204">
        <f>225*'Données projet'!E152+13.8*('Données projet'!F152+'Données projet'!G152)+15*'Données projet'!H152</f>
        <v>141</v>
      </c>
      <c r="D159" s="194">
        <f t="shared" si="10"/>
        <v>2538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75</v>
      </c>
      <c r="B160" s="187">
        <f>'Données projet'!D153</f>
        <v>16</v>
      </c>
      <c r="C160" s="204">
        <f>225*'Données projet'!E153+13.8*('Données projet'!F153+'Données projet'!G153)+15*'Données projet'!H153</f>
        <v>141</v>
      </c>
      <c r="D160" s="194">
        <f t="shared" si="10"/>
        <v>2256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80</v>
      </c>
      <c r="B161" s="187">
        <f>'Données projet'!D154</f>
        <v>15</v>
      </c>
      <c r="C161" s="204">
        <f>225*'Données projet'!E154+13.8*('Données projet'!F154+'Données projet'!G154)+15*'Données projet'!H154</f>
        <v>162</v>
      </c>
      <c r="D161" s="194">
        <f t="shared" si="10"/>
        <v>2430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85</v>
      </c>
      <c r="B162" s="187">
        <f>'Données projet'!D155</f>
        <v>14</v>
      </c>
      <c r="C162" s="204">
        <f>225*'Données projet'!E155+13.8*('Données projet'!F155+'Données projet'!G155)+15*'Données projet'!H155</f>
        <v>162</v>
      </c>
      <c r="D162" s="194">
        <f t="shared" si="10"/>
        <v>2268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90</v>
      </c>
      <c r="B163" s="187">
        <f>'Données projet'!D156</f>
        <v>12</v>
      </c>
      <c r="C163" s="204">
        <f>225*'Données projet'!E156+13.8*('Données projet'!F156+'Données projet'!G156)+15*'Données projet'!H156</f>
        <v>183</v>
      </c>
      <c r="D163" s="194">
        <f t="shared" si="10"/>
        <v>2196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95</v>
      </c>
      <c r="B164" s="187">
        <f>'Données projet'!D157</f>
        <v>12</v>
      </c>
      <c r="C164" s="204">
        <f>225*'Données projet'!E157+13.8*('Données projet'!F157+'Données projet'!G157)+15*'Données projet'!H157</f>
        <v>183</v>
      </c>
      <c r="D164" s="194">
        <f t="shared" si="10"/>
        <v>2196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100</v>
      </c>
      <c r="B165" s="187">
        <f>'Données projet'!D158</f>
        <v>255</v>
      </c>
      <c r="C165" s="204">
        <f>225*'Données projet'!E158+13.8*('Données projet'!F158+'Données projet'!G158)+15*'Données projet'!H158</f>
        <v>183</v>
      </c>
      <c r="D165" s="194">
        <f t="shared" si="10"/>
        <v>46665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projet'!G159)+15*'Données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300*'Données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300*'Données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300*'Données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300*'Données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300*'Données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300*'Données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300*'Données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300*'Données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300*'Données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300*'Données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300*'Données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300*'Données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300*'Données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300*'Données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300*'Données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300*'Données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300*'Données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300*'Données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300*'Données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300*'Données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150*'Données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150*'Données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150*'Données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150*'Données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150*'Données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150*'Données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150*'Données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150*'Données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150*'Données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150*'Données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150*'Données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150*'Données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150*'Données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150*'Données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150*'Données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150*'Données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150*'Données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150*'Données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150*'Données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150*'Données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60*'Données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60*'Données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60*'Données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60*'Données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60*'Données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60*'Données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60*'Données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60*'Données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60*'Données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60*'Données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60*'Données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60*'Données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60*'Données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60*'Données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60*'Données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60*'Données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60*'Données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60*'Données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60*'Données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60*'Données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60*'Données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60*'Données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60*'Données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60*'Données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60*'Données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60*'Données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60*'Données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60*'Données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60*'Données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60*'Données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60*'Données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60*'Données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60*'Données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60*'Données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60*'Données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60*'Données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60*'Données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60*'Données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60*'Données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60*'Données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80*'Données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80*'Données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80*'Données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80*'Données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80*'Données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80*'Données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80*'Données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80*'Données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80*'Données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80*'Données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80*'Données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80*'Données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80*'Données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80*'Données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80*'Données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80*'Données projet'!E285+13.8*('Données projet'!F285+'Données projet'!G285)+10*'Données projet'!H285</f>
        <v>0</v>
      </c>
      <c r="D317" s="194">
        <f>B317*C317</f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80*'Données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80*'Données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80*'Données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80*'Données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2025-02-11T17:38:49Z</dcterms:modified>
</cp:coreProperties>
</file>