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4"/>
  <workbookPr codeName="ThisWorkbook"/>
  <mc:AlternateContent xmlns:mc="http://schemas.openxmlformats.org/markup-compatibility/2006">
    <mc:Choice Requires="x15">
      <x15ac:absPath xmlns:x15ac="http://schemas.microsoft.com/office/spreadsheetml/2010/11/ac" url="/Users/a.l-l/Library/CloudStorage/GoogleDrive-alabergere@stock-co2.fr/Drive partagés/STOCK CO2/5 - STOCKEURS/02-FORET-VERGERS/2-NOTIFIE/359-B-RESTOY-NAQ(40)-LOT-Tailleur-Amou-3,85ha/"/>
    </mc:Choice>
  </mc:AlternateContent>
  <xr:revisionPtr revIDLastSave="0" documentId="13_ncr:1_{931C22D7-9599-514A-A445-8AE0134F634B}" xr6:coauthVersionLast="47" xr6:coauthVersionMax="47" xr10:uidLastSave="{00000000-0000-0000-0000-000000000000}"/>
  <bookViews>
    <workbookView xWindow="-10680" yWindow="-28300" windowWidth="27180" windowHeight="2830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3" i="6" l="1"/>
  <c r="C304" i="6"/>
  <c r="C305" i="6"/>
  <c r="C306" i="6"/>
  <c r="C307" i="6"/>
  <c r="C308" i="6"/>
  <c r="C309" i="6"/>
  <c r="C310" i="6"/>
  <c r="C311" i="6"/>
  <c r="C312" i="6"/>
  <c r="C313" i="6"/>
  <c r="C314" i="6"/>
  <c r="C315" i="6"/>
  <c r="C316" i="6"/>
  <c r="C317" i="6"/>
  <c r="C318" i="6"/>
  <c r="C319" i="6"/>
  <c r="C320" i="6"/>
  <c r="C321" i="6"/>
  <c r="C302" i="6"/>
  <c r="C272" i="6"/>
  <c r="C273" i="6"/>
  <c r="C274" i="6"/>
  <c r="C275" i="6"/>
  <c r="C276" i="6"/>
  <c r="C277" i="6"/>
  <c r="C278" i="6"/>
  <c r="C279" i="6"/>
  <c r="C280" i="6"/>
  <c r="C281" i="6"/>
  <c r="C282" i="6"/>
  <c r="C283" i="6"/>
  <c r="C284" i="6"/>
  <c r="C285" i="6"/>
  <c r="C286" i="6"/>
  <c r="C287" i="6"/>
  <c r="C288" i="6"/>
  <c r="C289" i="6"/>
  <c r="C290" i="6"/>
  <c r="C271" i="6"/>
  <c r="C241" i="6"/>
  <c r="C242" i="6"/>
  <c r="C243" i="6"/>
  <c r="C244" i="6"/>
  <c r="C245" i="6"/>
  <c r="C246" i="6"/>
  <c r="C247" i="6"/>
  <c r="C248" i="6"/>
  <c r="C249" i="6"/>
  <c r="C250" i="6"/>
  <c r="C251" i="6"/>
  <c r="C252" i="6"/>
  <c r="C253" i="6"/>
  <c r="C254" i="6"/>
  <c r="C255" i="6"/>
  <c r="C256" i="6"/>
  <c r="C257" i="6"/>
  <c r="C258" i="6"/>
  <c r="C259" i="6"/>
  <c r="C240" i="6"/>
  <c r="C210" i="6"/>
  <c r="C211" i="6"/>
  <c r="C212" i="6"/>
  <c r="C213" i="6"/>
  <c r="C214" i="6"/>
  <c r="C215" i="6"/>
  <c r="C216" i="6"/>
  <c r="C217" i="6"/>
  <c r="C218" i="6"/>
  <c r="C219" i="6"/>
  <c r="C220" i="6"/>
  <c r="C221" i="6"/>
  <c r="C222" i="6"/>
  <c r="C223" i="6"/>
  <c r="C224" i="6"/>
  <c r="C225" i="6"/>
  <c r="C226" i="6"/>
  <c r="C227" i="6"/>
  <c r="C228" i="6"/>
  <c r="C209" i="6"/>
  <c r="C179" i="6"/>
  <c r="C180" i="6"/>
  <c r="C181" i="6"/>
  <c r="C182" i="6"/>
  <c r="C183" i="6"/>
  <c r="C184" i="6"/>
  <c r="C185" i="6"/>
  <c r="C186" i="6"/>
  <c r="C187" i="6"/>
  <c r="C188" i="6"/>
  <c r="C189" i="6"/>
  <c r="C190" i="6"/>
  <c r="C191" i="6"/>
  <c r="C192" i="6"/>
  <c r="C193" i="6"/>
  <c r="C194" i="6"/>
  <c r="C195" i="6"/>
  <c r="C196" i="6"/>
  <c r="C197" i="6"/>
  <c r="C178" i="6"/>
  <c r="C148" i="6"/>
  <c r="C149" i="6"/>
  <c r="C150" i="6"/>
  <c r="C151" i="6"/>
  <c r="C152" i="6"/>
  <c r="C153" i="6"/>
  <c r="C154" i="6"/>
  <c r="C155" i="6"/>
  <c r="C156" i="6"/>
  <c r="C157" i="6"/>
  <c r="C158" i="6"/>
  <c r="C159" i="6"/>
  <c r="C160" i="6"/>
  <c r="C161" i="6"/>
  <c r="C162" i="6"/>
  <c r="C163" i="6"/>
  <c r="C164" i="6"/>
  <c r="C165" i="6"/>
  <c r="C166" i="6"/>
  <c r="C147" i="6"/>
  <c r="C117" i="6"/>
  <c r="C118" i="6"/>
  <c r="C119" i="6"/>
  <c r="C120" i="6"/>
  <c r="C121" i="6"/>
  <c r="C122" i="6"/>
  <c r="C123" i="6"/>
  <c r="C124" i="6"/>
  <c r="C125" i="6"/>
  <c r="C126" i="6"/>
  <c r="C127" i="6"/>
  <c r="C128" i="6"/>
  <c r="C129" i="6"/>
  <c r="C130" i="6"/>
  <c r="C131" i="6"/>
  <c r="C132" i="6"/>
  <c r="C133" i="6"/>
  <c r="C134" i="6"/>
  <c r="C135" i="6"/>
  <c r="C116" i="6"/>
  <c r="C104" i="6"/>
  <c r="C86" i="6"/>
  <c r="C87" i="6"/>
  <c r="C88" i="6"/>
  <c r="C89" i="6"/>
  <c r="C90" i="6"/>
  <c r="C91" i="6"/>
  <c r="C92" i="6"/>
  <c r="C93" i="6"/>
  <c r="C94" i="6"/>
  <c r="C95" i="6"/>
  <c r="C96" i="6"/>
  <c r="C97" i="6"/>
  <c r="C98" i="6"/>
  <c r="C99" i="6"/>
  <c r="C100" i="6"/>
  <c r="C101" i="6"/>
  <c r="C102" i="6"/>
  <c r="C103" i="6"/>
  <c r="C85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EC4" i="2"/>
  <c r="FQ4" i="2"/>
  <c r="GL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C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HI7" i="2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B10" i="2"/>
  <c r="EA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HH12" i="2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G14" i="2" l="1"/>
  <c r="EC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G18" i="2" l="1"/>
  <c r="FS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G20" i="2" l="1"/>
  <c r="EW20" i="2"/>
  <c r="EV20" i="2"/>
  <c r="FS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HH21" i="2"/>
  <c r="EV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EW22" i="2" s="1"/>
  <c r="FO22" i="2"/>
  <c r="FN22" i="2"/>
  <c r="DY22" i="2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W24" i="2" l="1"/>
  <c r="HG24" i="2"/>
  <c r="HH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HI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FS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C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EV33" i="2"/>
  <c r="EB33" i="2"/>
  <c r="HG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HH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B37" i="2" l="1"/>
  <c r="EA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HG38" i="2"/>
  <c r="EA38" i="2"/>
  <c r="HH38" i="2"/>
  <c r="EX38" i="2"/>
  <c r="FS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DG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EC44" i="2"/>
  <c r="HH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G45" i="2" l="1"/>
  <c r="EB45" i="2"/>
  <c r="HI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HI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HI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X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HG57" i="2"/>
  <c r="FS57" i="2"/>
  <c r="HH57" i="2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HH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H60" i="2"/>
  <c r="HI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A61" i="2"/>
  <c r="EX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HH62" i="2"/>
  <c r="HI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G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A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HI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HG74" i="2"/>
  <c r="FS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FS75" i="2"/>
  <c r="EA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FS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W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B78" i="2" l="1"/>
  <c r="EW78" i="2"/>
  <c r="HI78" i="2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G85" i="2" l="1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FS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A105" i="2"/>
  <c r="FS105" i="2"/>
  <c r="EV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X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B108" i="2" l="1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EB109" i="2" s="1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G110" i="2" l="1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B112" i="2"/>
  <c r="FQ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X113" i="2"/>
  <c r="FS113" i="2"/>
  <c r="EC113" i="2"/>
  <c r="HG113" i="2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EC116" i="2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A117" i="2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HH118" i="2"/>
  <c r="FS118" i="2"/>
  <c r="EC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H120" i="2" l="1"/>
  <c r="EX120" i="2"/>
  <c r="FQ120" i="2"/>
  <c r="FR120" i="2"/>
  <c r="HI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EW122" i="2"/>
  <c r="HH122" i="2"/>
  <c r="FS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FS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B128" i="2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HI130" i="2"/>
  <c r="EB130" i="2"/>
  <c r="HG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HI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V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HH139" i="2"/>
  <c r="EB139" i="2"/>
  <c r="EW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H140" i="2" l="1"/>
  <c r="FR140" i="2"/>
  <c r="HG140" i="2"/>
  <c r="EC140" i="2"/>
  <c r="FS140" i="2"/>
  <c r="EB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B141" i="2"/>
  <c r="HH141" i="2"/>
  <c r="EA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EX144" i="2"/>
  <c r="FR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HG145" i="2"/>
  <c r="HH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HG146" i="2"/>
  <c r="EA146" i="2"/>
  <c r="FS146" i="2"/>
  <c r="HI146" i="2"/>
  <c r="FR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HG149" i="2"/>
  <c r="HH149" i="2"/>
  <c r="EX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HI150" i="2"/>
  <c r="HG150" i="2"/>
  <c r="FS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X151" i="2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H154" i="2" l="1"/>
  <c r="EB154" i="2"/>
  <c r="HG154" i="2"/>
  <c r="HJ154" i="2" s="1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HH155" i="2" l="1"/>
  <c r="EA155" i="2"/>
  <c r="EW155" i="2"/>
  <c r="EX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EB156" i="2" l="1"/>
  <c r="EX156" i="2"/>
  <c r="HH156" i="2"/>
  <c r="FS156" i="2"/>
  <c r="HG156" i="2"/>
  <c r="A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EA157" i="2"/>
  <c r="HH157" i="2"/>
  <c r="EC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H158" i="2" l="1"/>
  <c r="EW158" i="2"/>
  <c r="EC158" i="2"/>
  <c r="EV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D158" i="2"/>
  <c r="HI159" i="2"/>
  <c r="EC159" i="2"/>
  <c r="EA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 l="1"/>
  <c r="FS160" i="2"/>
  <c r="HH160" i="2"/>
  <c r="HG160" i="2"/>
  <c r="EC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A161" i="2" l="1"/>
  <c r="HG161" i="2"/>
  <c r="AB161" i="2"/>
  <c r="EB161" i="2"/>
  <c r="HH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W162" i="2" l="1"/>
  <c r="EC162" i="2"/>
  <c r="HG162" i="2"/>
  <c r="EB162" i="2"/>
  <c r="HH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V163" i="2"/>
  <c r="EY163" i="2" s="1"/>
  <c r="HI163" i="2"/>
  <c r="EB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V164" i="2" l="1"/>
  <c r="DH164" i="2"/>
  <c r="EX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EA165" i="2"/>
  <c r="EB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A167" i="2"/>
  <c r="EB167" i="2"/>
  <c r="FR167" i="2"/>
  <c r="EC167" i="2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C168" i="2"/>
  <c r="HH168" i="2"/>
  <c r="EW168" i="2"/>
  <c r="HI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ED171" i="2" s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B172" i="2" l="1"/>
  <c r="EV172" i="2"/>
  <c r="EA172" i="2"/>
  <c r="ED172" i="2" s="1"/>
  <c r="EW172" i="2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EW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G174" i="2" l="1"/>
  <c r="EC174" i="2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B175" i="2" l="1"/>
  <c r="EW175" i="2"/>
  <c r="HI175" i="2"/>
  <c r="EA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EC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EW178" i="2"/>
  <c r="FS178" i="2"/>
  <c r="HH178" i="2"/>
  <c r="FQ178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G179" i="2" l="1"/>
  <c r="EA179" i="2"/>
  <c r="HH179" i="2"/>
  <c r="DF179" i="2"/>
  <c r="EB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HI180" i="2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FS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DG182" i="2"/>
  <c r="EA182" i="2"/>
  <c r="ED182" i="2" s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EB183" i="2" l="1"/>
  <c r="EA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B185" i="2" l="1"/>
  <c r="EV185" i="2"/>
  <c r="HI185" i="2"/>
  <c r="EA185" i="2"/>
  <c r="HH185" i="2"/>
  <c r="HG185" i="2"/>
  <c r="EW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D185" i="2" l="1"/>
  <c r="HH186" i="2"/>
  <c r="FS186" i="2"/>
  <c r="EB186" i="2"/>
  <c r="FR186" i="2"/>
  <c r="EW186" i="2"/>
  <c r="EA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H187" i="2" l="1"/>
  <c r="EC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HH189" i="2" l="1"/>
  <c r="EB189" i="2"/>
  <c r="EV189" i="2"/>
  <c r="AA189" i="2"/>
  <c r="EC189" i="2"/>
  <c r="FS189" i="2"/>
  <c r="HI189" i="2"/>
  <c r="EX189" i="2"/>
  <c r="EA189" i="2"/>
  <c r="ED189" i="2" s="1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EW190" i="2" l="1"/>
  <c r="EB190" i="2"/>
  <c r="HH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I191" i="2" l="1"/>
  <c r="HG191" i="2"/>
  <c r="HH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B192" i="2" l="1"/>
  <c r="EW192" i="2"/>
  <c r="EV192" i="2"/>
  <c r="EY192" i="2" s="1"/>
  <c r="HH192" i="2"/>
  <c r="EA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AX190" i="2"/>
  <c r="EB193" i="2" l="1"/>
  <c r="EX193" i="2"/>
  <c r="FQ193" i="2"/>
  <c r="EA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FQ195" i="2" l="1"/>
  <c r="EA195" i="2"/>
  <c r="HG195" i="2"/>
  <c r="AA195" i="2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G196" i="2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C197" i="2" l="1"/>
  <c r="EW197" i="2"/>
  <c r="EA197" i="2"/>
  <c r="HH197" i="2"/>
  <c r="AA197" i="2"/>
  <c r="FS197" i="2"/>
  <c r="HG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HH199" i="2"/>
  <c r="EA199" i="2"/>
  <c r="EW199" i="2"/>
  <c r="EB199" i="2"/>
  <c r="EV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EI4" i="2" a="1"/>
  <c r="EI4" i="2" s="1"/>
  <c r="EJ4" i="2" s="1"/>
  <c r="AX198" i="2"/>
  <c r="EY200" i="2"/>
  <c r="FS201" i="2" l="1"/>
  <c r="EB201" i="2"/>
  <c r="HG201" i="2"/>
  <c r="HH201" i="2"/>
  <c r="EA201" i="2"/>
  <c r="ED201" i="2" s="1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EW202" i="2" l="1"/>
  <c r="HH202" i="2"/>
  <c r="FR202" i="2"/>
  <c r="HG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29" i="2" a="1"/>
  <c r="DN29" i="2" s="1"/>
  <c r="DN152" i="2" a="1"/>
  <c r="DN152" i="2" s="1"/>
  <c r="DN184" i="2" a="1"/>
  <c r="DN184" i="2" s="1"/>
  <c r="DN25" i="2" a="1"/>
  <c r="DN25" i="2" s="1"/>
  <c r="DN129" i="2" a="1"/>
  <c r="DN129" i="2" s="1"/>
  <c r="DN177" i="2" a="1"/>
  <c r="DN177" i="2" s="1"/>
  <c r="DN86" i="2" a="1"/>
  <c r="DN86" i="2" s="1"/>
  <c r="DN188" i="2" a="1"/>
  <c r="DN188" i="2" s="1"/>
  <c r="DN66" i="2" a="1"/>
  <c r="DN66" i="2" s="1"/>
  <c r="CS116" i="2" a="1"/>
  <c r="CS116" i="2" s="1"/>
  <c r="EI195" i="2" a="1"/>
  <c r="EI195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90" i="2" l="1" a="1"/>
  <c r="AH90" i="2" s="1"/>
  <c r="AH166" i="2" a="1"/>
  <c r="AH166" i="2" s="1"/>
  <c r="AH19" i="2" a="1"/>
  <c r="AH19" i="2" s="1"/>
  <c r="BP203" i="2"/>
  <c r="AH151" i="2" a="1"/>
  <c r="AH151" i="2" s="1"/>
  <c r="AH163" i="2" a="1"/>
  <c r="AH163" i="2" s="1"/>
  <c r="FD21" i="2" a="1"/>
  <c r="FD21" i="2" s="1"/>
  <c r="AH62" i="2" a="1"/>
  <c r="AH62" i="2" s="1"/>
  <c r="FD44" i="2" a="1"/>
  <c r="FD44" i="2" s="1"/>
  <c r="AH199" i="2" a="1"/>
  <c r="AH199" i="2" s="1"/>
  <c r="FY165" i="2" a="1"/>
  <c r="FY165" i="2" s="1"/>
  <c r="FY47" i="2" a="1"/>
  <c r="FY47" i="2" s="1"/>
  <c r="DN115" i="2" a="1"/>
  <c r="DN115" i="2" s="1"/>
  <c r="DN41" i="2" a="1"/>
  <c r="DN41" i="2" s="1"/>
  <c r="DN123" i="2" a="1"/>
  <c r="DN123" i="2" s="1"/>
  <c r="DN153" i="2" a="1"/>
  <c r="DN153" i="2" s="1"/>
  <c r="DN43" i="2" a="1"/>
  <c r="DN43" i="2" s="1"/>
  <c r="FD59" i="2" a="1"/>
  <c r="FD59" i="2" s="1"/>
  <c r="DN170" i="2" a="1"/>
  <c r="DN170" i="2" s="1"/>
  <c r="DN186" i="2" a="1"/>
  <c r="DN186" i="2" s="1"/>
  <c r="FD144" i="2" a="1"/>
  <c r="FD144" i="2" s="1"/>
  <c r="DN150" i="2" a="1"/>
  <c r="DN150" i="2" s="1"/>
  <c r="DN50" i="2" a="1"/>
  <c r="DN50" i="2" s="1"/>
  <c r="DN192" i="2" a="1"/>
  <c r="DN192" i="2" s="1"/>
  <c r="DN113" i="2" a="1"/>
  <c r="DN113" i="2" s="1"/>
  <c r="AH92" i="2" a="1"/>
  <c r="AH92" i="2" s="1"/>
  <c r="FR203" i="2"/>
  <c r="DN56" i="2" a="1"/>
  <c r="DN56" i="2" s="1"/>
  <c r="DN155" i="2" a="1"/>
  <c r="DN155" i="2" s="1"/>
  <c r="FS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8" i="2" l="1"/>
  <c r="FZ9" i="2" s="1"/>
  <c r="FZ10" i="2" s="1"/>
  <c r="FZ11" i="2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<sst xmlns="http://schemas.openxmlformats.org/spreadsheetml/2006/main" count="1172" uniqueCount="325">
  <si>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</si>
  <si>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</si>
  <si>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</si>
  <si>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</si>
  <si>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</si>
  <si>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</si>
  <si>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</si>
  <si>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</si>
  <si>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</si>
  <si>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</si>
  <si>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</si>
  <si>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</si>
  <si>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</si>
  <si>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</si>
  <si>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</si>
  <si>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</si>
  <si>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</si>
  <si>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</si>
  <si>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</si>
  <si>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</si>
  <si>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</si>
  <si>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</si>
  <si>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</si>
  <si>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</si>
  <si>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</si>
  <si>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</si>
  <si>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</si>
  <si>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</si>
  <si>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</si>
  <si>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</si>
  <si>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</si>
  <si>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</si>
  <si>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</si>
  <si>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</si>
  <si>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</si>
  <si>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</si>
  <si>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</si>
  <si>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</si>
  <si>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</si>
  <si>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</si>
  <si>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</si>
  <si>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</si>
  <si>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</si>
  <si>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</si>
  <si>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</si>
  <si>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</si>
  <si>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</si>
  <si>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</si>
  <si>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</si>
  <si>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</si>
  <si>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</si>
  <si>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</si>
  <si>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</si>
  <si>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</si>
  <si>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</si>
  <si>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</si>
  <si>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</si>
  <si>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</si>
  <si>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</si>
  <si>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</si>
  <si>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</si>
  <si>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</si>
  <si>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</si>
  <si>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</si>
  <si>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</si>
  <si>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</si>
  <si>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</si>
  <si>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</si>
  <si>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</si>
  <si>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</si>
  <si>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</si>
  <si>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</si>
  <si>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</si>
  <si>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</si>
  <si>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</si>
  <si>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</si>
  <si>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</si>
  <si>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</si>
  <si>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</si>
  <si>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</si>
  <si>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</si>
  <si>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</si>
  <si>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</si>
  <si>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</si>
  <si>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</si>
  <si>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</si>
  <si>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</si>
  <si>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</si>
  <si>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</si>
  <si>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</si>
  <si>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</si>
  <si>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</si>
  <si>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</si>
  <si>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</si>
  <si>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</si>
  <si>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</si>
  <si>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</si>
  <si>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</si>
  <si>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</si>
  <si>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</si>
  <si>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</si>
  <si>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</si>
  <si>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</si>
  <si>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</si>
  <si>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</si>
  <si>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</si>
  <si>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</si>
  <si>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</si>
  <si>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</si>
  <si>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</si>
  <si>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</si>
  <si>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</si>
  <si>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</si>
  <si>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</si>
  <si>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</si>
  <si>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</si>
  <si>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</si>
  <si>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</si>
  <si>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</si>
  <si>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</si>
  <si>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</si>
  <si>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</si>
  <si>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</si>
  <si>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</si>
  <si>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</si>
  <si>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</si>
  <si>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</si>
  <si>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</si>
  <si>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</si>
  <si>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</si>
  <si>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</si>
  <si>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</si>
  <si>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</si>
  <si>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</si>
  <si>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</si>
  <si>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</si>
  <si>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</si>
  <si>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</si>
  <si>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</si>
  <si>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</si>
  <si>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</si>
  <si>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</si>
  <si>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</si>
  <si>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</si>
  <si>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</si>
  <si>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</si>
  <si>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</si>
  <si>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</si>
  <si>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</si>
  <si>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</si>
  <si>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</si>
  <si>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</si>
  <si>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</si>
  <si>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</si>
  <si>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</si>
  <si>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</si>
  <si>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</si>
  <si>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</si>
  <si>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</si>
  <si>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</si>
  <si>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</si>
  <si>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</si>
  <si>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</si>
  <si>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</si>
  <si>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</si>
  <si>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</si>
  <si>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</si>
  <si>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</si>
  <si>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</si>
  <si>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</si>
  <si>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</si>
  <si>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</si>
  <si>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</si>
  <si>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</si>
  <si>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</si>
  <si>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</si>
  <si>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</si>
  <si>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</si>
  <si>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</si>
  <si>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</si>
  <si>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</si>
  <si>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</si>
  <si>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</si>
  <si>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</si>
  <si>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</si>
  <si>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</si>
  <si>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</si>
  <si>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</si>
  <si>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</si>
  <si>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</si>
  <si>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</si>
  <si>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</si>
  <si>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</si>
  <si>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</si>
  <si>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</si>
  <si>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</si>
  <si>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</si>
  <si>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</si>
  <si>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</si>
  <si>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</si>
  <si>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</si>
  <si>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</si>
  <si>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</si>
  <si>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</si>
  <si>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</si>
  <si>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</si>
  <si>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</si>
  <si>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</si>
  <si>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</si>
  <si>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</si>
  <si>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</si>
  <si>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</si>
  <si>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</si>
  <si>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</si>
  <si>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</si>
  <si>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</si>
  <si>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</si>
  <si>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</si>
  <si>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</si>
  <si>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</si>
  <si>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</si>
  <si>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</si>
  <si>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</si>
  <si>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</si>
  <si>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</si>
  <si>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</si>
  <si>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</si>
  <si>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</si>
  <si>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</si>
  <si>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</si>
  <si>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</si>
  <si>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</si>
  <si>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</si>
  <si>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</si>
  <si>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</si>
  <si>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</si>
  <si>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</si>
  <si>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</si>
  <si>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</si>
  <si>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</si>
  <si>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</si>
  <si>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</si>
  <si>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</si>
  <si>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</si>
  <si>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</si>
  <si>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</si>
  <si>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</si>
  <si>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</si>
  <si>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</si>
  <si>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</si>
  <si>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</si>
  <si>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</si>
  <si>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</si>
  <si>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</si>
  <si>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</si>
  <si>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</si>
  <si>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</si>
  <si>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</si>
  <si>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</si>
  <si>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</si>
  <si>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</si>
  <si>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</si>
  <si>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</si>
  <si>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</si>
  <si>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</si>
  <si>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</si>
  <si>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</si>
  <si>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</si>
  <si>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</si>
  <si>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</si>
  <si>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</si>
  <si>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</si>
  <si>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</si>
  <si>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</si>
  <si>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</si>
  <si>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</si>
  <si>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</si>
  <si>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</si>
  <si>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</si>
  <si>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</si>
  <si>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</si>
  <si>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</si>
  <si>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</si>
  <si>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</si>
  <si>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</si>
  <si>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</si>
  <si>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</si>
  <si>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</si>
  <si>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</si>
  <si>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</si>
  <si>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</si>
  <si>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</si>
  <si>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</si>
  <si>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</si>
  <si>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</si>
  <si>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</si>
  <si>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</si>
  <si>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</si>
  <si>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</si>
  <si>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</si>
  <si>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</si>
  <si>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</si>
  <si>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</si>
  <si>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</si>
  <si>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</si>
  <si>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</si>
  <si>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</si>
  <si>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</si>
  <si>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</si>
  <si>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</si>
  <si>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</si>
  <si>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</si>
  <si>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</si>
  <si>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</si>
  <si>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</si>
  <si>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</si>
  <si>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</si>
  <si>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</si>
  <si>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</si>
  <si>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</si>
  <si>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</si>
  <si>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</si>
  <si>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</si>
  <si>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</si>
  <si>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CULTIVARS KOSTER ALBELO DEGROSSO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</si>
</sst>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1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2.1401809042543243</c:v>
                </c:pt>
                <c:pt idx="2">
                  <c:v>2.9539701571329178</c:v>
                </c:pt>
                <c:pt idx="3">
                  <c:v>4.0785236834754839</c:v>
                </c:pt>
                <c:pt idx="4">
                  <c:v>5.632990739716111</c:v>
                </c:pt>
                <c:pt idx="5">
                  <c:v>7.7823738660110378</c:v>
                </c:pt>
                <c:pt idx="6">
                  <c:v>10.755235827707105</c:v>
                </c:pt>
                <c:pt idx="7">
                  <c:v>14.868265954570242</c:v>
                </c:pt>
                <c:pt idx="8">
                  <c:v>20.560370745051507</c:v>
                </c:pt>
                <c:pt idx="9">
                  <c:v>28.439991596203328</c:v>
                </c:pt>
                <c:pt idx="10">
                  <c:v>39.350795770602367</c:v>
                </c:pt>
                <c:pt idx="11">
                  <c:v>54.462893774670114</c:v>
                </c:pt>
                <c:pt idx="12">
                  <c:v>75.39952790323126</c:v>
                </c:pt>
                <c:pt idx="13">
                  <c:v>104.41306006066355</c:v>
                </c:pt>
                <c:pt idx="14">
                  <c:v>144.62948990738442</c:v>
                </c:pt>
                <c:pt idx="15">
                  <c:v>128.60946872101411</c:v>
                </c:pt>
                <c:pt idx="16">
                  <c:v>157.23320596601718</c:v>
                </c:pt>
                <c:pt idx="17">
                  <c:v>185.73291888589367</c:v>
                </c:pt>
                <c:pt idx="18">
                  <c:v>214.13035769575148</c:v>
                </c:pt>
                <c:pt idx="19">
                  <c:v>242.44100517915163</c:v>
                </c:pt>
                <c:pt idx="20">
                  <c:v>193.29052168884596</c:v>
                </c:pt>
                <c:pt idx="21">
                  <c:v>220.93536617179186</c:v>
                </c:pt>
                <c:pt idx="22">
                  <c:v>248.50075413542206</c:v>
                </c:pt>
                <c:pt idx="23">
                  <c:v>275.99673833280997</c:v>
                </c:pt>
                <c:pt idx="24">
                  <c:v>303.43120230449443</c:v>
                </c:pt>
                <c:pt idx="25">
                  <c:v>330.81048669188147</c:v>
                </c:pt>
                <c:pt idx="26">
                  <c:v>279.10466657355261</c:v>
                </c:pt>
                <c:pt idx="27">
                  <c:v>305.47306451243452</c:v>
                </c:pt>
                <c:pt idx="28">
                  <c:v>331.79086499515682</c:v>
                </c:pt>
                <c:pt idx="29">
                  <c:v>358.06264251869788</c:v>
                </c:pt>
                <c:pt idx="30">
                  <c:v>384.29224564173211</c:v>
                </c:pt>
                <c:pt idx="31">
                  <c:v>410.48295490619279</c:v>
                </c:pt>
                <c:pt idx="32">
                  <c:v>436.63759831329838</c:v>
                </c:pt>
                <c:pt idx="33">
                  <c:v>363.31633763749659</c:v>
                </c:pt>
                <c:pt idx="34">
                  <c:v>387.29119605868004</c:v>
                </c:pt>
                <c:pt idx="35">
                  <c:v>411.23383740124814</c:v>
                </c:pt>
                <c:pt idx="36">
                  <c:v>435.14639951550294</c:v>
                </c:pt>
                <c:pt idx="37">
                  <c:v>459.03076628022262</c:v>
                </c:pt>
                <c:pt idx="38">
                  <c:v>482.88860968718888</c:v>
                </c:pt>
                <c:pt idx="39">
                  <c:v>506.72142317591027</c:v>
                </c:pt>
                <c:pt idx="40">
                  <c:v>530.53054837171476</c:v>
                </c:pt>
                <c:pt idx="41">
                  <c:v>554.31719677583226</c:v>
                </c:pt>
                <c:pt idx="42">
                  <c:v>578.08246754042477</c:v>
                </c:pt>
                <c:pt idx="43">
                  <c:v>601.82736217023478</c:v>
                </c:pt>
                <c:pt idx="44">
                  <c:v>625.55279678488239</c:v>
                </c:pt>
                <c:pt idx="45">
                  <c:v>649.25961242550738</c:v>
                </c:pt>
                <c:pt idx="46">
                  <c:v>3.669434796176543E-12</c:v>
                </c:pt>
                <c:pt idx="47">
                  <c:v>3.669434796176543E-12</c:v>
                </c:pt>
                <c:pt idx="48">
                  <c:v>3.669434796176543E-12</c:v>
                </c:pt>
                <c:pt idx="49">
                  <c:v>3.669434796176543E-12</c:v>
                </c:pt>
                <c:pt idx="50">
                  <c:v>3.669434796176543E-12</c:v>
                </c:pt>
                <c:pt idx="51">
                  <c:v>3.669434796176543E-12</c:v>
                </c:pt>
                <c:pt idx="52">
                  <c:v>3.669434796176543E-12</c:v>
                </c:pt>
                <c:pt idx="53">
                  <c:v>3.669434796176543E-12</c:v>
                </c:pt>
                <c:pt idx="54">
                  <c:v>3.669434796176543E-12</c:v>
                </c:pt>
                <c:pt idx="55">
                  <c:v>3.669434796176543E-12</c:v>
                </c:pt>
                <c:pt idx="56">
                  <c:v>3.669434796176543E-12</c:v>
                </c:pt>
                <c:pt idx="57">
                  <c:v>3.669434796176543E-12</c:v>
                </c:pt>
                <c:pt idx="58">
                  <c:v>3.669434796176543E-12</c:v>
                </c:pt>
                <c:pt idx="59">
                  <c:v>3.669434796176543E-12</c:v>
                </c:pt>
                <c:pt idx="60">
                  <c:v>3.669434796176543E-12</c:v>
                </c:pt>
                <c:pt idx="61">
                  <c:v>3.669434796176543E-12</c:v>
                </c:pt>
                <c:pt idx="62">
                  <c:v>3.669434796176543E-12</c:v>
                </c:pt>
                <c:pt idx="63">
                  <c:v>3.669434796176543E-12</c:v>
                </c:pt>
                <c:pt idx="64">
                  <c:v>3.669434796176543E-12</c:v>
                </c:pt>
                <c:pt idx="65">
                  <c:v>3.669434796176543E-12</c:v>
                </c:pt>
                <c:pt idx="66">
                  <c:v>3.669434796176543E-12</c:v>
                </c:pt>
                <c:pt idx="67">
                  <c:v>3.669434796176543E-12</c:v>
                </c:pt>
                <c:pt idx="68">
                  <c:v>3.669434796176543E-12</c:v>
                </c:pt>
                <c:pt idx="69">
                  <c:v>3.669434796176543E-12</c:v>
                </c:pt>
                <c:pt idx="70">
                  <c:v>3.669434796176543E-12</c:v>
                </c:pt>
                <c:pt idx="71">
                  <c:v>3.669434796176543E-12</c:v>
                </c:pt>
                <c:pt idx="72">
                  <c:v>3.669434796176543E-12</c:v>
                </c:pt>
                <c:pt idx="73">
                  <c:v>3.669434796176543E-12</c:v>
                </c:pt>
                <c:pt idx="74">
                  <c:v>3.669434796176543E-12</c:v>
                </c:pt>
                <c:pt idx="75">
                  <c:v>3.669434796176543E-12</c:v>
                </c:pt>
                <c:pt idx="76">
                  <c:v>3.669434796176543E-12</c:v>
                </c:pt>
                <c:pt idx="77">
                  <c:v>3.669434796176543E-12</c:v>
                </c:pt>
                <c:pt idx="78">
                  <c:v>3.669434796176543E-12</c:v>
                </c:pt>
                <c:pt idx="79">
                  <c:v>3.669434796176543E-12</c:v>
                </c:pt>
                <c:pt idx="80">
                  <c:v>3.669434796176543E-12</c:v>
                </c:pt>
                <c:pt idx="81">
                  <c:v>3.669434796176543E-12</c:v>
                </c:pt>
                <c:pt idx="82">
                  <c:v>3.669434796176543E-12</c:v>
                </c:pt>
                <c:pt idx="83">
                  <c:v>3.669434796176543E-12</c:v>
                </c:pt>
                <c:pt idx="84">
                  <c:v>3.669434796176543E-12</c:v>
                </c:pt>
                <c:pt idx="85">
                  <c:v>3.669434796176543E-12</c:v>
                </c:pt>
                <c:pt idx="86">
                  <c:v>3.669434796176543E-12</c:v>
                </c:pt>
                <c:pt idx="87">
                  <c:v>3.669434796176543E-12</c:v>
                </c:pt>
                <c:pt idx="88">
                  <c:v>3.669434796176543E-12</c:v>
                </c:pt>
                <c:pt idx="89">
                  <c:v>3.669434796176543E-12</c:v>
                </c:pt>
                <c:pt idx="90">
                  <c:v>3.669434796176543E-12</c:v>
                </c:pt>
                <c:pt idx="91">
                  <c:v>3.669434796176543E-12</c:v>
                </c:pt>
                <c:pt idx="92">
                  <c:v>3.669434796176543E-12</c:v>
                </c:pt>
                <c:pt idx="93">
                  <c:v>3.669434796176543E-12</c:v>
                </c:pt>
                <c:pt idx="94">
                  <c:v>3.669434796176543E-12</c:v>
                </c:pt>
                <c:pt idx="95">
                  <c:v>3.669434796176543E-12</c:v>
                </c:pt>
                <c:pt idx="96">
                  <c:v>3.669434796176543E-12</c:v>
                </c:pt>
                <c:pt idx="97">
                  <c:v>3.669434796176543E-12</c:v>
                </c:pt>
                <c:pt idx="98">
                  <c:v>3.669434796176543E-12</c:v>
                </c:pt>
                <c:pt idx="99">
                  <c:v>3.669434796176543E-12</c:v>
                </c:pt>
                <c:pt idx="100">
                  <c:v>3.669434796176543E-12</c:v>
                </c:pt>
                <c:pt idx="101">
                  <c:v>3.669434796176543E-12</c:v>
                </c:pt>
                <c:pt idx="102">
                  <c:v>3.669434796176543E-12</c:v>
                </c:pt>
                <c:pt idx="103">
                  <c:v>3.669434796176543E-12</c:v>
                </c:pt>
                <c:pt idx="104">
                  <c:v>3.669434796176543E-12</c:v>
                </c:pt>
                <c:pt idx="105">
                  <c:v>3.669434796176543E-12</c:v>
                </c:pt>
                <c:pt idx="106">
                  <c:v>3.669434796176543E-12</c:v>
                </c:pt>
                <c:pt idx="107">
                  <c:v>3.669434796176543E-12</c:v>
                </c:pt>
                <c:pt idx="108">
                  <c:v>3.669434796176543E-12</c:v>
                </c:pt>
                <c:pt idx="109">
                  <c:v>3.669434796176543E-12</c:v>
                </c:pt>
                <c:pt idx="110">
                  <c:v>3.669434796176543E-12</c:v>
                </c:pt>
                <c:pt idx="111">
                  <c:v>3.669434796176543E-12</c:v>
                </c:pt>
                <c:pt idx="112">
                  <c:v>3.669434796176543E-12</c:v>
                </c:pt>
                <c:pt idx="113">
                  <c:v>3.669434796176543E-12</c:v>
                </c:pt>
                <c:pt idx="114">
                  <c:v>3.669434796176543E-12</c:v>
                </c:pt>
                <c:pt idx="115">
                  <c:v>3.669434796176543E-12</c:v>
                </c:pt>
                <c:pt idx="116">
                  <c:v>3.669434796176543E-12</c:v>
                </c:pt>
                <c:pt idx="117">
                  <c:v>3.669434796176543E-12</c:v>
                </c:pt>
                <c:pt idx="118">
                  <c:v>3.669434796176543E-12</c:v>
                </c:pt>
                <c:pt idx="119">
                  <c:v>3.669434796176543E-12</c:v>
                </c:pt>
                <c:pt idx="120">
                  <c:v>3.669434796176543E-12</c:v>
                </c:pt>
                <c:pt idx="121">
                  <c:v>3.669434796176543E-12</c:v>
                </c:pt>
                <c:pt idx="122">
                  <c:v>3.669434796176543E-12</c:v>
                </c:pt>
                <c:pt idx="123">
                  <c:v>3.669434796176543E-12</c:v>
                </c:pt>
                <c:pt idx="124">
                  <c:v>3.669434796176543E-12</c:v>
                </c:pt>
                <c:pt idx="125">
                  <c:v>3.669434796176543E-12</c:v>
                </c:pt>
                <c:pt idx="126">
                  <c:v>3.669434796176543E-12</c:v>
                </c:pt>
                <c:pt idx="127">
                  <c:v>3.669434796176543E-12</c:v>
                </c:pt>
                <c:pt idx="128">
                  <c:v>3.669434796176543E-12</c:v>
                </c:pt>
                <c:pt idx="129">
                  <c:v>3.669434796176543E-12</c:v>
                </c:pt>
                <c:pt idx="130">
                  <c:v>3.669434796176543E-12</c:v>
                </c:pt>
                <c:pt idx="131">
                  <c:v>3.669434796176543E-12</c:v>
                </c:pt>
                <c:pt idx="132">
                  <c:v>3.669434796176543E-12</c:v>
                </c:pt>
                <c:pt idx="133">
                  <c:v>3.669434796176543E-12</c:v>
                </c:pt>
                <c:pt idx="134">
                  <c:v>3.669434796176543E-12</c:v>
                </c:pt>
                <c:pt idx="135">
                  <c:v>3.669434796176543E-12</c:v>
                </c:pt>
                <c:pt idx="136">
                  <c:v>3.669434796176543E-12</c:v>
                </c:pt>
                <c:pt idx="137">
                  <c:v>3.669434796176543E-12</c:v>
                </c:pt>
                <c:pt idx="138">
                  <c:v>3.669434796176543E-12</c:v>
                </c:pt>
                <c:pt idx="139">
                  <c:v>3.669434796176543E-12</c:v>
                </c:pt>
                <c:pt idx="140">
                  <c:v>3.669434796176543E-12</c:v>
                </c:pt>
                <c:pt idx="141">
                  <c:v>3.669434796176543E-12</c:v>
                </c:pt>
                <c:pt idx="142">
                  <c:v>3.669434796176543E-12</c:v>
                </c:pt>
                <c:pt idx="143">
                  <c:v>3.669434796176543E-12</c:v>
                </c:pt>
                <c:pt idx="144">
                  <c:v>3.669434796176543E-12</c:v>
                </c:pt>
                <c:pt idx="145">
                  <c:v>3.669434796176543E-12</c:v>
                </c:pt>
                <c:pt idx="146">
                  <c:v>3.669434796176543E-12</c:v>
                </c:pt>
                <c:pt idx="147">
                  <c:v>3.669434796176543E-12</c:v>
                </c:pt>
                <c:pt idx="148">
                  <c:v>3.669434796176543E-12</c:v>
                </c:pt>
                <c:pt idx="149">
                  <c:v>3.669434796176543E-12</c:v>
                </c:pt>
                <c:pt idx="150">
                  <c:v>3.669434796176543E-12</c:v>
                </c:pt>
                <c:pt idx="151">
                  <c:v>3.669434796176543E-12</c:v>
                </c:pt>
                <c:pt idx="152">
                  <c:v>3.669434796176543E-12</c:v>
                </c:pt>
                <c:pt idx="153">
                  <c:v>3.669434796176543E-12</c:v>
                </c:pt>
                <c:pt idx="154">
                  <c:v>3.669434796176543E-12</c:v>
                </c:pt>
                <c:pt idx="155">
                  <c:v>3.669434796176543E-12</c:v>
                </c:pt>
                <c:pt idx="156">
                  <c:v>3.669434796176543E-12</c:v>
                </c:pt>
                <c:pt idx="157">
                  <c:v>3.669434796176543E-12</c:v>
                </c:pt>
                <c:pt idx="158">
                  <c:v>3.669434796176543E-12</c:v>
                </c:pt>
                <c:pt idx="159">
                  <c:v>3.669434796176543E-12</c:v>
                </c:pt>
                <c:pt idx="160">
                  <c:v>3.669434796176543E-12</c:v>
                </c:pt>
                <c:pt idx="161">
                  <c:v>3.669434796176543E-12</c:v>
                </c:pt>
                <c:pt idx="162">
                  <c:v>3.669434796176543E-12</c:v>
                </c:pt>
                <c:pt idx="163">
                  <c:v>3.669434796176543E-12</c:v>
                </c:pt>
                <c:pt idx="164">
                  <c:v>3.669434796176543E-12</c:v>
                </c:pt>
                <c:pt idx="165">
                  <c:v>3.669434796176543E-12</c:v>
                </c:pt>
                <c:pt idx="166">
                  <c:v>3.669434796176543E-12</c:v>
                </c:pt>
                <c:pt idx="167">
                  <c:v>3.669434796176543E-12</c:v>
                </c:pt>
                <c:pt idx="168">
                  <c:v>3.669434796176543E-12</c:v>
                </c:pt>
                <c:pt idx="169">
                  <c:v>3.669434796176543E-12</c:v>
                </c:pt>
                <c:pt idx="170">
                  <c:v>3.669434796176543E-12</c:v>
                </c:pt>
                <c:pt idx="171">
                  <c:v>3.669434796176543E-12</c:v>
                </c:pt>
                <c:pt idx="172">
                  <c:v>3.669434796176543E-12</c:v>
                </c:pt>
                <c:pt idx="173">
                  <c:v>3.669434796176543E-12</c:v>
                </c:pt>
                <c:pt idx="174">
                  <c:v>3.669434796176543E-12</c:v>
                </c:pt>
                <c:pt idx="175">
                  <c:v>3.669434796176543E-12</c:v>
                </c:pt>
                <c:pt idx="176">
                  <c:v>3.669434796176543E-12</c:v>
                </c:pt>
                <c:pt idx="177">
                  <c:v>3.669434796176543E-12</c:v>
                </c:pt>
                <c:pt idx="178">
                  <c:v>3.669434796176543E-12</c:v>
                </c:pt>
                <c:pt idx="179">
                  <c:v>3.669434796176543E-12</c:v>
                </c:pt>
                <c:pt idx="180">
                  <c:v>3.669434796176543E-12</c:v>
                </c:pt>
                <c:pt idx="181">
                  <c:v>3.669434796176543E-12</c:v>
                </c:pt>
                <c:pt idx="182">
                  <c:v>3.669434796176543E-12</c:v>
                </c:pt>
                <c:pt idx="183">
                  <c:v>3.669434796176543E-12</c:v>
                </c:pt>
                <c:pt idx="184">
                  <c:v>3.669434796176543E-12</c:v>
                </c:pt>
                <c:pt idx="185">
                  <c:v>3.669434796176543E-12</c:v>
                </c:pt>
                <c:pt idx="186">
                  <c:v>3.669434796176543E-12</c:v>
                </c:pt>
                <c:pt idx="187">
                  <c:v>3.669434796176543E-12</c:v>
                </c:pt>
                <c:pt idx="188">
                  <c:v>3.669434796176543E-12</c:v>
                </c:pt>
                <c:pt idx="189">
                  <c:v>3.669434796176543E-12</c:v>
                </c:pt>
                <c:pt idx="190">
                  <c:v>3.669434796176543E-12</c:v>
                </c:pt>
                <c:pt idx="191">
                  <c:v>3.669434796176543E-12</c:v>
                </c:pt>
                <c:pt idx="192">
                  <c:v>3.669434796176543E-12</c:v>
                </c:pt>
                <c:pt idx="193">
                  <c:v>3.669434796176543E-12</c:v>
                </c:pt>
                <c:pt idx="194">
                  <c:v>3.669434796176543E-12</c:v>
                </c:pt>
                <c:pt idx="195">
                  <c:v>3.669434796176543E-12</c:v>
                </c:pt>
                <c:pt idx="196">
                  <c:v>3.669434796176543E-12</c:v>
                </c:pt>
                <c:pt idx="197">
                  <c:v>3.669434796176543E-12</c:v>
                </c:pt>
                <c:pt idx="198">
                  <c:v>3.669434796176543E-12</c:v>
                </c:pt>
                <c:pt idx="199">
                  <c:v>3.669434796176543E-12</c:v>
                </c:pt>
                <c:pt idx="200">
                  <c:v>3.669434796176543E-12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1.717976552924626</c:v>
                </c:pt>
                <c:pt idx="2">
                  <c:v>2.2240299440090214</c:v>
                </c:pt>
                <c:pt idx="3">
                  <c:v>2.8797580405780443</c:v>
                </c:pt>
                <c:pt idx="4">
                  <c:v>3.7296002679201314</c:v>
                </c:pt>
                <c:pt idx="5">
                  <c:v>4.83123780824004</c:v>
                </c:pt>
                <c:pt idx="6">
                  <c:v>6.2595524240560687</c:v>
                </c:pt>
                <c:pt idx="7">
                  <c:v>34.340499100461251</c:v>
                </c:pt>
                <c:pt idx="8">
                  <c:v>69.596399363316891</c:v>
                </c:pt>
                <c:pt idx="9">
                  <c:v>111.06781871657756</c:v>
                </c:pt>
                <c:pt idx="10">
                  <c:v>151.04486212599508</c:v>
                </c:pt>
                <c:pt idx="11">
                  <c:v>197.36812151889237</c:v>
                </c:pt>
                <c:pt idx="12">
                  <c:v>240.1539339323198</c:v>
                </c:pt>
                <c:pt idx="13">
                  <c:v>286.03728369813439</c:v>
                </c:pt>
                <c:pt idx="14">
                  <c:v>325.23346359087509</c:v>
                </c:pt>
                <c:pt idx="15">
                  <c:v>365.40973944635829</c:v>
                </c:pt>
                <c:pt idx="16">
                  <c:v>402.24312155367915</c:v>
                </c:pt>
                <c:pt idx="17">
                  <c:v>439.00354443929672</c:v>
                </c:pt>
                <c:pt idx="18">
                  <c:v>470.30563199351877</c:v>
                </c:pt>
                <c:pt idx="19">
                  <c:v>495.09972376404033</c:v>
                </c:pt>
                <c:pt idx="20">
                  <c:v>520.94380164477423</c:v>
                </c:pt>
                <c:pt idx="21">
                  <c:v>543.53515420673239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"/>
  <cols>
    <col min="1" max="1" width="6.6640625" customWidth="1"/>
    <col min="2" max="13" width="15.83203125" customWidth="1"/>
  </cols>
  <sheetData>
    <row r="12" spans="2:13" ht="15" customHeight="1" x14ac:dyDescent="0.2">
      <c r="B12" s="291" t="s">
        <v>291</v>
      </c>
      <c r="C12" s="291"/>
      <c r="D12" s="291"/>
      <c r="E12" s="291"/>
      <c r="F12" s="291"/>
      <c r="G12" s="291"/>
      <c r="H12" s="291"/>
      <c r="I12" s="291"/>
      <c r="J12" s="291"/>
      <c r="K12" s="291"/>
      <c r="L12" s="291"/>
      <c r="M12" s="291"/>
    </row>
    <row r="13" spans="2:13" ht="15" customHeight="1" x14ac:dyDescent="0.2">
      <c r="B13" s="291"/>
      <c r="C13" s="291"/>
      <c r="D13" s="291"/>
      <c r="E13" s="291"/>
      <c r="F13" s="291"/>
      <c r="G13" s="291"/>
      <c r="H13" s="291"/>
      <c r="I13" s="291"/>
      <c r="J13" s="291"/>
      <c r="K13" s="291"/>
      <c r="L13" s="291"/>
      <c r="M13" s="291"/>
    </row>
    <row r="14" spans="2:13" ht="15" customHeight="1" x14ac:dyDescent="0.2">
      <c r="B14" s="291"/>
      <c r="C14" s="291"/>
      <c r="D14" s="291"/>
      <c r="E14" s="291"/>
      <c r="F14" s="291"/>
      <c r="G14" s="291"/>
      <c r="H14" s="291"/>
      <c r="I14" s="291"/>
      <c r="J14" s="291"/>
      <c r="K14" s="291"/>
      <c r="L14" s="291"/>
      <c r="M14" s="291"/>
    </row>
    <row r="15" spans="2:13" ht="18.75" customHeight="1" x14ac:dyDescent="0.2">
      <c r="B15" s="291"/>
      <c r="C15" s="291"/>
      <c r="D15" s="291"/>
      <c r="E15" s="291"/>
      <c r="F15" s="291"/>
      <c r="G15" s="291"/>
      <c r="H15" s="291"/>
      <c r="I15" s="291"/>
      <c r="J15" s="291"/>
      <c r="K15" s="291"/>
      <c r="L15" s="291"/>
      <c r="M15" s="291"/>
    </row>
    <row r="16" spans="2:13" ht="18.75" customHeight="1" x14ac:dyDescent="0.2">
      <c r="B16" s="291"/>
      <c r="C16" s="291"/>
      <c r="D16" s="291"/>
      <c r="E16" s="291"/>
      <c r="F16" s="291"/>
      <c r="G16" s="291"/>
      <c r="H16" s="291"/>
      <c r="I16" s="291"/>
      <c r="J16" s="291"/>
      <c r="K16" s="291"/>
      <c r="L16" s="291"/>
      <c r="M16" s="291"/>
    </row>
    <row r="18" spans="2:13" ht="12" customHeight="1" x14ac:dyDescent="0.2">
      <c r="B18" s="291" t="s">
        <v>292</v>
      </c>
      <c r="C18" s="291"/>
      <c r="D18" s="291"/>
      <c r="E18" s="291"/>
      <c r="F18" s="291"/>
      <c r="G18" s="291"/>
      <c r="H18" s="291"/>
      <c r="I18" s="291"/>
      <c r="J18" s="291"/>
      <c r="K18" s="291"/>
      <c r="L18" s="291"/>
      <c r="M18" s="291"/>
    </row>
    <row r="19" spans="2:13" ht="12" customHeight="1" x14ac:dyDescent="0.2">
      <c r="B19" s="291"/>
      <c r="C19" s="291"/>
      <c r="D19" s="291"/>
      <c r="E19" s="291"/>
      <c r="F19" s="291"/>
      <c r="G19" s="291"/>
      <c r="H19" s="291"/>
      <c r="I19" s="291"/>
      <c r="J19" s="291"/>
      <c r="K19" s="291"/>
      <c r="L19" s="291"/>
      <c r="M19" s="291"/>
    </row>
    <row r="20" spans="2:13" ht="12" customHeight="1" x14ac:dyDescent="0.2">
      <c r="B20" s="291"/>
      <c r="C20" s="291"/>
      <c r="D20" s="291"/>
      <c r="E20" s="291"/>
      <c r="F20" s="291"/>
      <c r="G20" s="291"/>
      <c r="H20" s="291"/>
      <c r="I20" s="291"/>
      <c r="J20" s="291"/>
      <c r="K20" s="291"/>
      <c r="L20" s="291"/>
      <c r="M20" s="291"/>
    </row>
    <row r="21" spans="2:13" ht="12" customHeight="1" x14ac:dyDescent="0.2">
      <c r="B21" s="291"/>
      <c r="C21" s="291"/>
      <c r="D21" s="291"/>
      <c r="E21" s="291"/>
      <c r="F21" s="291"/>
      <c r="G21" s="291"/>
      <c r="H21" s="291"/>
      <c r="I21" s="291"/>
      <c r="J21" s="291"/>
      <c r="K21" s="291"/>
      <c r="L21" s="291"/>
      <c r="M21" s="291"/>
    </row>
    <row r="22" spans="2:13" ht="12" customHeight="1" x14ac:dyDescent="0.2">
      <c r="B22" s="291"/>
      <c r="C22" s="291"/>
      <c r="D22" s="291"/>
      <c r="E22" s="291"/>
      <c r="F22" s="291"/>
      <c r="G22" s="291"/>
      <c r="H22" s="291"/>
      <c r="I22" s="291"/>
      <c r="J22" s="291"/>
      <c r="K22" s="291"/>
      <c r="L22" s="291"/>
      <c r="M22" s="291"/>
    </row>
    <row r="23" spans="2:13" ht="12" customHeight="1" x14ac:dyDescent="0.2">
      <c r="B23" s="291"/>
      <c r="C23" s="291"/>
      <c r="D23" s="291"/>
      <c r="E23" s="291"/>
      <c r="F23" s="291"/>
      <c r="G23" s="291"/>
      <c r="H23" s="291"/>
      <c r="I23" s="291"/>
      <c r="J23" s="291"/>
      <c r="K23" s="291"/>
      <c r="L23" s="291"/>
      <c r="M23" s="291"/>
    </row>
    <row r="24" spans="2:13" ht="12" customHeight="1" x14ac:dyDescent="0.2">
      <c r="B24" s="291"/>
      <c r="C24" s="291"/>
      <c r="D24" s="291"/>
      <c r="E24" s="291"/>
      <c r="F24" s="291"/>
      <c r="G24" s="291"/>
      <c r="H24" s="291"/>
      <c r="I24" s="291"/>
      <c r="J24" s="291"/>
      <c r="K24" s="291"/>
      <c r="L24" s="291"/>
      <c r="M24" s="291"/>
    </row>
    <row r="25" spans="2:13" ht="12" customHeight="1" x14ac:dyDescent="0.2">
      <c r="B25" s="291"/>
      <c r="C25" s="291"/>
      <c r="D25" s="291"/>
      <c r="E25" s="291"/>
      <c r="F25" s="291"/>
      <c r="G25" s="291"/>
      <c r="H25" s="291"/>
      <c r="I25" s="291"/>
      <c r="J25" s="291"/>
      <c r="K25" s="291"/>
      <c r="L25" s="291"/>
      <c r="M25" s="291"/>
    </row>
    <row r="26" spans="2:13" ht="12" customHeight="1" x14ac:dyDescent="0.2">
      <c r="B26" s="291"/>
      <c r="C26" s="291"/>
      <c r="D26" s="291"/>
      <c r="E26" s="291"/>
      <c r="F26" s="291"/>
      <c r="G26" s="291"/>
      <c r="H26" s="291"/>
      <c r="I26" s="291"/>
      <c r="J26" s="291"/>
      <c r="K26" s="291"/>
      <c r="L26" s="291"/>
      <c r="M26" s="291"/>
    </row>
    <row r="27" spans="2:13" ht="12" customHeight="1" x14ac:dyDescent="0.2">
      <c r="B27" s="291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</row>
    <row r="28" spans="2:13" ht="12" customHeight="1" x14ac:dyDescent="0.2">
      <c r="B28" s="291"/>
      <c r="C28" s="291"/>
      <c r="D28" s="291"/>
      <c r="E28" s="291"/>
      <c r="F28" s="291"/>
      <c r="G28" s="291"/>
      <c r="H28" s="291"/>
      <c r="I28" s="291"/>
      <c r="J28" s="291"/>
      <c r="K28" s="291"/>
      <c r="L28" s="291"/>
      <c r="M28" s="291"/>
    </row>
    <row r="29" spans="2:13" ht="12" customHeight="1" x14ac:dyDescent="0.2">
      <c r="B29" s="291"/>
      <c r="C29" s="291"/>
      <c r="D29" s="291"/>
      <c r="E29" s="291"/>
      <c r="F29" s="291"/>
      <c r="G29" s="291"/>
      <c r="H29" s="291"/>
      <c r="I29" s="291"/>
      <c r="J29" s="291"/>
      <c r="K29" s="291"/>
      <c r="L29" s="291"/>
      <c r="M29" s="291"/>
    </row>
    <row r="30" spans="2:13" ht="12" customHeight="1" x14ac:dyDescent="0.2">
      <c r="B30" s="291"/>
      <c r="C30" s="291"/>
      <c r="D30" s="291"/>
      <c r="E30" s="291"/>
      <c r="F30" s="291"/>
      <c r="G30" s="291"/>
      <c r="H30" s="291"/>
      <c r="I30" s="291"/>
      <c r="J30" s="291"/>
      <c r="K30" s="291"/>
      <c r="L30" s="291"/>
      <c r="M30" s="291"/>
    </row>
    <row r="31" spans="2:13" ht="12" customHeight="1" x14ac:dyDescent="0.2">
      <c r="B31" s="291"/>
      <c r="C31" s="291"/>
      <c r="D31" s="291"/>
      <c r="E31" s="291"/>
      <c r="F31" s="291"/>
      <c r="G31" s="291"/>
      <c r="H31" s="291"/>
      <c r="I31" s="291"/>
      <c r="J31" s="291"/>
      <c r="K31" s="291"/>
      <c r="L31" s="291"/>
      <c r="M31" s="291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I15" sqref="I15"/>
    </sheetView>
  </sheetViews>
  <sheetFormatPr baseColWidth="10" defaultColWidth="11.5" defaultRowHeight="15" x14ac:dyDescent="0.2"/>
  <cols>
    <col min="1" max="1" width="13.6640625" style="25" customWidth="1"/>
    <col min="2" max="2" width="36.1640625" style="25" customWidth="1"/>
    <col min="3" max="3" width="14.83203125" style="25" bestFit="1" customWidth="1"/>
    <col min="4" max="4" width="16.5" style="25" customWidth="1"/>
    <col min="5" max="5" width="23.33203125" style="25" customWidth="1"/>
    <col min="6" max="6" width="28.83203125" style="25" bestFit="1" customWidth="1"/>
    <col min="7" max="8" width="14.6640625" style="25" customWidth="1"/>
    <col min="9" max="9" width="17" style="25" customWidth="1"/>
    <col min="10" max="10" width="13.83203125" style="25" customWidth="1"/>
    <col min="11" max="16384" width="11.5" style="25"/>
  </cols>
  <sheetData>
    <row r="1" spans="1:38" x14ac:dyDescent="0.2">
      <c r="A1" s="5"/>
      <c r="B1" s="5"/>
      <c r="C1" s="292" t="s">
        <v>190</v>
      </c>
      <c r="D1" s="292"/>
      <c r="E1" s="292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6" thickBot="1" x14ac:dyDescent="0.25">
      <c r="A2" s="5"/>
      <c r="B2" s="5"/>
      <c r="C2" s="5"/>
      <c r="D2" s="5"/>
      <c r="E2" s="5"/>
      <c r="F2" s="5"/>
      <c r="G2" s="5"/>
      <c r="H2" s="5"/>
      <c r="I2" s="227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25">
      <c r="A3" s="5"/>
      <c r="B3" s="297" t="s">
        <v>192</v>
      </c>
      <c r="C3" s="298"/>
      <c r="D3" s="298"/>
      <c r="E3" s="298"/>
      <c r="F3" s="299"/>
      <c r="G3" s="95"/>
      <c r="I3" s="227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" x14ac:dyDescent="0.2">
      <c r="A4" s="97"/>
      <c r="B4" s="97"/>
      <c r="C4" s="97"/>
      <c r="D4" s="97"/>
      <c r="E4" s="97"/>
      <c r="F4" s="97"/>
      <c r="G4" s="237"/>
      <c r="I4" s="227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" x14ac:dyDescent="0.2">
      <c r="A5" s="303" t="s">
        <v>231</v>
      </c>
      <c r="B5" s="303"/>
      <c r="C5" s="26">
        <v>3.7149999999999999</v>
      </c>
      <c r="D5" s="304" t="s">
        <v>229</v>
      </c>
      <c r="E5" s="305"/>
      <c r="F5" s="97"/>
      <c r="G5" s="237"/>
      <c r="H5" s="238"/>
      <c r="I5" s="238"/>
      <c r="J5" s="246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">
      <c r="A6" s="98"/>
      <c r="B6" s="98"/>
      <c r="C6" s="99"/>
      <c r="D6" s="92"/>
      <c r="E6" s="92"/>
      <c r="F6" s="29"/>
      <c r="G6" s="239"/>
      <c r="H6" s="240"/>
      <c r="I6" s="240"/>
      <c r="J6" s="247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" x14ac:dyDescent="0.2">
      <c r="A7" s="301" t="s">
        <v>226</v>
      </c>
      <c r="B7" s="301"/>
      <c r="C7" s="97"/>
      <c r="D7" s="97"/>
      <c r="E7" s="5"/>
      <c r="F7" s="97"/>
      <c r="G7" s="237"/>
      <c r="H7" s="238"/>
      <c r="I7" s="238"/>
      <c r="J7" s="246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2"/>
      <c r="J8" s="246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">
      <c r="A9" s="33" t="s">
        <v>165</v>
      </c>
      <c r="B9" s="34" t="s">
        <v>138</v>
      </c>
      <c r="C9" s="35">
        <v>0.83849300000000004</v>
      </c>
      <c r="D9" s="36">
        <f t="shared" ref="D9:D18" si="0">C9*$C$5</f>
        <v>3.115001495</v>
      </c>
      <c r="E9" s="37">
        <v>45</v>
      </c>
      <c r="F9" s="38" t="str">
        <f t="array" ref="F9">IF(E9="","",IF(INDEX(A:A,MAX(IF(ISNUMBER($A$36:$A$55),ROW($A$36:$A$55),"")))&lt;&gt;E9,"Corrigez : révolution incorrecte","OK"))</f>
        <v>OK</v>
      </c>
      <c r="G9" s="257" t="s">
        <v>306</v>
      </c>
      <c r="I9" s="253"/>
      <c r="J9" s="246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">
      <c r="A10" s="33" t="s">
        <v>166</v>
      </c>
      <c r="B10" s="34" t="s">
        <v>112</v>
      </c>
      <c r="C10" s="35">
        <v>0.16150700000000001</v>
      </c>
      <c r="D10" s="36">
        <f t="shared" si="0"/>
        <v>0.59999850500000007</v>
      </c>
      <c r="E10" s="37">
        <v>21</v>
      </c>
      <c r="F10" s="38" t="str">
        <f t="array" ref="F10">IF(E10="","",IF(INDEX(A:A,MAX(IF(ISNUMBER($A$62:$A$81),ROW($A$62:$A$81),"")))&lt;&gt;E10,"Corrigez : révolution incorrecte","OK"))</f>
        <v>OK</v>
      </c>
      <c r="G10" s="25" t="s">
        <v>324</v>
      </c>
      <c r="I10" s="253"/>
      <c r="J10" s="246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0"/>
      <c r="I11" s="253"/>
      <c r="J11" s="246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0"/>
      <c r="I12" s="253"/>
      <c r="J12" s="246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0"/>
      <c r="I13" s="253"/>
      <c r="J13" s="246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0"/>
      <c r="I14" s="253"/>
      <c r="J14" s="246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0"/>
      <c r="I15" s="253"/>
      <c r="J15" s="246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0"/>
      <c r="I16" s="253"/>
      <c r="J16" s="246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0"/>
      <c r="I17" s="253"/>
      <c r="J17" s="246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0"/>
      <c r="I18" s="253"/>
      <c r="J18" s="246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">
      <c r="A19" s="100"/>
      <c r="B19" s="39" t="s">
        <v>175</v>
      </c>
      <c r="C19" s="40">
        <f>SUM(C9:C18)</f>
        <v>1</v>
      </c>
      <c r="D19" s="41">
        <f>SUM(D9:D18)</f>
        <v>3.7149999999999999</v>
      </c>
      <c r="E19" s="5"/>
      <c r="F19" s="101"/>
      <c r="G19" s="241"/>
      <c r="H19" s="242"/>
      <c r="I19" s="241"/>
      <c r="J19" s="246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">
      <c r="A20" s="100"/>
      <c r="B20" s="42" t="s">
        <v>230</v>
      </c>
      <c r="C20" s="43" t="str">
        <f>IF(C19&gt;100%,"Erreur : corrigez","OK")</f>
        <v>OK</v>
      </c>
      <c r="D20" s="248"/>
      <c r="F20" s="240"/>
      <c r="G20" s="240"/>
      <c r="H20" s="242"/>
      <c r="I20" s="241"/>
      <c r="J20" s="246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">
      <c r="A21" s="5"/>
      <c r="B21" s="5"/>
      <c r="C21" s="5"/>
      <c r="H21" s="243"/>
      <c r="I21" s="254"/>
      <c r="J21" s="246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25">
      <c r="A22" s="300" t="s">
        <v>232</v>
      </c>
      <c r="B22" s="300"/>
      <c r="C22" s="99"/>
      <c r="H22" s="229"/>
      <c r="I22" s="247"/>
      <c r="J22" s="247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">
      <c r="A23" s="5"/>
      <c r="B23" s="5"/>
      <c r="C23" s="5"/>
      <c r="H23" s="220"/>
      <c r="I23" s="246"/>
      <c r="J23" s="246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4"/>
      <c r="H24" s="230"/>
      <c r="I24" s="244"/>
      <c r="J24" s="24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5"/>
      <c r="H25" s="230"/>
      <c r="I25" s="245"/>
      <c r="J25" s="24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4"/>
      <c r="I26" s="244"/>
      <c r="J26" s="244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4"/>
      <c r="I27" s="244"/>
      <c r="J27" s="244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">
      <c r="A28" s="5"/>
      <c r="B28" s="5"/>
      <c r="H28" s="246"/>
      <c r="I28" s="246"/>
      <c r="J28" s="246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">
      <c r="A29" s="5"/>
      <c r="B29" s="5"/>
      <c r="H29" s="246"/>
      <c r="I29" s="246"/>
      <c r="J29" s="246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">
      <c r="A30" s="302" t="s">
        <v>227</v>
      </c>
      <c r="B30" s="302"/>
      <c r="D30" s="249"/>
      <c r="H30" s="247"/>
      <c r="I30" s="247"/>
      <c r="J30" s="247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">
      <c r="A31" s="5"/>
      <c r="B31" s="5"/>
      <c r="H31" s="246"/>
      <c r="I31" s="246"/>
      <c r="J31" s="246"/>
      <c r="K31" s="249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">
      <c r="A32" s="49" t="s">
        <v>165</v>
      </c>
      <c r="B32" s="50" t="str">
        <f>IF(B9="","",B9)</f>
        <v>Pin taeda</v>
      </c>
      <c r="D32" s="258" t="s">
        <v>307</v>
      </c>
      <c r="K32" s="249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">
      <c r="A33" s="49"/>
      <c r="B33" s="5"/>
      <c r="K33" s="249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0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32" x14ac:dyDescent="0.2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1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">
      <c r="A36" s="53">
        <v>14</v>
      </c>
      <c r="B36" s="63">
        <v>108.18</v>
      </c>
      <c r="C36" s="63">
        <v>1</v>
      </c>
      <c r="D36" s="63">
        <v>34.25</v>
      </c>
      <c r="E36" s="54">
        <v>0.2</v>
      </c>
      <c r="F36" s="54">
        <v>0.45</v>
      </c>
      <c r="G36" s="54">
        <v>0.35</v>
      </c>
      <c r="H36" s="54"/>
      <c r="I36" s="52">
        <f>IFERROR(B36/A36,"")</f>
        <v>7.7271428571428578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">
      <c r="A37" s="53">
        <v>19</v>
      </c>
      <c r="B37" s="63">
        <v>183.77</v>
      </c>
      <c r="C37" s="63">
        <v>2</v>
      </c>
      <c r="D37" s="63">
        <v>59.5</v>
      </c>
      <c r="E37" s="54">
        <v>0.4</v>
      </c>
      <c r="F37" s="54">
        <v>0.34</v>
      </c>
      <c r="G37" s="54">
        <v>0.26</v>
      </c>
      <c r="H37" s="54"/>
      <c r="I37" s="56">
        <f t="shared" ref="I37:I55" si="1">IF(A37&lt;&gt;0,(B37-(B36-D36))/(A37-A36),"")</f>
        <v>21.968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">
      <c r="A38" s="53">
        <v>25</v>
      </c>
      <c r="B38" s="63">
        <v>252.69</v>
      </c>
      <c r="C38" s="63">
        <v>3</v>
      </c>
      <c r="D38" s="63">
        <v>60.96</v>
      </c>
      <c r="E38" s="54">
        <v>0.6</v>
      </c>
      <c r="F38" s="54">
        <v>0.22</v>
      </c>
      <c r="G38" s="54">
        <v>0.18</v>
      </c>
      <c r="H38" s="54"/>
      <c r="I38" s="56">
        <f t="shared" si="1"/>
        <v>21.403333333333332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">
      <c r="A39" s="53">
        <v>32</v>
      </c>
      <c r="B39" s="63">
        <v>335.76</v>
      </c>
      <c r="C39" s="63">
        <v>4</v>
      </c>
      <c r="D39" s="63">
        <v>76.42</v>
      </c>
      <c r="E39" s="54">
        <v>0.8</v>
      </c>
      <c r="F39" s="54">
        <v>0.11</v>
      </c>
      <c r="G39" s="54">
        <v>0.09</v>
      </c>
      <c r="H39" s="54"/>
      <c r="I39" s="52">
        <f t="shared" si="1"/>
        <v>20.575714285714287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">
      <c r="A40" s="53">
        <v>45</v>
      </c>
      <c r="B40" s="63">
        <v>503.89</v>
      </c>
      <c r="C40" s="63">
        <v>5</v>
      </c>
      <c r="D40" s="63">
        <v>503.89</v>
      </c>
      <c r="E40" s="54">
        <v>0.9</v>
      </c>
      <c r="F40" s="54">
        <v>0.06</v>
      </c>
      <c r="G40" s="54">
        <v>0.04</v>
      </c>
      <c r="H40" s="54"/>
      <c r="I40" s="52">
        <f t="shared" si="1"/>
        <v>18.811538461538461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">
      <c r="A43" s="282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">
      <c r="A44" s="282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">
      <c r="A45" s="282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">
      <c r="A46" s="282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">
      <c r="A47" s="282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">
      <c r="A48" s="282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">
      <c r="A49" s="282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">
      <c r="A50" s="282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">
      <c r="A51" s="282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">
      <c r="A52" s="282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">
      <c r="A53" s="282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">
      <c r="A54" s="282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">
      <c r="A55" s="282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">
      <c r="A58" s="49" t="s">
        <v>166</v>
      </c>
      <c r="B58" s="55" t="str">
        <f>IF(B10="","",B10)</f>
        <v>Peuplier Koster</v>
      </c>
      <c r="D58" s="258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0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32" x14ac:dyDescent="0.2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1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">
      <c r="A62" s="53">
        <v>6</v>
      </c>
      <c r="B62" s="63">
        <v>5</v>
      </c>
      <c r="C62" s="63"/>
      <c r="D62" s="63"/>
      <c r="E62" s="54">
        <v>0.47</v>
      </c>
      <c r="F62" s="54">
        <v>0.21</v>
      </c>
      <c r="G62" s="54"/>
      <c r="H62" s="54">
        <v>0.31</v>
      </c>
      <c r="I62" s="56">
        <f>IFERROR(B62/A62,"")</f>
        <v>0.83333333333333337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">
      <c r="A63" s="53">
        <v>7</v>
      </c>
      <c r="B63" s="63">
        <v>29</v>
      </c>
      <c r="C63" s="63"/>
      <c r="D63" s="63"/>
      <c r="E63" s="54">
        <v>0.47</v>
      </c>
      <c r="F63" s="54">
        <v>0.21</v>
      </c>
      <c r="G63" s="54"/>
      <c r="H63" s="54">
        <v>0.31</v>
      </c>
      <c r="I63" s="52">
        <f>IF(A63&lt;&gt;0,(B63-(B62-D62))/(A63-A62),"")</f>
        <v>24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">
      <c r="A64" s="53">
        <v>8</v>
      </c>
      <c r="B64" s="63">
        <v>60</v>
      </c>
      <c r="C64" s="63"/>
      <c r="D64" s="63"/>
      <c r="E64" s="54">
        <v>0.47</v>
      </c>
      <c r="F64" s="54">
        <v>0.21</v>
      </c>
      <c r="G64" s="54"/>
      <c r="H64" s="54">
        <v>0.31</v>
      </c>
      <c r="I64" s="52">
        <f>IF(A64&lt;&gt;0,(B64-(B63-D63))/(A64-A63),"")</f>
        <v>31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">
      <c r="A65" s="53">
        <v>9</v>
      </c>
      <c r="B65" s="63">
        <v>97</v>
      </c>
      <c r="C65" s="63"/>
      <c r="D65" s="63"/>
      <c r="E65" s="54">
        <v>0.47</v>
      </c>
      <c r="F65" s="54">
        <v>0.21</v>
      </c>
      <c r="G65" s="54"/>
      <c r="H65" s="54">
        <v>0.31</v>
      </c>
      <c r="I65" s="52">
        <f>IF(A65&lt;&gt;0,(B65-(B64-D64))/(A65-A64),"")</f>
        <v>37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">
      <c r="A66" s="53">
        <v>10</v>
      </c>
      <c r="B66" s="63">
        <v>133</v>
      </c>
      <c r="C66" s="63"/>
      <c r="D66" s="63"/>
      <c r="E66" s="54">
        <v>0.47</v>
      </c>
      <c r="F66" s="54">
        <v>0.21</v>
      </c>
      <c r="G66" s="54"/>
      <c r="H66" s="54">
        <v>0.31</v>
      </c>
      <c r="I66" s="52">
        <f t="shared" ref="I66:I81" si="2">IF(A66&lt;&gt;0,(B66-(B65-D65))/(A66-A65),"")</f>
        <v>36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">
      <c r="A67" s="53">
        <v>11</v>
      </c>
      <c r="B67" s="63">
        <v>175</v>
      </c>
      <c r="C67" s="63"/>
      <c r="D67" s="63"/>
      <c r="E67" s="54">
        <v>0.47</v>
      </c>
      <c r="F67" s="54">
        <v>0.21</v>
      </c>
      <c r="G67" s="54"/>
      <c r="H67" s="54">
        <v>0.31</v>
      </c>
      <c r="I67" s="52">
        <f t="shared" si="2"/>
        <v>42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">
      <c r="A68" s="53">
        <v>12</v>
      </c>
      <c r="B68" s="63">
        <v>214</v>
      </c>
      <c r="C68" s="63"/>
      <c r="D68" s="63"/>
      <c r="E68" s="54">
        <v>0.47</v>
      </c>
      <c r="F68" s="54">
        <v>0.21</v>
      </c>
      <c r="G68" s="54"/>
      <c r="H68" s="54">
        <v>0.31</v>
      </c>
      <c r="I68" s="52">
        <f t="shared" si="2"/>
        <v>39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">
      <c r="A69" s="53">
        <v>13</v>
      </c>
      <c r="B69" s="53">
        <v>256</v>
      </c>
      <c r="C69" s="53"/>
      <c r="D69" s="53"/>
      <c r="E69" s="54">
        <v>0.47</v>
      </c>
      <c r="F69" s="54">
        <v>0.21</v>
      </c>
      <c r="G69" s="54"/>
      <c r="H69" s="54">
        <v>0.31</v>
      </c>
      <c r="I69" s="52">
        <f t="shared" si="2"/>
        <v>42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">
      <c r="A70" s="53">
        <v>14</v>
      </c>
      <c r="B70" s="53">
        <v>292</v>
      </c>
      <c r="C70" s="53"/>
      <c r="D70" s="53"/>
      <c r="E70" s="54">
        <v>0.47</v>
      </c>
      <c r="F70" s="54">
        <v>0.21</v>
      </c>
      <c r="G70" s="54"/>
      <c r="H70" s="54">
        <v>0.31</v>
      </c>
      <c r="I70" s="52">
        <f t="shared" si="2"/>
        <v>36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">
      <c r="A71" s="53">
        <v>15</v>
      </c>
      <c r="B71" s="53">
        <v>329</v>
      </c>
      <c r="C71" s="53"/>
      <c r="D71" s="53"/>
      <c r="E71" s="54">
        <v>0.47</v>
      </c>
      <c r="F71" s="54">
        <v>0.21</v>
      </c>
      <c r="G71" s="54"/>
      <c r="H71" s="54">
        <v>0.31</v>
      </c>
      <c r="I71" s="52">
        <f t="shared" si="2"/>
        <v>37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">
      <c r="A72" s="53">
        <v>16</v>
      </c>
      <c r="B72" s="53">
        <v>363</v>
      </c>
      <c r="C72" s="53"/>
      <c r="D72" s="53"/>
      <c r="E72" s="54">
        <v>0.47</v>
      </c>
      <c r="F72" s="54">
        <v>0.21</v>
      </c>
      <c r="G72" s="54"/>
      <c r="H72" s="54">
        <v>0.31</v>
      </c>
      <c r="I72" s="52">
        <f t="shared" si="2"/>
        <v>34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">
      <c r="A73" s="53">
        <v>17</v>
      </c>
      <c r="B73" s="53">
        <v>397</v>
      </c>
      <c r="C73" s="53"/>
      <c r="D73" s="53"/>
      <c r="E73" s="54">
        <v>0.47</v>
      </c>
      <c r="F73" s="54">
        <v>0.21</v>
      </c>
      <c r="G73" s="54"/>
      <c r="H73" s="54">
        <v>0.31</v>
      </c>
      <c r="I73" s="52">
        <f t="shared" si="2"/>
        <v>34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">
      <c r="A74" s="53">
        <v>18</v>
      </c>
      <c r="B74" s="53">
        <v>426</v>
      </c>
      <c r="C74" s="53"/>
      <c r="D74" s="53"/>
      <c r="E74" s="54">
        <v>0.47</v>
      </c>
      <c r="F74" s="54">
        <v>0.21</v>
      </c>
      <c r="G74" s="54"/>
      <c r="H74" s="54">
        <v>0.31</v>
      </c>
      <c r="I74" s="52">
        <f t="shared" si="2"/>
        <v>29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">
      <c r="A75" s="53">
        <v>19</v>
      </c>
      <c r="B75" s="53">
        <v>449</v>
      </c>
      <c r="C75" s="53"/>
      <c r="D75" s="53"/>
      <c r="E75" s="54">
        <v>0.47</v>
      </c>
      <c r="F75" s="54">
        <v>0.21</v>
      </c>
      <c r="G75" s="54"/>
      <c r="H75" s="54">
        <v>0.31</v>
      </c>
      <c r="I75" s="52">
        <f t="shared" si="2"/>
        <v>23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">
      <c r="A76" s="53">
        <v>20</v>
      </c>
      <c r="B76" s="53">
        <v>473</v>
      </c>
      <c r="C76" s="53"/>
      <c r="D76" s="53"/>
      <c r="E76" s="54">
        <v>0.47</v>
      </c>
      <c r="F76" s="54">
        <v>0.21</v>
      </c>
      <c r="G76" s="54"/>
      <c r="H76" s="54">
        <v>0.31</v>
      </c>
      <c r="I76" s="52">
        <f t="shared" si="2"/>
        <v>24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">
      <c r="A77" s="53">
        <v>21</v>
      </c>
      <c r="B77" s="53">
        <v>494</v>
      </c>
      <c r="C77" s="53">
        <v>1</v>
      </c>
      <c r="D77" s="53">
        <v>494</v>
      </c>
      <c r="E77" s="54">
        <v>0.47</v>
      </c>
      <c r="F77" s="54">
        <v>0.21</v>
      </c>
      <c r="G77" s="54"/>
      <c r="H77" s="54">
        <v>0.31</v>
      </c>
      <c r="I77" s="52">
        <f t="shared" si="2"/>
        <v>21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">
      <c r="A84" s="49" t="s">
        <v>167</v>
      </c>
      <c r="B84" s="55" t="str">
        <f>IF(B11="","",B11)</f>
        <v/>
      </c>
      <c r="D84" s="258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32" x14ac:dyDescent="0.2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">
      <c r="A110" s="49" t="s">
        <v>168</v>
      </c>
      <c r="B110" s="55" t="str">
        <f>IF(B12="","",B12)</f>
        <v/>
      </c>
      <c r="D110" s="258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32" x14ac:dyDescent="0.2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">
      <c r="A136" s="49" t="s">
        <v>169</v>
      </c>
      <c r="B136" s="55" t="str">
        <f>IF(B13="","",B13)</f>
        <v/>
      </c>
      <c r="D136" s="258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32" x14ac:dyDescent="0.2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">
      <c r="A162" s="49" t="s">
        <v>170</v>
      </c>
      <c r="B162" s="55" t="str">
        <f>IF(B14="","",B14)</f>
        <v/>
      </c>
      <c r="D162" s="258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32" x14ac:dyDescent="0.2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">
      <c r="A188" s="49" t="s">
        <v>171</v>
      </c>
      <c r="B188" s="55" t="str">
        <f>IF(B15="","",B15)</f>
        <v/>
      </c>
      <c r="D188" s="258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32" x14ac:dyDescent="0.2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">
      <c r="A214" s="49" t="s">
        <v>172</v>
      </c>
      <c r="B214" s="55" t="str">
        <f>IF(B16="","",B16)</f>
        <v/>
      </c>
      <c r="D214" s="258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32" x14ac:dyDescent="0.2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">
      <c r="A240" s="49" t="s">
        <v>173</v>
      </c>
      <c r="B240" s="55" t="str">
        <f>IF(B17="","",B17)</f>
        <v/>
      </c>
      <c r="D240" s="258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32" x14ac:dyDescent="0.2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">
      <c r="A266" s="49" t="s">
        <v>174</v>
      </c>
      <c r="B266" s="55" t="str">
        <f>IF(B18="","",B18)</f>
        <v/>
      </c>
      <c r="D266" s="258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32" x14ac:dyDescent="0.2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23" sqref="G23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35">
      <c r="A2" s="5"/>
      <c r="B2" s="307" t="s">
        <v>191</v>
      </c>
      <c r="C2" s="308"/>
      <c r="D2" s="308"/>
      <c r="E2" s="308"/>
      <c r="F2" s="308"/>
      <c r="G2" s="309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">
      <c r="A4" s="5"/>
      <c r="B4" s="306"/>
      <c r="C4" s="306"/>
      <c r="D4" s="306"/>
      <c r="E4" s="306"/>
      <c r="F4" s="306"/>
      <c r="G4" s="306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">
      <c r="A6" s="25"/>
      <c r="B6" s="236"/>
      <c r="C6" s="236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">
      <c r="A7" s="108"/>
      <c r="B7" s="29" t="s">
        <v>295</v>
      </c>
      <c r="C7" s="109" t="s">
        <v>214</v>
      </c>
      <c r="D7" s="234"/>
      <c r="E7" s="110"/>
      <c r="F7" s="29" t="s">
        <v>295</v>
      </c>
      <c r="G7" s="109" t="s">
        <v>215</v>
      </c>
      <c r="H7" s="235"/>
      <c r="I7" s="235"/>
      <c r="J7" s="235"/>
      <c r="K7" s="235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">
      <c r="A13" s="235"/>
      <c r="B13" s="116"/>
      <c r="C13" s="107" t="s">
        <v>273</v>
      </c>
      <c r="D13" s="235"/>
      <c r="E13" s="108"/>
      <c r="F13" s="116"/>
      <c r="G13" s="107" t="s">
        <v>301</v>
      </c>
      <c r="H13" s="235"/>
      <c r="I13" s="235"/>
      <c r="J13" s="235"/>
      <c r="K13" s="235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">
      <c r="A14" s="235"/>
      <c r="B14" s="116"/>
      <c r="C14" s="107" t="s">
        <v>309</v>
      </c>
      <c r="D14" s="235"/>
      <c r="E14" s="108"/>
      <c r="F14" s="116"/>
      <c r="G14" s="107" t="s">
        <v>294</v>
      </c>
      <c r="H14" s="235"/>
      <c r="I14" s="235"/>
      <c r="J14" s="235"/>
      <c r="K14" s="235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">
      <c r="A15" s="25"/>
      <c r="B15" s="29" t="s">
        <v>295</v>
      </c>
      <c r="C15" s="5"/>
      <c r="D15" s="25"/>
      <c r="E15" s="5"/>
      <c r="F15" s="5"/>
      <c r="G15" s="2" t="s">
        <v>4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">
      <c r="C104" s="5"/>
      <c r="F104" s="5"/>
    </row>
    <row r="105" spans="3:35" x14ac:dyDescent="0.2">
      <c r="C105" s="5"/>
      <c r="F105" s="5"/>
    </row>
    <row r="106" spans="3:35" x14ac:dyDescent="0.2">
      <c r="C106" s="5"/>
      <c r="F106" s="5"/>
    </row>
    <row r="107" spans="3:35" x14ac:dyDescent="0.2">
      <c r="C107" s="5"/>
      <c r="F107" s="5"/>
    </row>
    <row r="108" spans="3:35" x14ac:dyDescent="0.2">
      <c r="C108" s="5"/>
      <c r="F108" s="5"/>
    </row>
    <row r="109" spans="3:35" x14ac:dyDescent="0.2">
      <c r="C109" s="5"/>
      <c r="F109" s="5"/>
    </row>
    <row r="110" spans="3:35" x14ac:dyDescent="0.2">
      <c r="C110" s="5"/>
      <c r="F110" s="5"/>
    </row>
    <row r="111" spans="3:35" x14ac:dyDescent="0.2">
      <c r="C111" s="5"/>
      <c r="F111" s="5"/>
    </row>
    <row r="112" spans="3:35" x14ac:dyDescent="0.2">
      <c r="C112" s="5"/>
      <c r="F112" s="5"/>
    </row>
    <row r="113" spans="3:6" x14ac:dyDescent="0.2">
      <c r="C113" s="5"/>
      <c r="F113" s="5"/>
    </row>
    <row r="114" spans="3:6" x14ac:dyDescent="0.2">
      <c r="C114" s="5"/>
      <c r="F114" s="5"/>
    </row>
    <row r="115" spans="3:6" x14ac:dyDescent="0.2">
      <c r="C115" s="5"/>
      <c r="F115" s="5"/>
    </row>
    <row r="116" spans="3:6" x14ac:dyDescent="0.2">
      <c r="C116" s="5"/>
      <c r="F116" s="5"/>
    </row>
    <row r="117" spans="3:6" x14ac:dyDescent="0.2">
      <c r="C117" s="5"/>
      <c r="F117" s="5"/>
    </row>
    <row r="118" spans="3:6" x14ac:dyDescent="0.2">
      <c r="C118" s="5"/>
      <c r="F118" s="5"/>
    </row>
    <row r="119" spans="3:6" x14ac:dyDescent="0.2">
      <c r="C119" s="5"/>
      <c r="F119" s="5"/>
    </row>
    <row r="120" spans="3:6" x14ac:dyDescent="0.2">
      <c r="C120" s="5"/>
      <c r="F120" s="5"/>
    </row>
    <row r="121" spans="3:6" x14ac:dyDescent="0.2">
      <c r="C121" s="5"/>
      <c r="F121" s="5"/>
    </row>
    <row r="122" spans="3:6" x14ac:dyDescent="0.2">
      <c r="C122" s="5"/>
      <c r="F122" s="5"/>
    </row>
    <row r="123" spans="3:6" x14ac:dyDescent="0.2">
      <c r="C123" s="5"/>
      <c r="F123" s="5"/>
    </row>
    <row r="124" spans="3:6" x14ac:dyDescent="0.2">
      <c r="C124" s="5"/>
      <c r="F124" s="5"/>
    </row>
    <row r="125" spans="3:6" x14ac:dyDescent="0.2">
      <c r="C125" s="5"/>
      <c r="F125" s="5"/>
    </row>
    <row r="126" spans="3:6" x14ac:dyDescent="0.2">
      <c r="C126" s="5"/>
      <c r="F126" s="5"/>
    </row>
    <row r="127" spans="3:6" x14ac:dyDescent="0.2">
      <c r="C127" s="5"/>
      <c r="F127" s="5"/>
    </row>
    <row r="128" spans="3:6" x14ac:dyDescent="0.2">
      <c r="C128" s="5"/>
      <c r="F128" s="5"/>
    </row>
    <row r="129" spans="3:6" x14ac:dyDescent="0.2">
      <c r="C129" s="5"/>
      <c r="F129" s="5"/>
    </row>
    <row r="130" spans="3:6" x14ac:dyDescent="0.2">
      <c r="C130" s="5"/>
      <c r="F130" s="5"/>
    </row>
    <row r="131" spans="3:6" x14ac:dyDescent="0.2">
      <c r="C131" s="5"/>
      <c r="F131" s="5"/>
    </row>
    <row r="132" spans="3:6" x14ac:dyDescent="0.2">
      <c r="F132" s="5"/>
    </row>
    <row r="133" spans="3:6" x14ac:dyDescent="0.2">
      <c r="F133" s="5"/>
    </row>
    <row r="134" spans="3:6" x14ac:dyDescent="0.2">
      <c r="F134" s="5"/>
    </row>
    <row r="135" spans="3:6" x14ac:dyDescent="0.2">
      <c r="F135" s="5"/>
    </row>
    <row r="136" spans="3:6" x14ac:dyDescent="0.2">
      <c r="F136" s="5"/>
    </row>
    <row r="137" spans="3:6" x14ac:dyDescent="0.2">
      <c r="F137" s="5"/>
    </row>
    <row r="138" spans="3:6" x14ac:dyDescent="0.2">
      <c r="F138" s="5"/>
    </row>
    <row r="139" spans="3:6" x14ac:dyDescent="0.2">
      <c r="F139" s="5"/>
    </row>
    <row r="140" spans="3:6" x14ac:dyDescent="0.2">
      <c r="F140" s="5"/>
    </row>
    <row r="141" spans="3:6" x14ac:dyDescent="0.2">
      <c r="F141" s="5"/>
    </row>
    <row r="142" spans="3:6" x14ac:dyDescent="0.2">
      <c r="F142" s="5"/>
    </row>
    <row r="143" spans="3:6" x14ac:dyDescent="0.2">
      <c r="F143" s="5"/>
    </row>
    <row r="144" spans="3:6" x14ac:dyDescent="0.2">
      <c r="F144" s="5"/>
    </row>
    <row r="145" spans="6:6" x14ac:dyDescent="0.2">
      <c r="F145" s="5"/>
    </row>
    <row r="146" spans="6:6" x14ac:dyDescent="0.2">
      <c r="F146" s="5"/>
    </row>
    <row r="147" spans="6:6" x14ac:dyDescent="0.2">
      <c r="F147" s="5"/>
    </row>
    <row r="148" spans="6:6" x14ac:dyDescent="0.2">
      <c r="F148" s="5"/>
    </row>
    <row r="149" spans="6:6" x14ac:dyDescent="0.2">
      <c r="F149" s="5"/>
    </row>
    <row r="150" spans="6:6" x14ac:dyDescent="0.2">
      <c r="F150" s="5"/>
    </row>
    <row r="151" spans="6:6" x14ac:dyDescent="0.2">
      <c r="F151" s="5"/>
    </row>
    <row r="152" spans="6:6" x14ac:dyDescent="0.2">
      <c r="F152" s="5"/>
    </row>
    <row r="153" spans="6:6" x14ac:dyDescent="0.2">
      <c r="F153" s="5"/>
    </row>
    <row r="154" spans="6:6" x14ac:dyDescent="0.2">
      <c r="F154" s="5"/>
    </row>
    <row r="155" spans="6:6" x14ac:dyDescent="0.2">
      <c r="F155" s="5"/>
    </row>
    <row r="156" spans="6:6" x14ac:dyDescent="0.2">
      <c r="F156" s="5"/>
    </row>
    <row r="157" spans="6:6" x14ac:dyDescent="0.2">
      <c r="F157" s="5"/>
    </row>
    <row r="158" spans="6:6" x14ac:dyDescent="0.2">
      <c r="F158" s="5"/>
    </row>
    <row r="159" spans="6:6" x14ac:dyDescent="0.2">
      <c r="F159" s="5"/>
    </row>
    <row r="160" spans="6:6" x14ac:dyDescent="0.2">
      <c r="F160" s="5"/>
    </row>
    <row r="161" spans="6:6" x14ac:dyDescent="0.2">
      <c r="F161" s="5"/>
    </row>
    <row r="162" spans="6:6" x14ac:dyDescent="0.2">
      <c r="F162" s="5"/>
    </row>
    <row r="163" spans="6:6" x14ac:dyDescent="0.2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5" defaultRowHeight="15" x14ac:dyDescent="0.2"/>
  <cols>
    <col min="1" max="1" width="6.83203125" style="71" bestFit="1" customWidth="1"/>
    <col min="2" max="4" width="11.5" style="71"/>
    <col min="5" max="5" width="9.5" style="71" customWidth="1"/>
    <col min="6" max="7" width="11.5" style="71"/>
    <col min="8" max="8" width="10.6640625" style="71" customWidth="1"/>
    <col min="9" max="9" width="9.5" style="71" customWidth="1"/>
    <col min="10" max="11" width="10.5" style="71" bestFit="1" customWidth="1"/>
    <col min="12" max="12" width="14" style="71" bestFit="1" customWidth="1"/>
    <col min="13" max="13" width="14" style="71" customWidth="1"/>
    <col min="14" max="23" width="11.5" style="71"/>
    <col min="24" max="24" width="11.6640625" style="71" bestFit="1" customWidth="1"/>
    <col min="25" max="25" width="14.5" style="71" bestFit="1" customWidth="1"/>
    <col min="26" max="26" width="12.5" style="71" bestFit="1" customWidth="1"/>
    <col min="27" max="27" width="9.6640625" style="71" bestFit="1" customWidth="1"/>
    <col min="28" max="28" width="11" style="71" bestFit="1" customWidth="1"/>
    <col min="29" max="29" width="9.5" style="71" bestFit="1" customWidth="1"/>
    <col min="30" max="31" width="9.5" style="71" customWidth="1"/>
    <col min="32" max="32" width="11.5" style="71"/>
    <col min="33" max="34" width="14" style="71" bestFit="1" customWidth="1"/>
    <col min="35" max="35" width="10.5" style="71" bestFit="1" customWidth="1"/>
    <col min="36" max="36" width="9.5" style="71" bestFit="1" customWidth="1"/>
    <col min="37" max="38" width="10.5" style="71" bestFit="1" customWidth="1"/>
    <col min="39" max="41" width="10.5" style="71" customWidth="1"/>
    <col min="42" max="42" width="9" style="71" bestFit="1" customWidth="1"/>
    <col min="43" max="43" width="10.5" style="71" bestFit="1" customWidth="1"/>
    <col min="44" max="44" width="9.33203125" style="71" bestFit="1" customWidth="1"/>
    <col min="45" max="45" width="11.6640625" style="71" bestFit="1" customWidth="1"/>
    <col min="46" max="46" width="8.5" style="71" bestFit="1" customWidth="1"/>
    <col min="47" max="47" width="9.5" style="71" bestFit="1" customWidth="1"/>
    <col min="48" max="48" width="9.6640625" style="71" bestFit="1" customWidth="1"/>
    <col min="49" max="49" width="11" style="71" bestFit="1" customWidth="1"/>
    <col min="50" max="50" width="9.5" style="71" bestFit="1" customWidth="1"/>
    <col min="51" max="52" width="9.5" style="71" customWidth="1"/>
    <col min="53" max="53" width="10.5" style="71" bestFit="1" customWidth="1"/>
    <col min="54" max="54" width="14.33203125" style="71" customWidth="1"/>
    <col min="55" max="55" width="14" style="71" customWidth="1"/>
    <col min="56" max="56" width="10.5" style="71" bestFit="1" customWidth="1"/>
    <col min="57" max="57" width="9.5" style="71" bestFit="1" customWidth="1"/>
    <col min="58" max="59" width="10.5" style="71" bestFit="1" customWidth="1"/>
    <col min="60" max="62" width="10.5" style="71" customWidth="1"/>
    <col min="63" max="63" width="9" style="71" bestFit="1" customWidth="1"/>
    <col min="64" max="64" width="10.5" style="71" bestFit="1" customWidth="1"/>
    <col min="65" max="65" width="9.33203125" style="71" bestFit="1" customWidth="1"/>
    <col min="66" max="66" width="11.6640625" style="71" bestFit="1" customWidth="1"/>
    <col min="67" max="67" width="8.5" style="71" bestFit="1" customWidth="1"/>
    <col min="68" max="68" width="9.5" style="71" bestFit="1" customWidth="1"/>
    <col min="69" max="69" width="9.6640625" style="71" bestFit="1" customWidth="1"/>
    <col min="70" max="70" width="11" style="71" bestFit="1" customWidth="1"/>
    <col min="71" max="71" width="9.5" style="71" bestFit="1" customWidth="1"/>
    <col min="72" max="73" width="9.5" style="71" customWidth="1"/>
    <col min="74" max="74" width="10.5" style="71" bestFit="1" customWidth="1"/>
    <col min="75" max="75" width="14" style="71" bestFit="1" customWidth="1"/>
    <col min="76" max="76" width="13.83203125" style="71" customWidth="1"/>
    <col min="77" max="77" width="10.5" style="71" bestFit="1" customWidth="1"/>
    <col min="78" max="78" width="9.5" style="71" bestFit="1" customWidth="1"/>
    <col min="79" max="80" width="10.5" style="71" bestFit="1" customWidth="1"/>
    <col min="81" max="83" width="10.5" style="71" customWidth="1"/>
    <col min="84" max="84" width="11.5" style="71"/>
    <col min="85" max="85" width="10.5" style="71" bestFit="1" customWidth="1"/>
    <col min="86" max="86" width="9.33203125" style="71" bestFit="1" customWidth="1"/>
    <col min="87" max="87" width="11.6640625" style="71" bestFit="1" customWidth="1"/>
    <col min="88" max="88" width="8.5" style="71" bestFit="1" customWidth="1"/>
    <col min="89" max="89" width="9.5" style="71" bestFit="1" customWidth="1"/>
    <col min="90" max="90" width="9.6640625" style="71" bestFit="1" customWidth="1"/>
    <col min="91" max="91" width="11" style="71" bestFit="1" customWidth="1"/>
    <col min="92" max="92" width="9.5" style="71" bestFit="1" customWidth="1"/>
    <col min="93" max="94" width="9.5" style="71" customWidth="1"/>
    <col min="95" max="95" width="11.5" style="71"/>
    <col min="96" max="97" width="14" style="71" customWidth="1"/>
    <col min="98" max="98" width="10.5" style="71" bestFit="1" customWidth="1"/>
    <col min="99" max="99" width="9.5" style="71" bestFit="1" customWidth="1"/>
    <col min="100" max="101" width="10.5" style="71" bestFit="1" customWidth="1"/>
    <col min="102" max="104" width="10.5" style="71" customWidth="1"/>
    <col min="105" max="105" width="9" style="71" bestFit="1" customWidth="1"/>
    <col min="106" max="106" width="10.5" style="71" bestFit="1" customWidth="1"/>
    <col min="107" max="107" width="9.33203125" style="71" bestFit="1" customWidth="1"/>
    <col min="108" max="108" width="11.6640625" style="71" bestFit="1" customWidth="1"/>
    <col min="109" max="109" width="8.5" style="71" bestFit="1" customWidth="1"/>
    <col min="110" max="110" width="9.5" style="71" bestFit="1" customWidth="1"/>
    <col min="111" max="111" width="9.6640625" style="71" bestFit="1" customWidth="1"/>
    <col min="112" max="112" width="11" style="71" bestFit="1" customWidth="1"/>
    <col min="113" max="113" width="9.5" style="71" bestFit="1" customWidth="1"/>
    <col min="114" max="115" width="9.5" style="71" customWidth="1"/>
    <col min="116" max="116" width="10.5" style="71" bestFit="1" customWidth="1"/>
    <col min="117" max="117" width="14.33203125" style="71" customWidth="1"/>
    <col min="118" max="118" width="14" style="71" bestFit="1" customWidth="1"/>
    <col min="119" max="119" width="10.5" style="71" bestFit="1" customWidth="1"/>
    <col min="120" max="120" width="9.5" style="71" bestFit="1" customWidth="1"/>
    <col min="121" max="122" width="10.5" style="71" bestFit="1" customWidth="1"/>
    <col min="123" max="125" width="10.5" style="71" customWidth="1"/>
    <col min="126" max="126" width="9" style="71" bestFit="1" customWidth="1"/>
    <col min="127" max="127" width="10.5" style="71" bestFit="1" customWidth="1"/>
    <col min="128" max="128" width="9.33203125" style="71" bestFit="1" customWidth="1"/>
    <col min="129" max="129" width="11.6640625" style="71" bestFit="1" customWidth="1"/>
    <col min="130" max="130" width="8.5" style="71" bestFit="1" customWidth="1"/>
    <col min="131" max="131" width="9.5" style="71" bestFit="1" customWidth="1"/>
    <col min="132" max="132" width="9.6640625" style="71" bestFit="1" customWidth="1"/>
    <col min="133" max="133" width="11" style="71" bestFit="1" customWidth="1"/>
    <col min="134" max="134" width="9.5" style="71" bestFit="1" customWidth="1"/>
    <col min="135" max="136" width="9.5" style="71" customWidth="1"/>
    <col min="137" max="137" width="10.5" style="71" bestFit="1" customWidth="1"/>
    <col min="138" max="139" width="14" style="71" customWidth="1"/>
    <col min="140" max="140" width="10.5" style="71" bestFit="1" customWidth="1"/>
    <col min="141" max="141" width="9.5" style="71" bestFit="1" customWidth="1"/>
    <col min="142" max="143" width="10.5" style="71" bestFit="1" customWidth="1"/>
    <col min="144" max="146" width="10.5" style="71" customWidth="1"/>
    <col min="147" max="147" width="9" style="71" bestFit="1" customWidth="1"/>
    <col min="148" max="148" width="10.5" style="71" bestFit="1" customWidth="1"/>
    <col min="149" max="149" width="9.33203125" style="71" bestFit="1" customWidth="1"/>
    <col min="150" max="150" width="11.6640625" style="71" bestFit="1" customWidth="1"/>
    <col min="151" max="151" width="8.5" style="71" bestFit="1" customWidth="1"/>
    <col min="152" max="152" width="9.5" style="71" bestFit="1" customWidth="1"/>
    <col min="153" max="153" width="9.6640625" style="71" bestFit="1" customWidth="1"/>
    <col min="154" max="154" width="11" style="71" bestFit="1" customWidth="1"/>
    <col min="155" max="155" width="9.5" style="71" bestFit="1" customWidth="1"/>
    <col min="156" max="157" width="9.5" style="71" customWidth="1"/>
    <col min="158" max="158" width="11.5" style="71"/>
    <col min="159" max="160" width="14" style="71" bestFit="1" customWidth="1"/>
    <col min="161" max="161" width="10.5" style="71" bestFit="1" customWidth="1"/>
    <col min="162" max="162" width="9.5" style="71" bestFit="1" customWidth="1"/>
    <col min="163" max="164" width="10.5" style="71" bestFit="1" customWidth="1"/>
    <col min="165" max="167" width="10.5" style="71" customWidth="1"/>
    <col min="168" max="168" width="9" style="71" bestFit="1" customWidth="1"/>
    <col min="169" max="169" width="10.5" style="71" bestFit="1" customWidth="1"/>
    <col min="170" max="170" width="9.33203125" style="71" bestFit="1" customWidth="1"/>
    <col min="171" max="171" width="11.6640625" style="71" bestFit="1" customWidth="1"/>
    <col min="172" max="172" width="8.1640625" style="71" bestFit="1" customWidth="1"/>
    <col min="173" max="173" width="9.5" style="71" bestFit="1" customWidth="1"/>
    <col min="174" max="174" width="9.6640625" style="71" bestFit="1" customWidth="1"/>
    <col min="175" max="175" width="11" style="71" bestFit="1" customWidth="1"/>
    <col min="176" max="176" width="9.5" style="71" bestFit="1" customWidth="1"/>
    <col min="177" max="178" width="9.5" style="71" customWidth="1"/>
    <col min="179" max="179" width="10.5" style="71" bestFit="1" customWidth="1"/>
    <col min="180" max="181" width="14" style="71" bestFit="1" customWidth="1"/>
    <col min="182" max="182" width="10.5" style="71" bestFit="1" customWidth="1"/>
    <col min="183" max="183" width="9.5" style="71" bestFit="1" customWidth="1"/>
    <col min="184" max="185" width="10.5" style="71" bestFit="1" customWidth="1"/>
    <col min="186" max="188" width="10.5" style="71" customWidth="1"/>
    <col min="189" max="189" width="9" style="71" bestFit="1" customWidth="1"/>
    <col min="190" max="190" width="10.5" style="71" bestFit="1" customWidth="1"/>
    <col min="191" max="191" width="9.33203125" style="71" bestFit="1" customWidth="1"/>
    <col min="192" max="192" width="11.5" style="71"/>
    <col min="193" max="193" width="8.5" style="71" bestFit="1" customWidth="1"/>
    <col min="194" max="194" width="9.5" style="71" bestFit="1" customWidth="1"/>
    <col min="195" max="195" width="9.6640625" style="71" bestFit="1" customWidth="1"/>
    <col min="196" max="196" width="11" style="71" bestFit="1" customWidth="1"/>
    <col min="197" max="197" width="9.5" style="71" bestFit="1" customWidth="1"/>
    <col min="198" max="199" width="9.5" style="71" customWidth="1"/>
    <col min="200" max="200" width="10.5" style="71" bestFit="1" customWidth="1"/>
    <col min="201" max="201" width="14" style="71" customWidth="1"/>
    <col min="202" max="202" width="14.33203125" style="71" customWidth="1"/>
    <col min="203" max="203" width="10.5" style="71" bestFit="1" customWidth="1"/>
    <col min="204" max="204" width="9.5" style="71" bestFit="1" customWidth="1"/>
    <col min="205" max="206" width="10.5" style="71" bestFit="1" customWidth="1"/>
    <col min="207" max="209" width="10.5" style="71" customWidth="1"/>
    <col min="210" max="210" width="9" style="71" bestFit="1" customWidth="1"/>
    <col min="211" max="211" width="10.5" style="71" bestFit="1" customWidth="1"/>
    <col min="212" max="212" width="9.33203125" style="71" bestFit="1" customWidth="1"/>
    <col min="213" max="213" width="11.6640625" style="71" bestFit="1" customWidth="1"/>
    <col min="214" max="214" width="8.5" style="71" bestFit="1" customWidth="1"/>
    <col min="215" max="215" width="9.5" style="71" bestFit="1" customWidth="1"/>
    <col min="216" max="216" width="9.6640625" style="71" bestFit="1" customWidth="1"/>
    <col min="217" max="217" width="11" style="71" bestFit="1" customWidth="1"/>
    <col min="218" max="218" width="9.5" style="71" bestFit="1" customWidth="1"/>
    <col min="219" max="16384" width="11.5" style="71"/>
  </cols>
  <sheetData>
    <row r="1" spans="1:218" s="5" customFormat="1" ht="27" thickBot="1" x14ac:dyDescent="0.35">
      <c r="B1" s="313" t="s">
        <v>176</v>
      </c>
      <c r="C1" s="314"/>
      <c r="D1" s="314"/>
      <c r="E1" s="314"/>
      <c r="F1" s="314"/>
      <c r="G1" s="314"/>
      <c r="H1" s="315"/>
      <c r="I1" s="310" t="str">
        <f>IF('Données projet'!$B$9="","",'Données projet'!$B$9)</f>
        <v>Pin taeda</v>
      </c>
      <c r="J1" s="311"/>
      <c r="K1" s="311"/>
      <c r="L1" s="311"/>
      <c r="M1" s="311"/>
      <c r="N1" s="311"/>
      <c r="O1" s="311"/>
      <c r="P1" s="311"/>
      <c r="Q1" s="311"/>
      <c r="R1" s="311"/>
      <c r="S1" s="311"/>
      <c r="T1" s="311"/>
      <c r="U1" s="311"/>
      <c r="V1" s="311"/>
      <c r="W1" s="311"/>
      <c r="X1" s="311"/>
      <c r="Y1" s="311"/>
      <c r="Z1" s="311"/>
      <c r="AA1" s="311"/>
      <c r="AB1" s="311"/>
      <c r="AC1" s="312"/>
      <c r="AD1" s="311" t="str">
        <f>IF('Données projet'!$B$10="","",'Données projet'!$B$10)</f>
        <v>Peuplier Koster</v>
      </c>
      <c r="AE1" s="311"/>
      <c r="AF1" s="311"/>
      <c r="AG1" s="311"/>
      <c r="AH1" s="311"/>
      <c r="AI1" s="311"/>
      <c r="AJ1" s="311"/>
      <c r="AK1" s="311"/>
      <c r="AL1" s="311"/>
      <c r="AM1" s="311"/>
      <c r="AN1" s="311"/>
      <c r="AO1" s="311"/>
      <c r="AP1" s="311"/>
      <c r="AQ1" s="311"/>
      <c r="AR1" s="311"/>
      <c r="AS1" s="311"/>
      <c r="AT1" s="311"/>
      <c r="AU1" s="311"/>
      <c r="AV1" s="311"/>
      <c r="AW1" s="311"/>
      <c r="AX1" s="312"/>
      <c r="AY1" s="310" t="str">
        <f>IF('Données projet'!$B$11="","",'Données projet'!$B$11)</f>
        <v/>
      </c>
      <c r="AZ1" s="311"/>
      <c r="BA1" s="311"/>
      <c r="BB1" s="311"/>
      <c r="BC1" s="311"/>
      <c r="BD1" s="311"/>
      <c r="BE1" s="311"/>
      <c r="BF1" s="311"/>
      <c r="BG1" s="311"/>
      <c r="BH1" s="311"/>
      <c r="BI1" s="311"/>
      <c r="BJ1" s="311"/>
      <c r="BK1" s="311"/>
      <c r="BL1" s="311"/>
      <c r="BM1" s="311"/>
      <c r="BN1" s="311"/>
      <c r="BO1" s="311"/>
      <c r="BP1" s="311"/>
      <c r="BQ1" s="311"/>
      <c r="BR1" s="311"/>
      <c r="BS1" s="312"/>
      <c r="BT1" s="310" t="str">
        <f>IF('Données projet'!$B$12="","",'Données projet'!$B$12)</f>
        <v/>
      </c>
      <c r="BU1" s="311"/>
      <c r="BV1" s="311"/>
      <c r="BW1" s="311"/>
      <c r="BX1" s="311"/>
      <c r="BY1" s="311"/>
      <c r="BZ1" s="311"/>
      <c r="CA1" s="311"/>
      <c r="CB1" s="311"/>
      <c r="CC1" s="311"/>
      <c r="CD1" s="311"/>
      <c r="CE1" s="311"/>
      <c r="CF1" s="311"/>
      <c r="CG1" s="311"/>
      <c r="CH1" s="311"/>
      <c r="CI1" s="311"/>
      <c r="CJ1" s="311"/>
      <c r="CK1" s="311"/>
      <c r="CL1" s="311"/>
      <c r="CM1" s="311"/>
      <c r="CN1" s="312"/>
      <c r="CO1" s="310" t="str">
        <f>IF('Données projet'!$B$13="","",'Données projet'!$B$13)</f>
        <v/>
      </c>
      <c r="CP1" s="311"/>
      <c r="CQ1" s="311"/>
      <c r="CR1" s="311"/>
      <c r="CS1" s="311"/>
      <c r="CT1" s="311"/>
      <c r="CU1" s="311"/>
      <c r="CV1" s="311"/>
      <c r="CW1" s="311"/>
      <c r="CX1" s="311"/>
      <c r="CY1" s="311"/>
      <c r="CZ1" s="311"/>
      <c r="DA1" s="311"/>
      <c r="DB1" s="311"/>
      <c r="DC1" s="311"/>
      <c r="DD1" s="311"/>
      <c r="DE1" s="311"/>
      <c r="DF1" s="311"/>
      <c r="DG1" s="311"/>
      <c r="DH1" s="311"/>
      <c r="DI1" s="312"/>
      <c r="DJ1" s="310" t="str">
        <f>IF('Données projet'!$B$14="","",'Données projet'!$B$14)</f>
        <v/>
      </c>
      <c r="DK1" s="311"/>
      <c r="DL1" s="311"/>
      <c r="DM1" s="311"/>
      <c r="DN1" s="311"/>
      <c r="DO1" s="311"/>
      <c r="DP1" s="311"/>
      <c r="DQ1" s="311"/>
      <c r="DR1" s="311"/>
      <c r="DS1" s="311"/>
      <c r="DT1" s="311"/>
      <c r="DU1" s="311"/>
      <c r="DV1" s="311"/>
      <c r="DW1" s="311"/>
      <c r="DX1" s="311"/>
      <c r="DY1" s="311"/>
      <c r="DZ1" s="311"/>
      <c r="EA1" s="311"/>
      <c r="EB1" s="311"/>
      <c r="EC1" s="311"/>
      <c r="ED1" s="312"/>
      <c r="EE1" s="310" t="str">
        <f>IF('Données projet'!$B$15="","",'Données projet'!$B$15)</f>
        <v/>
      </c>
      <c r="EF1" s="311"/>
      <c r="EG1" s="311"/>
      <c r="EH1" s="311"/>
      <c r="EI1" s="311"/>
      <c r="EJ1" s="311"/>
      <c r="EK1" s="311"/>
      <c r="EL1" s="311"/>
      <c r="EM1" s="311"/>
      <c r="EN1" s="311"/>
      <c r="EO1" s="311"/>
      <c r="EP1" s="311"/>
      <c r="EQ1" s="311"/>
      <c r="ER1" s="311"/>
      <c r="ES1" s="311"/>
      <c r="ET1" s="311"/>
      <c r="EU1" s="311"/>
      <c r="EV1" s="311"/>
      <c r="EW1" s="311"/>
      <c r="EX1" s="311"/>
      <c r="EY1" s="312"/>
      <c r="EZ1" s="310" t="str">
        <f>IF('Données projet'!$B$16="","",'Données projet'!$B$16)</f>
        <v/>
      </c>
      <c r="FA1" s="311"/>
      <c r="FB1" s="311"/>
      <c r="FC1" s="311"/>
      <c r="FD1" s="311"/>
      <c r="FE1" s="311"/>
      <c r="FF1" s="311"/>
      <c r="FG1" s="311"/>
      <c r="FH1" s="311"/>
      <c r="FI1" s="311"/>
      <c r="FJ1" s="311"/>
      <c r="FK1" s="311"/>
      <c r="FL1" s="311"/>
      <c r="FM1" s="311"/>
      <c r="FN1" s="311"/>
      <c r="FO1" s="311"/>
      <c r="FP1" s="311"/>
      <c r="FQ1" s="311"/>
      <c r="FR1" s="311"/>
      <c r="FS1" s="311"/>
      <c r="FT1" s="312"/>
      <c r="FU1" s="310" t="str">
        <f>IF('Données projet'!$B$17="","",'Données projet'!$B$17)</f>
        <v/>
      </c>
      <c r="FV1" s="311"/>
      <c r="FW1" s="311"/>
      <c r="FX1" s="311"/>
      <c r="FY1" s="311"/>
      <c r="FZ1" s="311"/>
      <c r="GA1" s="311"/>
      <c r="GB1" s="311"/>
      <c r="GC1" s="311"/>
      <c r="GD1" s="311"/>
      <c r="GE1" s="311"/>
      <c r="GF1" s="311"/>
      <c r="GG1" s="311"/>
      <c r="GH1" s="311"/>
      <c r="GI1" s="311"/>
      <c r="GJ1" s="311"/>
      <c r="GK1" s="311"/>
      <c r="GL1" s="311"/>
      <c r="GM1" s="311"/>
      <c r="GN1" s="311"/>
      <c r="GO1" s="312"/>
      <c r="GP1" s="310" t="str">
        <f>IF('Données projet'!$B$18="","",'Données projet'!$B$18)</f>
        <v/>
      </c>
      <c r="GQ1" s="311"/>
      <c r="GR1" s="311"/>
      <c r="GS1" s="311"/>
      <c r="GT1" s="311"/>
      <c r="GU1" s="311"/>
      <c r="GV1" s="311"/>
      <c r="GW1" s="311"/>
      <c r="GX1" s="311"/>
      <c r="GY1" s="311"/>
      <c r="GZ1" s="311"/>
      <c r="HA1" s="311"/>
      <c r="HB1" s="311"/>
      <c r="HC1" s="311"/>
      <c r="HD1" s="311"/>
      <c r="HE1" s="311"/>
      <c r="HF1" s="311"/>
      <c r="HG1" s="311"/>
      <c r="HH1" s="311"/>
      <c r="HI1" s="311"/>
      <c r="HJ1" s="312"/>
    </row>
    <row r="2" spans="1:218" s="5" customFormat="1" ht="65" thickBot="1" x14ac:dyDescent="0.2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287.52077437571728</v>
      </c>
      <c r="T3" s="62">
        <f>IF('Données projet'!E9&gt;30,$R$33-$H$33,LOOKUP('Données projet'!$E$9,$A$3:$A$203,R3:R203)-LOOKUP('Données projet'!$E$9,$A$3:$A$203,$H$3:$H$203))</f>
        <v>420.95891230839874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225.24357215754691</v>
      </c>
      <c r="AO3" s="62">
        <f>IF('Données projet'!E10&gt;30,$AM$33-$H$33,LOOKUP('Données projet'!$E$10,$A$3:$A$203,AM3:AM203)-LOOKUP('Données projet'!$E$10,$A$3:$A$203,$H$3:$H$203))</f>
        <v>569.2018208733989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7.7271428571428578</v>
      </c>
      <c r="N4" s="14">
        <f>IF('Données projet'!$A$36&gt;35,N3+M4-V3,IF(A4&lt;'Données projet'!$A$36,$K$205^A4,IF(A4='Données projet'!$A$36,'Données projet'!$B$36,N3+M4-V3)))</f>
        <v>1.3973210857138749</v>
      </c>
      <c r="O4" s="14">
        <f>N4*VLOOKUP('Données projet'!$B$9,Paramètres!$A$1:$I$89,3,0)*VLOOKUP('Données projet'!$B$9,Paramètres!$A$1:$I$89,5,0)</f>
        <v>0.83559800925689731</v>
      </c>
      <c r="P4" s="14">
        <f>EXP(-1.0587+0.8836*LN(O4)+0.284)</f>
        <v>0.39321399318577704</v>
      </c>
      <c r="Q4" s="22">
        <f t="shared" ref="Q4:Q34" si="2">(O4+P4)*0.475*44/12</f>
        <v>2.1401809042543243</v>
      </c>
      <c r="R4" s="62">
        <f t="shared" si="0"/>
        <v>260.02906979314321</v>
      </c>
      <c r="S4" s="62">
        <f ca="1">AVERAGE(OFFSET($R$3,0,0,'Données projet'!$E$9+1,1))-AVERAGE(OFFSET($H$3,0,0,'Données projet'!$E$9+1,1))</f>
        <v>287.52077437571728</v>
      </c>
      <c r="T4" s="62">
        <f>$T$3</f>
        <v>420.95891230839874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0.83333333333333337</v>
      </c>
      <c r="AI4" s="14">
        <f>IF('Données projet'!$A$62&gt;35,AI3+AH4-AQ3,IF(A4&lt;'Données projet'!$A$62,$AF$205^A4,IF(A4='Données projet'!$A$62,'Données projet'!$B$62,AI3+AH4-AQ3)))</f>
        <v>1.3076604860118306</v>
      </c>
      <c r="AJ4" s="14">
        <f>AI4*VLOOKUP('Données projet'!$B$10,Paramètres!$A$1:$I$89,3,0)*VLOOKUP('Données projet'!$B$10,Paramètres!$A$1:$I$89,5,0)</f>
        <v>0.66502381676617661</v>
      </c>
      <c r="AK4" s="14">
        <f>EXP(-1.0587+0.8836*LN(AJ4)+0.284)</f>
        <v>0.32137420405179057</v>
      </c>
      <c r="AL4" s="22">
        <f t="shared" ref="AL4:AL67" si="4">(AJ4+AK4)*0.475*44/12</f>
        <v>1.717976552924626</v>
      </c>
      <c r="AM4" s="62">
        <f t="shared" ref="AM4:AM67" si="5">AL4+(AD4+AE4)*44/12</f>
        <v>259.60686544181351</v>
      </c>
      <c r="AN4" s="62">
        <f ca="1">AVERAGE(OFFSET($AM$3,0,0,'Données projet'!$E$10+1,1))-AVERAGE(OFFSET($H$3,0,0,'Données projet'!$E$10+1,1))</f>
        <v>225.24357215754691</v>
      </c>
      <c r="AO4" s="62">
        <f>$AO$3</f>
        <v>569.2018208733989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7.7271428571428578</v>
      </c>
      <c r="N5" s="14">
        <f>IF('Données projet'!$A$36&gt;35,N4+M5-V4,IF(A5&lt;'Données projet'!$A$36,$K$205^A5,IF(A5='Données projet'!$A$36,'Données projet'!$B$36,N4+M5-V4)))</f>
        <v>1.9525062165806022</v>
      </c>
      <c r="O5" s="14">
        <f>N5*VLOOKUP('Données projet'!$B$9,Paramètres!$A$1:$I$89,3,0)*VLOOKUP('Données projet'!$B$9,Paramètres!$A$1:$I$89,5,0)</f>
        <v>1.1675987175152003</v>
      </c>
      <c r="P5" s="14">
        <f t="shared" ref="P5:P68" si="33">EXP(-1.0587+0.8836*LN(O5)+0.284)</f>
        <v>0.52846070284819757</v>
      </c>
      <c r="Q5" s="22">
        <f t="shared" si="2"/>
        <v>2.9539701571329178</v>
      </c>
      <c r="R5" s="62">
        <f t="shared" si="0"/>
        <v>262.06508126824406</v>
      </c>
      <c r="S5" s="62">
        <f ca="1">AVERAGE(OFFSET($R$3,0,0,'Données projet'!$E$9+1,1))-AVERAGE(OFFSET($H$3,0,0,'Données projet'!$E$9+1,1))</f>
        <v>287.52077437571728</v>
      </c>
      <c r="T5" s="62">
        <f t="shared" ref="T5:T68" si="34">$T$3</f>
        <v>420.95891230839874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0.83333333333333337</v>
      </c>
      <c r="AI5" s="14">
        <f>IF('Données projet'!$A$62&gt;35,AI4+AH5-AQ4,IF(A5&lt;'Données projet'!$A$62,$AF$205^A5,IF(A5='Données projet'!$A$62,'Données projet'!$B$62,AI4+AH5-AQ4)))</f>
        <v>1.7099759466766971</v>
      </c>
      <c r="AJ5" s="14">
        <f>AI5*VLOOKUP('Données projet'!$B$10,Paramètres!$A$1:$I$89,3,0)*VLOOKUP('Données projet'!$B$10,Paramètres!$A$1:$I$89,5,0)</f>
        <v>0.86962536744190111</v>
      </c>
      <c r="AK5" s="14">
        <f t="shared" ref="AK5:AK68" si="35">EXP(-1.0587+0.8836*LN(AJ5)+0.284)</f>
        <v>0.4073296243336133</v>
      </c>
      <c r="AL5" s="22">
        <f t="shared" si="4"/>
        <v>2.2240299440090214</v>
      </c>
      <c r="AM5" s="62">
        <f t="shared" si="5"/>
        <v>261.33514105512018</v>
      </c>
      <c r="AN5" s="62">
        <f ca="1">AVERAGE(OFFSET($AM$3,0,0,'Données projet'!$E$10+1,1))-AVERAGE(OFFSET($H$3,0,0,'Données projet'!$E$10+1,1))</f>
        <v>225.24357215754691</v>
      </c>
      <c r="AO5" s="62">
        <f t="shared" ref="AO5:AO68" si="36">$AO$3</f>
        <v>569.2018208733989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7.7271428571428578</v>
      </c>
      <c r="N6" s="14">
        <f>IF('Données projet'!$A$36&gt;35,N5+M6-V5,IF(A6&lt;'Données projet'!$A$36,$K$205^A6,IF(A6='Données projet'!$A$36,'Données projet'!$B$36,N5+M6-V5)))</f>
        <v>2.7282781064154973</v>
      </c>
      <c r="O6" s="14">
        <f>N6*VLOOKUP('Données projet'!$B$9,Paramètres!$A$1:$I$89,3,0)*VLOOKUP('Données projet'!$B$9,Paramètres!$A$1:$I$89,5,0)</f>
        <v>1.6315103076364676</v>
      </c>
      <c r="P6" s="14">
        <f t="shared" si="33"/>
        <v>0.71022577856955182</v>
      </c>
      <c r="Q6" s="22">
        <f t="shared" si="2"/>
        <v>4.0785236834754839</v>
      </c>
      <c r="R6" s="62">
        <f t="shared" si="0"/>
        <v>264.41185701680882</v>
      </c>
      <c r="S6" s="62">
        <f ca="1">AVERAGE(OFFSET($R$3,0,0,'Données projet'!$E$9+1,1))-AVERAGE(OFFSET($H$3,0,0,'Données projet'!$E$9+1,1))</f>
        <v>287.52077437571728</v>
      </c>
      <c r="T6" s="62">
        <f t="shared" si="34"/>
        <v>420.95891230839874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0.83333333333333337</v>
      </c>
      <c r="AI6" s="14">
        <f>IF('Données projet'!$A$62&gt;35,AI5+AH6-AQ5,IF(A6&lt;'Données projet'!$A$62,$AF$205^A6,IF(A6='Données projet'!$A$62,'Données projet'!$B$62,AI5+AH6-AQ5)))</f>
        <v>2.2360679774997898</v>
      </c>
      <c r="AJ6" s="14">
        <f>AI6*VLOOKUP('Données projet'!$B$10,Paramètres!$A$1:$I$89,3,0)*VLOOKUP('Données projet'!$B$10,Paramètres!$A$1:$I$89,5,0)</f>
        <v>1.137174730637293</v>
      </c>
      <c r="AK6" s="14">
        <f t="shared" si="35"/>
        <v>0.51627486203909612</v>
      </c>
      <c r="AL6" s="22">
        <f t="shared" si="4"/>
        <v>2.8797580405780443</v>
      </c>
      <c r="AM6" s="62">
        <f t="shared" si="5"/>
        <v>263.21309137391137</v>
      </c>
      <c r="AN6" s="62">
        <f ca="1">AVERAGE(OFFSET($AM$3,0,0,'Données projet'!$E$10+1,1))-AVERAGE(OFFSET($H$3,0,0,'Données projet'!$E$10+1,1))</f>
        <v>225.24357215754691</v>
      </c>
      <c r="AO6" s="62">
        <f t="shared" si="36"/>
        <v>569.2018208733989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7.7271428571428578</v>
      </c>
      <c r="N7" s="14">
        <f>IF('Données projet'!$A$36&gt;35,N6+M7-V6,IF(A7&lt;'Données projet'!$A$36,$K$205^A7,IF(A7='Données projet'!$A$36,'Données projet'!$B$36,N6+M7-V6)))</f>
        <v>3.8122805257858974</v>
      </c>
      <c r="O7" s="14">
        <f>N7*VLOOKUP('Données projet'!$B$9,Paramètres!$A$1:$I$89,3,0)*VLOOKUP('Données projet'!$B$9,Paramètres!$A$1:$I$89,5,0)</f>
        <v>2.2797437544199668</v>
      </c>
      <c r="P7" s="14">
        <f t="shared" si="33"/>
        <v>0.95450930187636462</v>
      </c>
      <c r="Q7" s="22">
        <f t="shared" si="2"/>
        <v>5.632990739716111</v>
      </c>
      <c r="R7" s="62">
        <f t="shared" si="0"/>
        <v>267.18854629527164</v>
      </c>
      <c r="S7" s="62">
        <f ca="1">AVERAGE(OFFSET($R$3,0,0,'Données projet'!$E$9+1,1))-AVERAGE(OFFSET($H$3,0,0,'Données projet'!$E$9+1,1))</f>
        <v>287.52077437571728</v>
      </c>
      <c r="T7" s="62">
        <f t="shared" si="34"/>
        <v>420.95891230839874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0.83333333333333337</v>
      </c>
      <c r="AI7" s="14">
        <f>IF('Données projet'!$A$62&gt;35,AI6+AH7-AQ6,IF(A7&lt;'Données projet'!$A$62,$AF$205^A7,IF(A7='Données projet'!$A$62,'Données projet'!$B$62,AI6+AH7-AQ6)))</f>
        <v>2.9240177382128665</v>
      </c>
      <c r="AJ7" s="14">
        <f>AI7*VLOOKUP('Données projet'!$B$10,Paramètres!$A$1:$I$89,3,0)*VLOOKUP('Données projet'!$B$10,Paramètres!$A$1:$I$89,5,0)</f>
        <v>1.4870384609455356</v>
      </c>
      <c r="AK7" s="14">
        <f t="shared" si="35"/>
        <v>0.65435882207080776</v>
      </c>
      <c r="AL7" s="22">
        <f t="shared" si="4"/>
        <v>3.7296002679201314</v>
      </c>
      <c r="AM7" s="62">
        <f t="shared" si="5"/>
        <v>265.28515582347569</v>
      </c>
      <c r="AN7" s="62">
        <f ca="1">AVERAGE(OFFSET($AM$3,0,0,'Données projet'!$E$10+1,1))-AVERAGE(OFFSET($H$3,0,0,'Données projet'!$E$10+1,1))</f>
        <v>225.24357215754691</v>
      </c>
      <c r="AO7" s="62">
        <f t="shared" si="36"/>
        <v>569.2018208733989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7.7271428571428578</v>
      </c>
      <c r="N8" s="14">
        <f>IF('Données projet'!$A$36&gt;35,N7+M8-V7,IF(A8&lt;'Données projet'!$A$36,$K$205^A8,IF(A8='Données projet'!$A$36,'Données projet'!$B$36,N7+M8-V7)))</f>
        <v>5.3269799633370116</v>
      </c>
      <c r="O8" s="14">
        <f>N8*VLOOKUP('Données projet'!$B$9,Paramètres!$A$1:$I$89,3,0)*VLOOKUP('Données projet'!$B$9,Paramètres!$A$1:$I$89,5,0)</f>
        <v>3.1855340180755332</v>
      </c>
      <c r="P8" s="14">
        <f t="shared" si="33"/>
        <v>1.2828146131269762</v>
      </c>
      <c r="Q8" s="22">
        <f t="shared" si="2"/>
        <v>7.7823738660110378</v>
      </c>
      <c r="R8" s="62">
        <f t="shared" si="0"/>
        <v>270.5601516437888</v>
      </c>
      <c r="S8" s="62">
        <f ca="1">AVERAGE(OFFSET($R$3,0,0,'Données projet'!$E$9+1,1))-AVERAGE(OFFSET($H$3,0,0,'Données projet'!$E$9+1,1))</f>
        <v>287.52077437571728</v>
      </c>
      <c r="T8" s="62">
        <f t="shared" si="34"/>
        <v>420.95891230839874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0.83333333333333337</v>
      </c>
      <c r="AI8" s="14">
        <f>IF('Données projet'!$A$62&gt;35,AI7+AH8-AQ7,IF(A8&lt;'Données projet'!$A$62,$AF$205^A8,IF(A8='Données projet'!$A$62,'Données projet'!$B$62,AI7+AH8-AQ7)))</f>
        <v>3.8236224566586507</v>
      </c>
      <c r="AJ8" s="14">
        <f>AI8*VLOOKUP('Données projet'!$B$10,Paramètres!$A$1:$I$89,3,0)*VLOOKUP('Données projet'!$B$10,Paramètres!$A$1:$I$89,5,0)</f>
        <v>1.9445414365583238</v>
      </c>
      <c r="AK8" s="14">
        <f t="shared" si="35"/>
        <v>0.82937500836418721</v>
      </c>
      <c r="AL8" s="22">
        <f t="shared" si="4"/>
        <v>4.83123780824004</v>
      </c>
      <c r="AM8" s="62">
        <f t="shared" si="5"/>
        <v>267.60901558601779</v>
      </c>
      <c r="AN8" s="62">
        <f ca="1">AVERAGE(OFFSET($AM$3,0,0,'Données projet'!$E$10+1,1))-AVERAGE(OFFSET($H$3,0,0,'Données projet'!$E$10+1,1))</f>
        <v>225.24357215754691</v>
      </c>
      <c r="AO8" s="62">
        <f t="shared" si="36"/>
        <v>569.2018208733989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7.7271428571428578</v>
      </c>
      <c r="N9" s="14">
        <f>IF('Données projet'!$A$36&gt;35,N8+M9-V8,IF(A9&lt;'Données projet'!$A$36,$K$205^A9,IF(A9='Données projet'!$A$36,'Données projet'!$B$36,N8+M9-V8)))</f>
        <v>7.4435014259461312</v>
      </c>
      <c r="O9" s="14">
        <f>N9*VLOOKUP('Données projet'!$B$9,Paramètres!$A$1:$I$89,3,0)*VLOOKUP('Données projet'!$B$9,Paramètres!$A$1:$I$89,5,0)</f>
        <v>4.451213852715787</v>
      </c>
      <c r="P9" s="14">
        <f t="shared" si="33"/>
        <v>1.7240411679772885</v>
      </c>
      <c r="Q9" s="22">
        <f t="shared" si="2"/>
        <v>10.755235827707105</v>
      </c>
      <c r="R9" s="62">
        <f t="shared" si="0"/>
        <v>274.75523582770711</v>
      </c>
      <c r="S9" s="62">
        <f ca="1">AVERAGE(OFFSET($R$3,0,0,'Données projet'!$E$9+1,1))-AVERAGE(OFFSET($H$3,0,0,'Données projet'!$E$9+1,1))</f>
        <v>287.52077437571728</v>
      </c>
      <c r="T9" s="62">
        <f t="shared" si="34"/>
        <v>420.95891230839874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>
        <f>VLOOKUP(A9,'Données projet'!$A$61:$I$81,2,0)</f>
        <v>5</v>
      </c>
      <c r="AG9" s="13">
        <f>VLOOKUP(A9,'Données projet'!$A$61:$I$81,9,0)</f>
        <v>0.83333333333333337</v>
      </c>
      <c r="AH9" s="13">
        <f t="array" ref="AH9">INDEX(AG:AG,MIN(IF(ISNUMBER(AG9:AG205),ROW(AG9:AG205),"")))</f>
        <v>0.83333333333333337</v>
      </c>
      <c r="AI9" s="14">
        <f>IF('Données projet'!$A$62&gt;35,AI8+AH9-AQ8,IF(A9&lt;'Données projet'!$A$62,$AF$205^A9,IF(A9='Données projet'!$A$62,'Données projet'!$B$62,AI8+AH9-AQ8)))</f>
        <v>5</v>
      </c>
      <c r="AJ9" s="14">
        <f>AI9*VLOOKUP('Données projet'!$B$10,Paramètres!$A$1:$I$89,3,0)*VLOOKUP('Données projet'!$B$10,Paramètres!$A$1:$I$89,5,0)</f>
        <v>2.5428000000000002</v>
      </c>
      <c r="AK9" s="14">
        <f t="shared" si="35"/>
        <v>1.0512013918025274</v>
      </c>
      <c r="AL9" s="22">
        <f t="shared" si="4"/>
        <v>6.2595524240560687</v>
      </c>
      <c r="AM9" s="62">
        <f t="shared" si="5"/>
        <v>270.2595524240561</v>
      </c>
      <c r="AN9" s="62">
        <f ca="1">AVERAGE(OFFSET($AM$3,0,0,'Données projet'!$E$10+1,1))-AVERAGE(OFFSET($H$3,0,0,'Données projet'!$E$10+1,1))</f>
        <v>225.24357215754691</v>
      </c>
      <c r="AO9" s="62">
        <f t="shared" si="36"/>
        <v>569.2018208733989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0.28199999999999997</v>
      </c>
      <c r="AS9" s="17">
        <f>IF(ISNA(VLOOKUP(A9,'Données projet'!$A$61:$I$81,6,0)),0%,VLOOKUP(A9,'Données projet'!$A$61:$I$81,6,0)*VLOOKUP('Données projet'!$B$10,Paramètres!$A$1:$I$89,7,0))</f>
        <v>0.126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7.7271428571428578</v>
      </c>
      <c r="N10" s="14">
        <f>IF('Données projet'!$A$36&gt;35,N9+M10-V9,IF(A10&lt;'Données projet'!$A$36,$K$205^A10,IF(A10='Données projet'!$A$36,'Données projet'!$B$36,N9+M10-V9)))</f>
        <v>10.400961494015824</v>
      </c>
      <c r="O10" s="14">
        <f>N10*VLOOKUP('Données projet'!$B$9,Paramètres!$A$1:$I$89,3,0)*VLOOKUP('Données projet'!$B$9,Paramètres!$A$1:$I$89,5,0)</f>
        <v>6.2197749734214636</v>
      </c>
      <c r="P10" s="14">
        <f t="shared" si="33"/>
        <v>2.3170284454705419</v>
      </c>
      <c r="Q10" s="22">
        <f t="shared" si="2"/>
        <v>14.868265954570242</v>
      </c>
      <c r="R10" s="62">
        <f t="shared" si="0"/>
        <v>280.09048817679246</v>
      </c>
      <c r="S10" s="62">
        <f ca="1">AVERAGE(OFFSET($R$3,0,0,'Données projet'!$E$9+1,1))-AVERAGE(OFFSET($H$3,0,0,'Données projet'!$E$9+1,1))</f>
        <v>287.52077437571728</v>
      </c>
      <c r="T10" s="62">
        <f t="shared" si="34"/>
        <v>420.95891230839874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>
        <f>VLOOKUP(A10,'Données projet'!$A$61:$I$81,2,0)</f>
        <v>29</v>
      </c>
      <c r="AG10" s="13">
        <f>VLOOKUP(A10,'Données projet'!$A$61:$I$81,9,0)</f>
        <v>24</v>
      </c>
      <c r="AH10" s="13">
        <f t="array" ref="AH10">INDEX(AG:AG,MIN(IF(ISNUMBER(AG10:AG206),ROW(AG10:AG206),"")))</f>
        <v>24</v>
      </c>
      <c r="AI10" s="14">
        <f>IF('Données projet'!$A$62&gt;35,AI9+AH10-AQ9,IF(A10&lt;'Données projet'!$A$62,$AF$205^A10,IF(A10='Données projet'!$A$62,'Données projet'!$B$62,AI9+AH10-AQ9)))</f>
        <v>29</v>
      </c>
      <c r="AJ10" s="14">
        <f>AI10*VLOOKUP('Données projet'!$B$10,Paramètres!$A$1:$I$89,3,0)*VLOOKUP('Données projet'!$B$10,Paramètres!$A$1:$I$89,5,0)</f>
        <v>14.748240000000001</v>
      </c>
      <c r="AK10" s="14">
        <f t="shared" si="35"/>
        <v>4.9687929763413896</v>
      </c>
      <c r="AL10" s="22">
        <f t="shared" si="4"/>
        <v>34.340499100461251</v>
      </c>
      <c r="AM10" s="62">
        <f t="shared" si="5"/>
        <v>299.5627213226835</v>
      </c>
      <c r="AN10" s="62">
        <f ca="1">AVERAGE(OFFSET($AM$3,0,0,'Données projet'!$E$10+1,1))-AVERAGE(OFFSET($H$3,0,0,'Données projet'!$E$10+1,1))</f>
        <v>225.24357215754691</v>
      </c>
      <c r="AO10" s="62">
        <f t="shared" si="36"/>
        <v>569.2018208733989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0.28199999999999997</v>
      </c>
      <c r="AS10" s="17">
        <f>IF(ISNA(VLOOKUP(A10,'Données projet'!$A$61:$I$81,6,0)),0%,VLOOKUP(A10,'Données projet'!$A$61:$I$81,6,0)*VLOOKUP('Données projet'!$B$10,Paramètres!$A$1:$I$89,7,0))</f>
        <v>0.126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7.7271428571428578</v>
      </c>
      <c r="N11" s="14">
        <f>IF('Données projet'!$A$36&gt;35,N10+M11-V10,IF(A11&lt;'Données projet'!$A$36,$K$205^A11,IF(A11='Données projet'!$A$36,'Données projet'!$B$36,N10+M11-V10)))</f>
        <v>14.533482807286399</v>
      </c>
      <c r="O11" s="14">
        <f>N11*VLOOKUP('Données projet'!$B$9,Paramètres!$A$1:$I$89,3,0)*VLOOKUP('Données projet'!$B$9,Paramètres!$A$1:$I$89,5,0)</f>
        <v>8.6910227187572673</v>
      </c>
      <c r="P11" s="14">
        <f t="shared" si="33"/>
        <v>3.1139748382101038</v>
      </c>
      <c r="Q11" s="22">
        <f t="shared" si="2"/>
        <v>20.560370745051507</v>
      </c>
      <c r="R11" s="62">
        <f t="shared" si="0"/>
        <v>287.00481518949596</v>
      </c>
      <c r="S11" s="62">
        <f ca="1">AVERAGE(OFFSET($R$3,0,0,'Données projet'!$E$9+1,1))-AVERAGE(OFFSET($H$3,0,0,'Données projet'!$E$9+1,1))</f>
        <v>287.52077437571728</v>
      </c>
      <c r="T11" s="62">
        <f t="shared" si="34"/>
        <v>420.95891230839874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>
        <f>VLOOKUP(A11,'Données projet'!$A$61:$I$81,2,0)</f>
        <v>60</v>
      </c>
      <c r="AG11" s="13">
        <f>VLOOKUP(A11,'Données projet'!$A$61:$I$81,9,0)</f>
        <v>31</v>
      </c>
      <c r="AH11" s="13">
        <f t="array" ref="AH11">INDEX(AG:AG,MIN(IF(ISNUMBER(AG11:AG207),ROW(AG11:AG207),"")))</f>
        <v>31</v>
      </c>
      <c r="AI11" s="14">
        <f>IF('Données projet'!$A$62&gt;35,AI10+AH11-AQ10,IF(A11&lt;'Données projet'!$A$62,$AF$205^A11,IF(A11='Données projet'!$A$62,'Données projet'!$B$62,AI10+AH11-AQ10)))</f>
        <v>60</v>
      </c>
      <c r="AJ11" s="14">
        <f>AI11*VLOOKUP('Données projet'!$B$10,Paramètres!$A$1:$I$89,3,0)*VLOOKUP('Données projet'!$B$10,Paramètres!$A$1:$I$89,5,0)</f>
        <v>30.513600000000004</v>
      </c>
      <c r="AK11" s="14">
        <f t="shared" si="35"/>
        <v>9.4460551368326602</v>
      </c>
      <c r="AL11" s="22">
        <f t="shared" si="4"/>
        <v>69.596399363316891</v>
      </c>
      <c r="AM11" s="62">
        <f t="shared" si="5"/>
        <v>336.04084380776135</v>
      </c>
      <c r="AN11" s="62">
        <f ca="1">AVERAGE(OFFSET($AM$3,0,0,'Données projet'!$E$10+1,1))-AVERAGE(OFFSET($H$3,0,0,'Données projet'!$E$10+1,1))</f>
        <v>225.24357215754691</v>
      </c>
      <c r="AO11" s="62">
        <f t="shared" si="36"/>
        <v>569.2018208733989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0.28199999999999997</v>
      </c>
      <c r="AS11" s="17">
        <f>IF(ISNA(VLOOKUP(A11,'Données projet'!$A$61:$I$81,6,0)),0%,VLOOKUP(A11,'Données projet'!$A$61:$I$81,6,0)*VLOOKUP('Données projet'!$B$10,Paramètres!$A$1:$I$89,7,0))</f>
        <v>0.126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7.7271428571428578</v>
      </c>
      <c r="N12" s="14">
        <f>IF('Données projet'!$A$36&gt;35,N11+M12-V11,IF(A12&lt;'Données projet'!$A$36,$K$205^A12,IF(A12='Données projet'!$A$36,'Données projet'!$B$36,N11+M12-V11)))</f>
        <v>20.307941975481366</v>
      </c>
      <c r="O12" s="14">
        <f>N12*VLOOKUP('Données projet'!$B$9,Paramètres!$A$1:$I$89,3,0)*VLOOKUP('Données projet'!$B$9,Paramètres!$A$1:$I$89,5,0)</f>
        <v>12.144149301337858</v>
      </c>
      <c r="P12" s="14">
        <f t="shared" si="33"/>
        <v>4.1850324763865441</v>
      </c>
      <c r="Q12" s="22">
        <f t="shared" si="2"/>
        <v>28.439991596203328</v>
      </c>
      <c r="R12" s="62">
        <f t="shared" si="0"/>
        <v>296.10665826287004</v>
      </c>
      <c r="S12" s="62">
        <f ca="1">AVERAGE(OFFSET($R$3,0,0,'Données projet'!$E$9+1,1))-AVERAGE(OFFSET($H$3,0,0,'Données projet'!$E$9+1,1))</f>
        <v>287.52077437571728</v>
      </c>
      <c r="T12" s="62">
        <f t="shared" si="34"/>
        <v>420.95891230839874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>
        <f>VLOOKUP(A12,'Données projet'!$A$61:$I$81,2,0)</f>
        <v>97</v>
      </c>
      <c r="AG12" s="13">
        <f>VLOOKUP(A12,'Données projet'!$A$61:$I$81,9,0)</f>
        <v>37</v>
      </c>
      <c r="AH12" s="13">
        <f t="array" ref="AH12">INDEX(AG:AG,MIN(IF(ISNUMBER(AG12:AG208),ROW(AG12:AG208),"")))</f>
        <v>37</v>
      </c>
      <c r="AI12" s="14">
        <f>IF('Données projet'!$A$62&gt;35,AI11+AH12-AQ11,IF(A12&lt;'Données projet'!$A$62,$AF$205^A12,IF(A12='Données projet'!$A$62,'Données projet'!$B$62,AI11+AH12-AQ11)))</f>
        <v>97</v>
      </c>
      <c r="AJ12" s="14">
        <f>AI12*VLOOKUP('Données projet'!$B$10,Paramètres!$A$1:$I$89,3,0)*VLOOKUP('Données projet'!$B$10,Paramètres!$A$1:$I$89,5,0)</f>
        <v>49.33032</v>
      </c>
      <c r="AK12" s="14">
        <f t="shared" si="35"/>
        <v>14.440676392293337</v>
      </c>
      <c r="AL12" s="22">
        <f t="shared" si="4"/>
        <v>111.06781871657756</v>
      </c>
      <c r="AM12" s="62">
        <f t="shared" si="5"/>
        <v>378.73448538324425</v>
      </c>
      <c r="AN12" s="62">
        <f ca="1">AVERAGE(OFFSET($AM$3,0,0,'Données projet'!$E$10+1,1))-AVERAGE(OFFSET($H$3,0,0,'Données projet'!$E$10+1,1))</f>
        <v>225.24357215754691</v>
      </c>
      <c r="AO12" s="62">
        <f t="shared" si="36"/>
        <v>569.2018208733989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0.28199999999999997</v>
      </c>
      <c r="AS12" s="17">
        <f>IF(ISNA(VLOOKUP(A12,'Données projet'!$A$61:$I$81,6,0)),0%,VLOOKUP(A12,'Données projet'!$A$61:$I$81,6,0)*VLOOKUP('Données projet'!$B$10,Paramètres!$A$1:$I$89,7,0))</f>
        <v>0.126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7.7271428571428578</v>
      </c>
      <c r="N13" s="14">
        <f>IF('Données projet'!$A$36&gt;35,N12+M13-V12,IF(A13&lt;'Données projet'!$A$36,$K$205^A13,IF(A13='Données projet'!$A$36,'Données projet'!$B$36,N12+M13-V12)))</f>
        <v>28.376715529793994</v>
      </c>
      <c r="O13" s="14">
        <f>N13*VLOOKUP('Données projet'!$B$9,Paramètres!$A$1:$I$89,3,0)*VLOOKUP('Données projet'!$B$9,Paramètres!$A$1:$I$89,5,0)</f>
        <v>16.96927588681681</v>
      </c>
      <c r="P13" s="14">
        <f t="shared" si="33"/>
        <v>5.6244824503711541</v>
      </c>
      <c r="Q13" s="22">
        <f t="shared" si="2"/>
        <v>39.350795770602367</v>
      </c>
      <c r="R13" s="62">
        <f t="shared" si="0"/>
        <v>308.23968465949122</v>
      </c>
      <c r="S13" s="62">
        <f ca="1">AVERAGE(OFFSET($R$3,0,0,'Données projet'!$E$9+1,1))-AVERAGE(OFFSET($H$3,0,0,'Données projet'!$E$9+1,1))</f>
        <v>287.52077437571728</v>
      </c>
      <c r="T13" s="62">
        <f t="shared" si="34"/>
        <v>420.95891230839874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>
        <f>VLOOKUP(A13,'Données projet'!$A$61:$I$81,2,0)</f>
        <v>133</v>
      </c>
      <c r="AG13" s="13">
        <f>VLOOKUP(A13,'Données projet'!$A$61:$I$81,9,0)</f>
        <v>36</v>
      </c>
      <c r="AH13" s="13">
        <f t="array" ref="AH13">INDEX(AG:AG,MIN(IF(ISNUMBER(AG13:AG209),ROW(AG13:AG209),"")))</f>
        <v>36</v>
      </c>
      <c r="AI13" s="14">
        <f>IF('Données projet'!$A$62&gt;35,AI12+AH13-AQ12,IF(A13&lt;'Données projet'!$A$62,$AF$205^A13,IF(A13='Données projet'!$A$62,'Données projet'!$B$62,AI12+AH13-AQ12)))</f>
        <v>133</v>
      </c>
      <c r="AJ13" s="14">
        <f>AI13*VLOOKUP('Données projet'!$B$10,Paramètres!$A$1:$I$89,3,0)*VLOOKUP('Données projet'!$B$10,Paramètres!$A$1:$I$89,5,0)</f>
        <v>67.638480000000015</v>
      </c>
      <c r="AK13" s="14">
        <f t="shared" si="35"/>
        <v>19.085842751767505</v>
      </c>
      <c r="AL13" s="22">
        <f t="shared" si="4"/>
        <v>151.04486212599508</v>
      </c>
      <c r="AM13" s="62">
        <f t="shared" si="5"/>
        <v>419.93375101488391</v>
      </c>
      <c r="AN13" s="62">
        <f ca="1">AVERAGE(OFFSET($AM$3,0,0,'Données projet'!$E$10+1,1))-AVERAGE(OFFSET($H$3,0,0,'Données projet'!$E$10+1,1))</f>
        <v>225.24357215754691</v>
      </c>
      <c r="AO13" s="62">
        <f t="shared" si="36"/>
        <v>569.2018208733989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0.28199999999999997</v>
      </c>
      <c r="AS13" s="17">
        <f>IF(ISNA(VLOOKUP(A13,'Données projet'!$A$61:$I$81,6,0)),0%,VLOOKUP(A13,'Données projet'!$A$61:$I$81,6,0)*VLOOKUP('Données projet'!$B$10,Paramètres!$A$1:$I$89,7,0))</f>
        <v>0.126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7.7271428571428578</v>
      </c>
      <c r="N14" s="14">
        <f>IF('Données projet'!$A$36&gt;35,N13+M14-V13,IF(A14&lt;'Données projet'!$A$36,$K$205^A14,IF(A14='Données projet'!$A$36,'Données projet'!$B$36,N13+M14-V13)))</f>
        <v>39.651382953085523</v>
      </c>
      <c r="O14" s="14">
        <f>N14*VLOOKUP('Données projet'!$B$9,Paramètres!$A$1:$I$89,3,0)*VLOOKUP('Données projet'!$B$9,Paramètres!$A$1:$I$89,5,0)</f>
        <v>23.711527005945143</v>
      </c>
      <c r="P14" s="14">
        <f t="shared" si="33"/>
        <v>7.5590340130042035</v>
      </c>
      <c r="Q14" s="22">
        <f t="shared" si="2"/>
        <v>54.462893774670114</v>
      </c>
      <c r="R14" s="62">
        <f t="shared" si="0"/>
        <v>324.57400488578128</v>
      </c>
      <c r="S14" s="62">
        <f ca="1">AVERAGE(OFFSET($R$3,0,0,'Données projet'!$E$9+1,1))-AVERAGE(OFFSET($H$3,0,0,'Données projet'!$E$9+1,1))</f>
        <v>287.52077437571728</v>
      </c>
      <c r="T14" s="62">
        <f t="shared" si="34"/>
        <v>420.95891230839874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>
        <f>VLOOKUP(A14,'Données projet'!$A$61:$I$81,2,0)</f>
        <v>175</v>
      </c>
      <c r="AG14" s="13">
        <f>VLOOKUP(A14,'Données projet'!$A$61:$I$81,9,0)</f>
        <v>42</v>
      </c>
      <c r="AH14" s="13">
        <f t="array" ref="AH14">INDEX(AG:AG,MIN(IF(ISNUMBER(AG14:AG210),ROW(AG14:AG210),"")))</f>
        <v>42</v>
      </c>
      <c r="AI14" s="14">
        <f>IF('Données projet'!$A$62&gt;35,AI13+AH14-AQ13,IF(A14&lt;'Données projet'!$A$62,$AF$205^A14,IF(A14='Données projet'!$A$62,'Données projet'!$B$62,AI13+AH14-AQ13)))</f>
        <v>175</v>
      </c>
      <c r="AJ14" s="14">
        <f>AI14*VLOOKUP('Données projet'!$B$10,Paramètres!$A$1:$I$89,3,0)*VLOOKUP('Données projet'!$B$10,Paramètres!$A$1:$I$89,5,0)</f>
        <v>88.998000000000005</v>
      </c>
      <c r="AK14" s="14">
        <f t="shared" si="35"/>
        <v>24.323409484531489</v>
      </c>
      <c r="AL14" s="22">
        <f t="shared" si="4"/>
        <v>197.36812151889237</v>
      </c>
      <c r="AM14" s="62">
        <f t="shared" si="5"/>
        <v>467.47923263000348</v>
      </c>
      <c r="AN14" s="62">
        <f ca="1">AVERAGE(OFFSET($AM$3,0,0,'Données projet'!$E$10+1,1))-AVERAGE(OFFSET($H$3,0,0,'Données projet'!$E$10+1,1))</f>
        <v>225.24357215754691</v>
      </c>
      <c r="AO14" s="62">
        <f t="shared" si="36"/>
        <v>569.2018208733989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0.28199999999999997</v>
      </c>
      <c r="AS14" s="17">
        <f>IF(ISNA(VLOOKUP(A14,'Données projet'!$A$61:$I$81,6,0)),0%,VLOOKUP(A14,'Données projet'!$A$61:$I$81,6,0)*VLOOKUP('Données projet'!$B$10,Paramètres!$A$1:$I$89,7,0))</f>
        <v>0.126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7.7271428571428578</v>
      </c>
      <c r="N15" s="14">
        <f>IF('Données projet'!$A$36&gt;35,N14+M15-V14,IF(A15&lt;'Données projet'!$A$36,$K$205^A15,IF(A15='Données projet'!$A$36,'Données projet'!$B$36,N14+M15-V14)))</f>
        <v>55.40571347806209</v>
      </c>
      <c r="O15" s="14">
        <f>N15*VLOOKUP('Données projet'!$B$9,Paramètres!$A$1:$I$89,3,0)*VLOOKUP('Données projet'!$B$9,Paramètres!$A$1:$I$89,5,0)</f>
        <v>33.13261665988113</v>
      </c>
      <c r="P15" s="14">
        <f t="shared" si="33"/>
        <v>10.158978308481325</v>
      </c>
      <c r="Q15" s="22">
        <f t="shared" si="2"/>
        <v>75.39952790323126</v>
      </c>
      <c r="R15" s="62">
        <f t="shared" si="0"/>
        <v>346.73286123656459</v>
      </c>
      <c r="S15" s="62">
        <f ca="1">AVERAGE(OFFSET($R$3,0,0,'Données projet'!$E$9+1,1))-AVERAGE(OFFSET($H$3,0,0,'Données projet'!$E$9+1,1))</f>
        <v>287.52077437571728</v>
      </c>
      <c r="T15" s="62">
        <f t="shared" si="34"/>
        <v>420.95891230839874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>
        <f>VLOOKUP(A15,'Données projet'!$A$61:$I$81,2,0)</f>
        <v>214</v>
      </c>
      <c r="AG15" s="13">
        <f>VLOOKUP(A15,'Données projet'!$A$61:$I$81,9,0)</f>
        <v>39</v>
      </c>
      <c r="AH15" s="13">
        <f t="array" ref="AH15">INDEX(AG:AG,MIN(IF(ISNUMBER(AG15:AG211),ROW(AG15:AG211),"")))</f>
        <v>39</v>
      </c>
      <c r="AI15" s="14">
        <f>IF('Données projet'!$A$62&gt;35,AI14+AH15-AQ14,IF(A15&lt;'Données projet'!$A$62,$AF$205^A15,IF(A15='Données projet'!$A$62,'Données projet'!$B$62,AI14+AH15-AQ14)))</f>
        <v>214</v>
      </c>
      <c r="AJ15" s="14">
        <f>AI15*VLOOKUP('Données projet'!$B$10,Paramètres!$A$1:$I$89,3,0)*VLOOKUP('Données projet'!$B$10,Paramètres!$A$1:$I$89,5,0)</f>
        <v>108.83184</v>
      </c>
      <c r="AK15" s="14">
        <f t="shared" si="35"/>
        <v>29.055586181236279</v>
      </c>
      <c r="AL15" s="22">
        <f t="shared" si="4"/>
        <v>240.1539339323198</v>
      </c>
      <c r="AM15" s="62">
        <f t="shared" si="5"/>
        <v>511.48726726565314</v>
      </c>
      <c r="AN15" s="62">
        <f ca="1">AVERAGE(OFFSET($AM$3,0,0,'Données projet'!$E$10+1,1))-AVERAGE(OFFSET($H$3,0,0,'Données projet'!$E$10+1,1))</f>
        <v>225.24357215754691</v>
      </c>
      <c r="AO15" s="62">
        <f t="shared" si="36"/>
        <v>569.2018208733989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0.28199999999999997</v>
      </c>
      <c r="AS15" s="17">
        <f>IF(ISNA(VLOOKUP(A15,'Données projet'!$A$61:$I$81,6,0)),0%,VLOOKUP(A15,'Données projet'!$A$61:$I$81,6,0)*VLOOKUP('Données projet'!$B$10,Paramètres!$A$1:$I$89,7,0))</f>
        <v>0.126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7.7271428571428578</v>
      </c>
      <c r="N16" s="14">
        <f>IF('Données projet'!$A$36&gt;35,N15+M16-V15,IF(A16&lt;'Données projet'!$A$36,$K$205^A16,IF(A16='Données projet'!$A$36,'Données projet'!$B$36,N15+M16-V15)))</f>
        <v>77.419571711917584</v>
      </c>
      <c r="O16" s="14">
        <f>N16*VLOOKUP('Données projet'!$B$9,Paramètres!$A$1:$I$89,3,0)*VLOOKUP('Données projet'!$B$9,Paramètres!$A$1:$I$89,5,0)</f>
        <v>46.296903883726721</v>
      </c>
      <c r="P16" s="14">
        <f t="shared" si="33"/>
        <v>13.653178447754749</v>
      </c>
      <c r="Q16" s="22">
        <f t="shared" si="2"/>
        <v>104.41306006066355</v>
      </c>
      <c r="R16" s="62">
        <f t="shared" si="0"/>
        <v>376.9686156162191</v>
      </c>
      <c r="S16" s="62">
        <f ca="1">AVERAGE(OFFSET($R$3,0,0,'Données projet'!$E$9+1,1))-AVERAGE(OFFSET($H$3,0,0,'Données projet'!$E$9+1,1))</f>
        <v>287.52077437571728</v>
      </c>
      <c r="T16" s="62">
        <f t="shared" si="34"/>
        <v>420.95891230839874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>
        <f>VLOOKUP(A16,'Données projet'!$A$61:$I$81,2,0)</f>
        <v>256</v>
      </c>
      <c r="AG16" s="13">
        <f>VLOOKUP(A16,'Données projet'!$A$61:$I$81,9,0)</f>
        <v>42</v>
      </c>
      <c r="AH16" s="13">
        <f t="array" ref="AH16">INDEX(AG:AG,MIN(IF(ISNUMBER(AG16:AG212),ROW(AG16:AG212),"")))</f>
        <v>42</v>
      </c>
      <c r="AI16" s="14">
        <f>IF('Données projet'!$A$62&gt;35,AI15+AH16-AQ15,IF(A16&lt;'Données projet'!$A$62,$AF$205^A16,IF(A16='Données projet'!$A$62,'Données projet'!$B$62,AI15+AH16-AQ15)))</f>
        <v>256</v>
      </c>
      <c r="AJ16" s="14">
        <f>AI16*VLOOKUP('Données projet'!$B$10,Paramètres!$A$1:$I$89,3,0)*VLOOKUP('Données projet'!$B$10,Paramètres!$A$1:$I$89,5,0)</f>
        <v>130.19136</v>
      </c>
      <c r="AK16" s="14">
        <f t="shared" si="35"/>
        <v>34.040573223809218</v>
      </c>
      <c r="AL16" s="22">
        <f t="shared" si="4"/>
        <v>286.03728369813439</v>
      </c>
      <c r="AM16" s="62">
        <f t="shared" si="5"/>
        <v>558.59283925368993</v>
      </c>
      <c r="AN16" s="62">
        <f ca="1">AVERAGE(OFFSET($AM$3,0,0,'Données projet'!$E$10+1,1))-AVERAGE(OFFSET($H$3,0,0,'Données projet'!$E$10+1,1))</f>
        <v>225.24357215754691</v>
      </c>
      <c r="AO16" s="62">
        <f t="shared" si="36"/>
        <v>569.2018208733989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0.28199999999999997</v>
      </c>
      <c r="AS16" s="17">
        <f>IF(ISNA(VLOOKUP(A16,'Données projet'!$A$61:$I$81,6,0)),0%,VLOOKUP(A16,'Données projet'!$A$61:$I$81,6,0)*VLOOKUP('Données projet'!$B$10,Paramètres!$A$1:$I$89,7,0))</f>
        <v>0.126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>
        <f>VLOOKUP(A17,'Données projet'!$A$35:$I$55,2,0)</f>
        <v>108.18</v>
      </c>
      <c r="L17" s="13">
        <f>VLOOKUP(A17,'Données projet'!$A$35:$I$55,9,0)</f>
        <v>7.7271428571428578</v>
      </c>
      <c r="M17" s="13">
        <f t="array" ref="M17">INDEX(L:L,MIN(IF(ISNUMBER(L17:L213),ROW(L17:L213),"")))</f>
        <v>7.7271428571428578</v>
      </c>
      <c r="N17" s="14">
        <f>IF('Données projet'!$A$36&gt;35,N16+M17-V16,IF(A17&lt;'Données projet'!$A$36,$K$205^A17,IF(A17='Données projet'!$A$36,'Données projet'!$B$36,N16+M17-V16)))</f>
        <v>108.18</v>
      </c>
      <c r="O17" s="14">
        <f>N17*VLOOKUP('Données projet'!$B$9,Paramètres!$A$1:$I$89,3,0)*VLOOKUP('Données projet'!$B$9,Paramètres!$A$1:$I$89,5,0)</f>
        <v>64.691640000000007</v>
      </c>
      <c r="P17" s="14">
        <f t="shared" si="33"/>
        <v>18.349215449215929</v>
      </c>
      <c r="Q17" s="22">
        <f t="shared" si="2"/>
        <v>144.62948990738442</v>
      </c>
      <c r="R17" s="62">
        <f t="shared" si="0"/>
        <v>418.4072676851622</v>
      </c>
      <c r="S17" s="62">
        <f ca="1">AVERAGE(OFFSET($R$3,0,0,'Données projet'!$E$9+1,1))-AVERAGE(OFFSET($H$3,0,0,'Données projet'!$E$9+1,1))</f>
        <v>287.52077437571728</v>
      </c>
      <c r="T17" s="62">
        <f t="shared" si="34"/>
        <v>420.95891230839874</v>
      </c>
      <c r="U17" s="16">
        <f>IF(ISNA(VLOOKUP(A17,'Données projet'!$A$35:$I$55,3,0)),0,VLOOKUP(A17,'Données projet'!$A$35:$I$55,3,0))</f>
        <v>1</v>
      </c>
      <c r="V17" s="16">
        <f>IF(ISNA(VLOOKUP(A17,'Données projet'!$A$35:$I$55,4,0)),0,VLOOKUP(A17,'Données projet'!$A$35:$I$55,4,0))</f>
        <v>34.25</v>
      </c>
      <c r="W17" s="17">
        <f>IF(ISNA(VLOOKUP(A17,'Données projet'!$A$35:$I$55,5,0)),0%,VLOOKUP(A17,'Données projet'!$A$35:$I$55,5,0)*VLOOKUP('Données projet'!$B$9,Paramètres!$A$1:$I$89,7,0))</f>
        <v>9.0000000000000011E-2</v>
      </c>
      <c r="X17" s="17">
        <f>IF(ISNA(VLOOKUP(A17,'Données projet'!$A$35:$I$55,6,0)),0%,VLOOKUP(A17,'Données projet'!$A$35:$I$55,6,0)*VLOOKUP('Données projet'!$B$9,Paramètres!$A$1:$I$89,7,0))</f>
        <v>0.20250000000000001</v>
      </c>
      <c r="Y17" s="17">
        <f>IF(ISNA(VLOOKUP(A17,'Données projet'!$A$35:$I$55,7,0)),0%,VLOOKUP(A17,'Données projet'!$A$35:$I$55,7,0))</f>
        <v>0.35</v>
      </c>
      <c r="Z17" s="23">
        <f>EXP(-LN(2)/35)*Z16+(1-EXP(-LN(2)/35))/(LN(2)/35)*V17*W17*VLOOKUP('Données projet'!$B$9,Paramètres!$A$1:$I$89,3,0)*0.475*44/12</f>
        <v>2.4453026904676456</v>
      </c>
      <c r="AA17" s="23">
        <f>EXP(-LN(2)/25)*AA16+(1-EXP(-LN(2)/25))/(LN(2)/25)*Calculateur!V17*Calculateur!X17*VLOOKUP('Données projet'!$B$9,Paramètres!$A$1:$I$89,3,0)*0.475*44/12</f>
        <v>5.4802678545942785</v>
      </c>
      <c r="AB17" s="23">
        <f>EXP(-LN(2)/2)*AB16+(1-EXP(-LN(2)/2))/(LN(2)/2)*V17*Y17*VLOOKUP('Données projet'!$B$9,Paramètres!$A$1:$I$89,3,0)*0.475*44/12</f>
        <v>8.1164355306259086</v>
      </c>
      <c r="AC17" s="24">
        <f t="shared" si="3"/>
        <v>16.042006075687834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>
        <f>VLOOKUP(A17,'Données projet'!$A$61:$I$81,2,0)</f>
        <v>292</v>
      </c>
      <c r="AG17" s="13">
        <f>VLOOKUP(A17,'Données projet'!$A$61:$I$81,9,0)</f>
        <v>36</v>
      </c>
      <c r="AH17" s="13">
        <f t="array" ref="AH17">INDEX(AG:AG,MIN(IF(ISNUMBER(AG17:AG213),ROW(AG17:AG213),"")))</f>
        <v>36</v>
      </c>
      <c r="AI17" s="14">
        <f>IF('Données projet'!$A$62&gt;35,AI16+AH17-AQ16,IF(A17&lt;'Données projet'!$A$62,$AF$205^A17,IF(A17='Données projet'!$A$62,'Données projet'!$B$62,AI16+AH17-AQ16)))</f>
        <v>292</v>
      </c>
      <c r="AJ17" s="14">
        <f>AI17*VLOOKUP('Données projet'!$B$10,Paramètres!$A$1:$I$89,3,0)*VLOOKUP('Données projet'!$B$10,Paramètres!$A$1:$I$89,5,0)</f>
        <v>148.49952000000002</v>
      </c>
      <c r="AK17" s="14">
        <f t="shared" si="35"/>
        <v>38.237396894282334</v>
      </c>
      <c r="AL17" s="22">
        <f t="shared" si="4"/>
        <v>325.23346359087509</v>
      </c>
      <c r="AM17" s="62">
        <f t="shared" si="5"/>
        <v>599.01124136865292</v>
      </c>
      <c r="AN17" s="62">
        <f ca="1">AVERAGE(OFFSET($AM$3,0,0,'Données projet'!$E$10+1,1))-AVERAGE(OFFSET($H$3,0,0,'Données projet'!$E$10+1,1))</f>
        <v>225.24357215754691</v>
      </c>
      <c r="AO17" s="62">
        <f t="shared" si="36"/>
        <v>569.2018208733989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0.28199999999999997</v>
      </c>
      <c r="AS17" s="17">
        <f>IF(ISNA(VLOOKUP(A17,'Données projet'!$A$61:$I$81,6,0)),0%,VLOOKUP(A17,'Données projet'!$A$61:$I$81,6,0)*VLOOKUP('Données projet'!$B$10,Paramètres!$A$1:$I$89,7,0))</f>
        <v>0.126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21.968</v>
      </c>
      <c r="N18" s="14">
        <f>IF('Données projet'!$A$36&gt;35,N17+M18-V17,IF(A18&lt;'Données projet'!$A$36,$K$205^A18,IF(A18='Données projet'!$A$36,'Données projet'!$B$36,N17+M18-V17)))</f>
        <v>95.897999999999996</v>
      </c>
      <c r="O18" s="14">
        <f>N18*VLOOKUP('Données projet'!$B$9,Paramètres!$A$1:$I$89,3,0)*VLOOKUP('Données projet'!$B$9,Paramètres!$A$1:$I$89,5,0)</f>
        <v>57.347004000000005</v>
      </c>
      <c r="P18" s="14">
        <f t="shared" si="33"/>
        <v>16.49575316039088</v>
      </c>
      <c r="Q18" s="22">
        <f t="shared" si="2"/>
        <v>128.60946872101411</v>
      </c>
      <c r="R18" s="62">
        <f t="shared" si="0"/>
        <v>403.60946872101408</v>
      </c>
      <c r="S18" s="62">
        <f ca="1">AVERAGE(OFFSET($R$3,0,0,'Données projet'!$E$9+1,1))-AVERAGE(OFFSET($H$3,0,0,'Données projet'!$E$9+1,1))</f>
        <v>287.52077437571728</v>
      </c>
      <c r="T18" s="62">
        <f t="shared" si="34"/>
        <v>420.95891230839874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2.3973517961949442</v>
      </c>
      <c r="AA18" s="23">
        <f>EXP(-LN(2)/25)*AA17+(1-EXP(-LN(2)/25))/(LN(2)/25)*Calculateur!V18*Calculateur!X18*VLOOKUP('Données projet'!$B$9,Paramètres!$A$1:$I$89,3,0)*0.475*44/12</f>
        <v>5.3304096419156366</v>
      </c>
      <c r="AB18" s="23">
        <f>EXP(-LN(2)/2)*AB17+(1-EXP(-LN(2)/2))/(LN(2)/2)*V18*Y18*VLOOKUP('Données projet'!$B$9,Paramètres!$A$1:$I$89,3,0)*0.475*44/12</f>
        <v>5.7391866027690144</v>
      </c>
      <c r="AC18" s="24">
        <f t="shared" si="3"/>
        <v>13.466948040879595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329</v>
      </c>
      <c r="AG18" s="13">
        <f>VLOOKUP(A18,'Données projet'!$A$61:$I$81,9,0)</f>
        <v>37</v>
      </c>
      <c r="AH18" s="13">
        <f t="array" ref="AH18">INDEX(AG:AG,MIN(IF(ISNUMBER(AG18:AG214),ROW(AG18:AG214),"")))</f>
        <v>37</v>
      </c>
      <c r="AI18" s="14">
        <f>IF('Données projet'!$A$62&gt;35,AI17+AH18-AQ17,IF(A18&lt;'Données projet'!$A$62,$AF$205^A18,IF(A18='Données projet'!$A$62,'Données projet'!$B$62,AI17+AH18-AQ17)))</f>
        <v>329</v>
      </c>
      <c r="AJ18" s="14">
        <f>AI18*VLOOKUP('Données projet'!$B$10,Paramètres!$A$1:$I$89,3,0)*VLOOKUP('Données projet'!$B$10,Paramètres!$A$1:$I$89,5,0)</f>
        <v>167.31624000000002</v>
      </c>
      <c r="AK18" s="14">
        <f t="shared" si="35"/>
        <v>42.488395088818137</v>
      </c>
      <c r="AL18" s="22">
        <f t="shared" si="4"/>
        <v>365.40973944635829</v>
      </c>
      <c r="AM18" s="62">
        <f t="shared" si="5"/>
        <v>640.40973944635834</v>
      </c>
      <c r="AN18" s="62">
        <f ca="1">AVERAGE(OFFSET($AM$3,0,0,'Données projet'!$E$10+1,1))-AVERAGE(OFFSET($H$3,0,0,'Données projet'!$E$10+1,1))</f>
        <v>225.24357215754691</v>
      </c>
      <c r="AO18" s="62">
        <f t="shared" si="36"/>
        <v>569.2018208733989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0.28199999999999997</v>
      </c>
      <c r="AS18" s="17">
        <f>IF(ISNA(VLOOKUP(A18,'Données projet'!$A$61:$I$81,6,0)),0%,VLOOKUP(A18,'Données projet'!$A$61:$I$81,6,0)*VLOOKUP('Données projet'!$B$10,Paramètres!$A$1:$I$89,7,0))</f>
        <v>0.126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21.968</v>
      </c>
      <c r="N19" s="14">
        <f>IF('Données projet'!$A$36&gt;35,N18+M19-V18,IF(A19&lt;'Données projet'!$A$36,$K$205^A19,IF(A19='Données projet'!$A$36,'Données projet'!$B$36,N18+M19-V18)))</f>
        <v>117.866</v>
      </c>
      <c r="O19" s="14">
        <f>N19*VLOOKUP('Données projet'!$B$9,Paramètres!$A$1:$I$89,3,0)*VLOOKUP('Données projet'!$B$9,Paramètres!$A$1:$I$89,5,0)</f>
        <v>70.483868000000001</v>
      </c>
      <c r="P19" s="14">
        <f t="shared" si="33"/>
        <v>19.793570832162988</v>
      </c>
      <c r="Q19" s="22">
        <f t="shared" si="2"/>
        <v>157.23320596601718</v>
      </c>
      <c r="R19" s="62">
        <f t="shared" si="0"/>
        <v>433.45542818823941</v>
      </c>
      <c r="S19" s="62">
        <f ca="1">AVERAGE(OFFSET($R$3,0,0,'Données projet'!$E$9+1,1))-AVERAGE(OFFSET($H$3,0,0,'Données projet'!$E$9+1,1))</f>
        <v>287.52077437571728</v>
      </c>
      <c r="T19" s="62">
        <f t="shared" si="34"/>
        <v>420.95891230839874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2.3503411897117727</v>
      </c>
      <c r="AA19" s="23">
        <f>EXP(-LN(2)/25)*AA18+(1-EXP(-LN(2)/25))/(LN(2)/25)*Calculateur!V19*Calculateur!X19*VLOOKUP('Données projet'!$B$9,Paramètres!$A$1:$I$89,3,0)*0.475*44/12</f>
        <v>5.184649309943393</v>
      </c>
      <c r="AB19" s="23">
        <f>EXP(-LN(2)/2)*AB18+(1-EXP(-LN(2)/2))/(LN(2)/2)*V19*Y19*VLOOKUP('Données projet'!$B$9,Paramètres!$A$1:$I$89,3,0)*0.475*44/12</f>
        <v>4.0582177653129552</v>
      </c>
      <c r="AC19" s="24">
        <f t="shared" si="3"/>
        <v>11.593208264968121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>
        <f>VLOOKUP(A19,'Données projet'!$A$61:$I$81,2,0)</f>
        <v>363</v>
      </c>
      <c r="AG19" s="13">
        <f>VLOOKUP(A19,'Données projet'!$A$61:$I$81,9,0)</f>
        <v>34</v>
      </c>
      <c r="AH19" s="13">
        <f t="array" ref="AH19">INDEX(AG:AG,MIN(IF(ISNUMBER(AG19:AG215),ROW(AG19:AG215),"")))</f>
        <v>34</v>
      </c>
      <c r="AI19" s="14">
        <f>IF('Données projet'!$A$62&gt;35,AI18+AH19-AQ18,IF(A19&lt;'Données projet'!$A$62,$AF$205^A19,IF(A19='Données projet'!$A$62,'Données projet'!$B$62,AI18+AH19-AQ18)))</f>
        <v>363</v>
      </c>
      <c r="AJ19" s="14">
        <f>AI19*VLOOKUP('Données projet'!$B$10,Paramètres!$A$1:$I$89,3,0)*VLOOKUP('Données projet'!$B$10,Paramètres!$A$1:$I$89,5,0)</f>
        <v>184.60728000000003</v>
      </c>
      <c r="AK19" s="14">
        <f t="shared" si="35"/>
        <v>46.345708451873151</v>
      </c>
      <c r="AL19" s="22">
        <f t="shared" si="4"/>
        <v>402.24312155367915</v>
      </c>
      <c r="AM19" s="62">
        <f t="shared" si="5"/>
        <v>678.46534377590137</v>
      </c>
      <c r="AN19" s="62">
        <f ca="1">AVERAGE(OFFSET($AM$3,0,0,'Données projet'!$E$10+1,1))-AVERAGE(OFFSET($H$3,0,0,'Données projet'!$E$10+1,1))</f>
        <v>225.24357215754691</v>
      </c>
      <c r="AO19" s="62">
        <f t="shared" si="36"/>
        <v>569.2018208733989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0.28199999999999997</v>
      </c>
      <c r="AS19" s="17">
        <f>IF(ISNA(VLOOKUP(A19,'Données projet'!$A$61:$I$81,6,0)),0%,VLOOKUP(A19,'Données projet'!$A$61:$I$81,6,0)*VLOOKUP('Données projet'!$B$10,Paramètres!$A$1:$I$89,7,0))</f>
        <v>0.126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21.968</v>
      </c>
      <c r="N20" s="14">
        <f>IF('Données projet'!$A$36&gt;35,N19+M20-V19,IF(A20&lt;'Données projet'!$A$36,$K$205^A20,IF(A20='Données projet'!$A$36,'Données projet'!$B$36,N19+M20-V19)))</f>
        <v>139.834</v>
      </c>
      <c r="O20" s="14">
        <f>N20*VLOOKUP('Données projet'!$B$9,Paramètres!$A$1:$I$89,3,0)*VLOOKUP('Données projet'!$B$9,Paramètres!$A$1:$I$89,5,0)</f>
        <v>83.620732000000004</v>
      </c>
      <c r="P20" s="14">
        <f t="shared" si="33"/>
        <v>23.020178365106414</v>
      </c>
      <c r="Q20" s="22">
        <f t="shared" si="2"/>
        <v>185.73291888589367</v>
      </c>
      <c r="R20" s="62">
        <f t="shared" si="0"/>
        <v>463.17736333033815</v>
      </c>
      <c r="S20" s="62">
        <f ca="1">AVERAGE(OFFSET($R$3,0,0,'Données projet'!$E$9+1,1))-AVERAGE(OFFSET($H$3,0,0,'Données projet'!$E$9+1,1))</f>
        <v>287.52077437571728</v>
      </c>
      <c r="T20" s="62">
        <f t="shared" si="34"/>
        <v>420.95891230839874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2.3042524325480978</v>
      </c>
      <c r="AA20" s="23">
        <f>EXP(-LN(2)/25)*AA19+(1-EXP(-LN(2)/25))/(LN(2)/25)*Calculateur!V20*Calculateur!X20*VLOOKUP('Données projet'!$B$9,Paramètres!$A$1:$I$89,3,0)*0.475*44/12</f>
        <v>5.0428748019141336</v>
      </c>
      <c r="AB20" s="23">
        <f>EXP(-LN(2)/2)*AB19+(1-EXP(-LN(2)/2))/(LN(2)/2)*V20*Y20*VLOOKUP('Données projet'!$B$9,Paramètres!$A$1:$I$89,3,0)*0.475*44/12</f>
        <v>2.8695933013845081</v>
      </c>
      <c r="AC20" s="24">
        <f t="shared" si="3"/>
        <v>10.21672053584674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>
        <f>VLOOKUP(A20,'Données projet'!$A$61:$I$81,2,0)</f>
        <v>397</v>
      </c>
      <c r="AG20" s="13">
        <f>VLOOKUP(A20,'Données projet'!$A$61:$I$81,9,0)</f>
        <v>34</v>
      </c>
      <c r="AH20" s="13">
        <f t="array" ref="AH20">INDEX(AG:AG,MIN(IF(ISNUMBER(AG20:AG216),ROW(AG20:AG216),"")))</f>
        <v>34</v>
      </c>
      <c r="AI20" s="14">
        <f>IF('Données projet'!$A$62&gt;35,AI19+AH20-AQ19,IF(A20&lt;'Données projet'!$A$62,$AF$205^A20,IF(A20='Données projet'!$A$62,'Données projet'!$B$62,AI19+AH20-AQ19)))</f>
        <v>397</v>
      </c>
      <c r="AJ20" s="14">
        <f>AI20*VLOOKUP('Données projet'!$B$10,Paramètres!$A$1:$I$89,3,0)*VLOOKUP('Données projet'!$B$10,Paramètres!$A$1:$I$89,5,0)</f>
        <v>201.89832000000001</v>
      </c>
      <c r="AK20" s="14">
        <f t="shared" si="35"/>
        <v>50.161131352706278</v>
      </c>
      <c r="AL20" s="22">
        <f t="shared" si="4"/>
        <v>439.00354443929672</v>
      </c>
      <c r="AM20" s="62">
        <f t="shared" si="5"/>
        <v>716.44798888374112</v>
      </c>
      <c r="AN20" s="62">
        <f ca="1">AVERAGE(OFFSET($AM$3,0,0,'Données projet'!$E$10+1,1))-AVERAGE(OFFSET($H$3,0,0,'Données projet'!$E$10+1,1))</f>
        <v>225.24357215754691</v>
      </c>
      <c r="AO20" s="62">
        <f t="shared" si="36"/>
        <v>569.2018208733989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0.28199999999999997</v>
      </c>
      <c r="AS20" s="17">
        <f>IF(ISNA(VLOOKUP(A20,'Données projet'!$A$61:$I$81,6,0)),0%,VLOOKUP(A20,'Données projet'!$A$61:$I$81,6,0)*VLOOKUP('Données projet'!$B$10,Paramètres!$A$1:$I$89,7,0))</f>
        <v>0.126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21.968</v>
      </c>
      <c r="N21" s="14">
        <f>IF('Données projet'!$A$36&gt;35,N20+M21-V20,IF(A21&lt;'Données projet'!$A$36,$K$205^A21,IF(A21='Données projet'!$A$36,'Données projet'!$B$36,N20+M21-V20)))</f>
        <v>161.80199999999999</v>
      </c>
      <c r="O21" s="14">
        <f>N21*VLOOKUP('Données projet'!$B$9,Paramètres!$A$1:$I$89,3,0)*VLOOKUP('Données projet'!$B$9,Paramètres!$A$1:$I$89,5,0)</f>
        <v>96.757596000000007</v>
      </c>
      <c r="P21" s="14">
        <f t="shared" si="33"/>
        <v>26.188063921005639</v>
      </c>
      <c r="Q21" s="22">
        <f t="shared" si="2"/>
        <v>214.13035769575148</v>
      </c>
      <c r="R21" s="62">
        <f t="shared" si="0"/>
        <v>492.79702436241814</v>
      </c>
      <c r="S21" s="62">
        <f ca="1">AVERAGE(OFFSET($R$3,0,0,'Données projet'!$E$9+1,1))-AVERAGE(OFFSET($H$3,0,0,'Données projet'!$E$9+1,1))</f>
        <v>287.52077437571728</v>
      </c>
      <c r="T21" s="62">
        <f t="shared" si="34"/>
        <v>420.95891230839874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2.2590674478010362</v>
      </c>
      <c r="AA21" s="23">
        <f>EXP(-LN(2)/25)*AA20+(1-EXP(-LN(2)/25))/(LN(2)/25)*Calculateur!V21*Calculateur!X21*VLOOKUP('Données projet'!$B$9,Paramètres!$A$1:$I$89,3,0)*0.475*44/12</f>
        <v>4.9049771252625316</v>
      </c>
      <c r="AB21" s="23">
        <f>EXP(-LN(2)/2)*AB20+(1-EXP(-LN(2)/2))/(LN(2)/2)*V21*Y21*VLOOKUP('Données projet'!$B$9,Paramètres!$A$1:$I$89,3,0)*0.475*44/12</f>
        <v>2.029108882656478</v>
      </c>
      <c r="AC21" s="24">
        <f t="shared" si="3"/>
        <v>9.1931534557200454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>
        <f>VLOOKUP(A21,'Données projet'!$A$61:$I$81,2,0)</f>
        <v>426</v>
      </c>
      <c r="AG21" s="13">
        <f>VLOOKUP(A21,'Données projet'!$A$61:$I$81,9,0)</f>
        <v>29</v>
      </c>
      <c r="AH21" s="13">
        <f t="array" ref="AH21">INDEX(AG:AG,MIN(IF(ISNUMBER(AG21:AG217),ROW(AG21:AG217),"")))</f>
        <v>29</v>
      </c>
      <c r="AI21" s="14">
        <f>IF('Données projet'!$A$62&gt;35,AI20+AH21-AQ20,IF(A21&lt;'Données projet'!$A$62,$AF$205^A21,IF(A21='Données projet'!$A$62,'Données projet'!$B$62,AI20+AH21-AQ20)))</f>
        <v>426</v>
      </c>
      <c r="AJ21" s="14">
        <f>AI21*VLOOKUP('Données projet'!$B$10,Paramètres!$A$1:$I$89,3,0)*VLOOKUP('Données projet'!$B$10,Paramètres!$A$1:$I$89,5,0)</f>
        <v>216.64656000000002</v>
      </c>
      <c r="AK21" s="14">
        <f t="shared" si="35"/>
        <v>53.385381814460594</v>
      </c>
      <c r="AL21" s="22">
        <f t="shared" si="4"/>
        <v>470.30563199351877</v>
      </c>
      <c r="AM21" s="62">
        <f t="shared" si="5"/>
        <v>748.97229866018552</v>
      </c>
      <c r="AN21" s="62">
        <f ca="1">AVERAGE(OFFSET($AM$3,0,0,'Données projet'!$E$10+1,1))-AVERAGE(OFFSET($H$3,0,0,'Données projet'!$E$10+1,1))</f>
        <v>225.24357215754691</v>
      </c>
      <c r="AO21" s="62">
        <f t="shared" si="36"/>
        <v>569.2018208733989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0.28199999999999997</v>
      </c>
      <c r="AS21" s="17">
        <f>IF(ISNA(VLOOKUP(A21,'Données projet'!$A$61:$I$81,6,0)),0%,VLOOKUP(A21,'Données projet'!$A$61:$I$81,6,0)*VLOOKUP('Données projet'!$B$10,Paramètres!$A$1:$I$89,7,0))</f>
        <v>0.126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>
        <f>VLOOKUP(A22,'Données projet'!$A$35:$I$55,2,0)</f>
        <v>183.77</v>
      </c>
      <c r="L22" s="13">
        <f>VLOOKUP(A22,'Données projet'!$A$35:$I$55,9,0)</f>
        <v>21.968</v>
      </c>
      <c r="M22" s="13">
        <f t="array" ref="M22">INDEX(L:L,MIN(IF(ISNUMBER(L22:L218),ROW(L22:L218),"")))</f>
        <v>21.968</v>
      </c>
      <c r="N22" s="14">
        <f>IF('Données projet'!$A$36&gt;35,N21+M22-V21,IF(A22&lt;'Données projet'!$A$36,$K$205^A22,IF(A22='Données projet'!$A$36,'Données projet'!$B$36,N21+M22-V21)))</f>
        <v>183.76999999999998</v>
      </c>
      <c r="O22" s="14">
        <f>N22*VLOOKUP('Données projet'!$B$9,Paramètres!$A$1:$I$89,3,0)*VLOOKUP('Données projet'!$B$9,Paramètres!$A$1:$I$89,5,0)</f>
        <v>109.89446</v>
      </c>
      <c r="P22" s="14">
        <f t="shared" si="33"/>
        <v>29.30611713635502</v>
      </c>
      <c r="Q22" s="22">
        <f t="shared" si="2"/>
        <v>242.44100517915163</v>
      </c>
      <c r="R22" s="62">
        <f t="shared" si="0"/>
        <v>522.32989406804052</v>
      </c>
      <c r="S22" s="62">
        <f ca="1">AVERAGE(OFFSET($R$3,0,0,'Données projet'!$E$9+1,1))-AVERAGE(OFFSET($H$3,0,0,'Données projet'!$E$9+1,1))</f>
        <v>287.52077437571728</v>
      </c>
      <c r="T22" s="62">
        <f t="shared" si="34"/>
        <v>420.95891230839874</v>
      </c>
      <c r="U22" s="16">
        <f>IF(ISNA(VLOOKUP(A22,'Données projet'!$A$35:$I$55,3,0)),0,VLOOKUP(A22,'Données projet'!$A$35:$I$55,3,0))</f>
        <v>2</v>
      </c>
      <c r="V22" s="16">
        <f>IF(ISNA(VLOOKUP(A22,'Données projet'!$A$35:$I$55,4,0)),0,VLOOKUP(A22,'Données projet'!$A$35:$I$55,4,0))</f>
        <v>59.5</v>
      </c>
      <c r="W22" s="17">
        <f>IF(ISNA(VLOOKUP(A22,'Données projet'!$A$35:$I$55,5,0)),0%,VLOOKUP(A22,'Données projet'!$A$35:$I$55,5,0)*VLOOKUP('Données projet'!$B$9,Paramètres!$A$1:$I$89,7,0))</f>
        <v>0.18000000000000002</v>
      </c>
      <c r="X22" s="17">
        <f>IF(ISNA(VLOOKUP(A22,'Données projet'!$A$35:$I$55,6,0)),0%,VLOOKUP(A22,'Données projet'!$A$35:$I$55,6,0)*VLOOKUP('Données projet'!$B$9,Paramètres!$A$1:$I$89,7,0))</f>
        <v>0.15300000000000002</v>
      </c>
      <c r="Y22" s="17">
        <f>IF(ISNA(VLOOKUP(A22,'Données projet'!$A$35:$I$55,7,0)),0%,VLOOKUP(A22,'Données projet'!$A$35:$I$55,7,0))</f>
        <v>0.26</v>
      </c>
      <c r="Z22" s="23">
        <f>EXP(-LN(2)/35)*Z21+(1-EXP(-LN(2)/35))/(LN(2)/35)*V22*W22*VLOOKUP('Données projet'!$B$9,Paramètres!$A$1:$I$89,3,0)*0.475*44/12</f>
        <v>10.710856693063718</v>
      </c>
      <c r="AA22" s="23">
        <f>EXP(-LN(2)/25)*AA21+(1-EXP(-LN(2)/25))/(LN(2)/25)*Calculateur!V22*Calculateur!X22*VLOOKUP('Données projet'!$B$9,Paramètres!$A$1:$I$89,3,0)*0.475*44/12</f>
        <v>11.964090734882909</v>
      </c>
      <c r="AB22" s="23">
        <f>EXP(-LN(2)/2)*AB21+(1-EXP(-LN(2)/2))/(LN(2)/2)*V22*Y22*VLOOKUP('Données projet'!$B$9,Paramètres!$A$1:$I$89,3,0)*0.475*44/12</f>
        <v>11.909145569047441</v>
      </c>
      <c r="AC22" s="24">
        <f t="shared" si="3"/>
        <v>34.584092996994066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>
        <f>VLOOKUP(A22,'Données projet'!$A$61:$I$81,2,0)</f>
        <v>449</v>
      </c>
      <c r="AG22" s="13">
        <f>VLOOKUP(A22,'Données projet'!$A$61:$I$81,9,0)</f>
        <v>23</v>
      </c>
      <c r="AH22" s="13">
        <f t="array" ref="AH22">INDEX(AG:AG,MIN(IF(ISNUMBER(AG22:AG218),ROW(AG22:AG218),"")))</f>
        <v>23</v>
      </c>
      <c r="AI22" s="14">
        <f>IF('Données projet'!$A$62&gt;35,AI21+AH22-AQ21,IF(A22&lt;'Données projet'!$A$62,$AF$205^A22,IF(A22='Données projet'!$A$62,'Données projet'!$B$62,AI21+AH22-AQ21)))</f>
        <v>449</v>
      </c>
      <c r="AJ22" s="14">
        <f>AI22*VLOOKUP('Données projet'!$B$10,Paramètres!$A$1:$I$89,3,0)*VLOOKUP('Données projet'!$B$10,Paramètres!$A$1:$I$89,5,0)</f>
        <v>228.34343999999999</v>
      </c>
      <c r="AK22" s="14">
        <f t="shared" si="35"/>
        <v>55.924343979353274</v>
      </c>
      <c r="AL22" s="22">
        <f t="shared" si="4"/>
        <v>495.09972376404033</v>
      </c>
      <c r="AM22" s="62">
        <f t="shared" si="5"/>
        <v>774.98861265292919</v>
      </c>
      <c r="AN22" s="62">
        <f ca="1">AVERAGE(OFFSET($AM$3,0,0,'Données projet'!$E$10+1,1))-AVERAGE(OFFSET($H$3,0,0,'Données projet'!$E$10+1,1))</f>
        <v>225.24357215754691</v>
      </c>
      <c r="AO22" s="62">
        <f t="shared" si="36"/>
        <v>569.2018208733989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0.28199999999999997</v>
      </c>
      <c r="AS22" s="17">
        <f>IF(ISNA(VLOOKUP(A22,'Données projet'!$A$61:$I$81,6,0)),0%,VLOOKUP(A22,'Données projet'!$A$61:$I$81,6,0)*VLOOKUP('Données projet'!$B$10,Paramètres!$A$1:$I$89,7,0))</f>
        <v>0.126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21.403333333333332</v>
      </c>
      <c r="N23" s="14">
        <f>IF('Données projet'!$A$36&gt;35,N22+M23-V22,IF(A23&lt;'Données projet'!$A$36,$K$205^A23,IF(A23='Données projet'!$A$36,'Données projet'!$B$36,N22+M23-V22)))</f>
        <v>145.67333333333332</v>
      </c>
      <c r="O23" s="14">
        <f>N23*VLOOKUP('Données projet'!$B$9,Paramètres!$A$1:$I$89,3,0)*VLOOKUP('Données projet'!$B$9,Paramètres!$A$1:$I$89,5,0)</f>
        <v>87.112653333333327</v>
      </c>
      <c r="P23" s="14">
        <f t="shared" si="33"/>
        <v>23.867550507152405</v>
      </c>
      <c r="Q23" s="22">
        <f t="shared" si="2"/>
        <v>193.29052168884596</v>
      </c>
      <c r="R23" s="62">
        <f t="shared" si="0"/>
        <v>474.4016327999571</v>
      </c>
      <c r="S23" s="62">
        <f ca="1">AVERAGE(OFFSET($R$3,0,0,'Données projet'!$E$9+1,1))-AVERAGE(OFFSET($H$3,0,0,'Données projet'!$E$9+1,1))</f>
        <v>287.52077437571728</v>
      </c>
      <c r="T23" s="62">
        <f t="shared" si="34"/>
        <v>420.95891230839874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10.500823326290243</v>
      </c>
      <c r="AA23" s="23">
        <f>EXP(-LN(2)/25)*AA22+(1-EXP(-LN(2)/25))/(LN(2)/25)*Calculateur!V23*Calculateur!X23*VLOOKUP('Données projet'!$B$9,Paramètres!$A$1:$I$89,3,0)*0.475*44/12</f>
        <v>11.636932044573348</v>
      </c>
      <c r="AB23" s="23">
        <f>EXP(-LN(2)/2)*AB22+(1-EXP(-LN(2)/2))/(LN(2)/2)*V23*Y23*VLOOKUP('Données projet'!$B$9,Paramètres!$A$1:$I$89,3,0)*0.475*44/12</f>
        <v>8.4210375900111707</v>
      </c>
      <c r="AC23" s="24">
        <f t="shared" si="3"/>
        <v>30.558792960874761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473</v>
      </c>
      <c r="AG23" s="13">
        <f>VLOOKUP(A23,'Données projet'!$A$61:$I$81,9,0)</f>
        <v>24</v>
      </c>
      <c r="AH23" s="13">
        <f t="array" ref="AH23">INDEX(AG:AG,MIN(IF(ISNUMBER(AG23:AG219),ROW(AG23:AG219),"")))</f>
        <v>24</v>
      </c>
      <c r="AI23" s="14">
        <f>IF('Données projet'!$A$62&gt;35,AI22+AH23-AQ22,IF(A23&lt;'Données projet'!$A$62,$AF$205^A23,IF(A23='Données projet'!$A$62,'Données projet'!$B$62,AI22+AH23-AQ22)))</f>
        <v>473</v>
      </c>
      <c r="AJ23" s="14">
        <f>AI23*VLOOKUP('Données projet'!$B$10,Paramètres!$A$1:$I$89,3,0)*VLOOKUP('Données projet'!$B$10,Paramètres!$A$1:$I$89,5,0)</f>
        <v>240.54888000000003</v>
      </c>
      <c r="AK23" s="14">
        <f t="shared" si="35"/>
        <v>58.557608982645455</v>
      </c>
      <c r="AL23" s="22">
        <f t="shared" si="4"/>
        <v>520.94380164477423</v>
      </c>
      <c r="AM23" s="62">
        <f t="shared" si="5"/>
        <v>802.05491275588543</v>
      </c>
      <c r="AN23" s="62">
        <f ca="1">AVERAGE(OFFSET($AM$3,0,0,'Données projet'!$E$10+1,1))-AVERAGE(OFFSET($H$3,0,0,'Données projet'!$E$10+1,1))</f>
        <v>225.24357215754691</v>
      </c>
      <c r="AO23" s="62">
        <f t="shared" si="36"/>
        <v>569.2018208733989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0.28199999999999997</v>
      </c>
      <c r="AS23" s="17">
        <f>IF(ISNA(VLOOKUP(A23,'Données projet'!$A$61:$I$81,6,0)),0%,VLOOKUP(A23,'Données projet'!$A$61:$I$81,6,0)*VLOOKUP('Données projet'!$B$10,Paramètres!$A$1:$I$89,7,0))</f>
        <v>0.126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21.403333333333332</v>
      </c>
      <c r="N24" s="14">
        <f>IF('Données projet'!$A$36&gt;35,N23+M24-V23,IF(A24&lt;'Données projet'!$A$36,$K$205^A24,IF(A24='Données projet'!$A$36,'Données projet'!$B$36,N23+M24-V23)))</f>
        <v>167.07666666666665</v>
      </c>
      <c r="O24" s="14">
        <f>N24*VLOOKUP('Données projet'!$B$9,Paramètres!$A$1:$I$89,3,0)*VLOOKUP('Données projet'!$B$9,Paramètres!$A$1:$I$89,5,0)</f>
        <v>99.911846666666662</v>
      </c>
      <c r="P24" s="14">
        <f t="shared" si="33"/>
        <v>26.940995154457852</v>
      </c>
      <c r="Q24" s="22">
        <f t="shared" si="2"/>
        <v>220.93536617179186</v>
      </c>
      <c r="R24" s="62">
        <f t="shared" si="0"/>
        <v>503.26869950512514</v>
      </c>
      <c r="S24" s="62">
        <f ca="1">AVERAGE(OFFSET($R$3,0,0,'Données projet'!$E$9+1,1))-AVERAGE(OFFSET($H$3,0,0,'Données projet'!$E$9+1,1))</f>
        <v>287.52077437571728</v>
      </c>
      <c r="T24" s="62">
        <f t="shared" si="34"/>
        <v>420.95891230839874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10.294908585731493</v>
      </c>
      <c r="AA24" s="23">
        <f>EXP(-LN(2)/25)*AA23+(1-EXP(-LN(2)/25))/(LN(2)/25)*Calculateur!V24*Calculateur!X24*VLOOKUP('Données projet'!$B$9,Paramètres!$A$1:$I$89,3,0)*0.475*44/12</f>
        <v>11.31871952585483</v>
      </c>
      <c r="AB24" s="23">
        <f>EXP(-LN(2)/2)*AB23+(1-EXP(-LN(2)/2))/(LN(2)/2)*V24*Y24*VLOOKUP('Données projet'!$B$9,Paramètres!$A$1:$I$89,3,0)*0.475*44/12</f>
        <v>5.9545727845237204</v>
      </c>
      <c r="AC24" s="24">
        <f t="shared" si="3"/>
        <v>27.568200896110042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>
        <f>VLOOKUP(A24,'Données projet'!$A$61:$I$81,2,0)</f>
        <v>494</v>
      </c>
      <c r="AG24" s="13">
        <f>VLOOKUP(A24,'Données projet'!$A$61:$I$81,9,0)</f>
        <v>21</v>
      </c>
      <c r="AH24" s="13">
        <f t="array" ref="AH24">INDEX(AG:AG,MIN(IF(ISNUMBER(AG24:AG220),ROW(AG24:AG220),"")))</f>
        <v>21</v>
      </c>
      <c r="AI24" s="14">
        <f>IF('Données projet'!$A$62&gt;35,AI23+AH24-AQ23,IF(A24&lt;'Données projet'!$A$62,$AF$205^A24,IF(A24='Données projet'!$A$62,'Données projet'!$B$62,AI23+AH24-AQ23)))</f>
        <v>494</v>
      </c>
      <c r="AJ24" s="14">
        <f>AI24*VLOOKUP('Données projet'!$B$10,Paramètres!$A$1:$I$89,3,0)*VLOOKUP('Données projet'!$B$10,Paramètres!$A$1:$I$89,5,0)</f>
        <v>251.22864000000001</v>
      </c>
      <c r="AK24" s="14">
        <f t="shared" si="35"/>
        <v>60.848960501473151</v>
      </c>
      <c r="AL24" s="22">
        <f t="shared" si="4"/>
        <v>543.53515420673239</v>
      </c>
      <c r="AM24" s="62">
        <f t="shared" si="5"/>
        <v>825.86848754006564</v>
      </c>
      <c r="AN24" s="62">
        <f ca="1">AVERAGE(OFFSET($AM$3,0,0,'Données projet'!$E$10+1,1))-AVERAGE(OFFSET($H$3,0,0,'Données projet'!$E$10+1,1))</f>
        <v>225.24357215754691</v>
      </c>
      <c r="AO24" s="62">
        <f t="shared" si="36"/>
        <v>569.2018208733989</v>
      </c>
      <c r="AP24" s="16">
        <f>IF(ISNA(VLOOKUP(A24,'Données projet'!$A$61:$I$81,3,0)),0,VLOOKUP(A24,'Données projet'!$A$61:$I$81,3,0))</f>
        <v>1</v>
      </c>
      <c r="AQ24" s="16">
        <f>IF(ISNA(VLOOKUP(A24,'Données projet'!$A$61:$I$81,4,0)),0,VLOOKUP(A24,'Données projet'!$A$61:$I$81,4,0))</f>
        <v>494</v>
      </c>
      <c r="AR24" s="17">
        <f>IF(ISNA(VLOOKUP(A24,'Données projet'!$A$61:$I$81,5,0)),0%,VLOOKUP(A24,'Données projet'!$A$61:$I$81,5,0)*VLOOKUP('Données projet'!$B$10,Paramètres!$A$1:$I$89,7,0))</f>
        <v>0.28199999999999997</v>
      </c>
      <c r="AS24" s="17">
        <f>IF(ISNA(VLOOKUP(A24,'Données projet'!$A$61:$I$81,6,0)),0%,VLOOKUP(A24,'Données projet'!$A$61:$I$81,6,0)*VLOOKUP('Données projet'!$B$10,Paramètres!$A$1:$I$89,7,0))</f>
        <v>0.126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78.318681242917819</v>
      </c>
      <c r="AV24" s="23">
        <f>EXP(-LN(2)/25)*AV23+(1-EXP(-LN(2)/25))/(LN(2)/25)*Calculateur!AQ24*Calculateur!AS24*VLOOKUP('Données projet'!$B$10,Paramètres!$A$1:$I$89,3,0)*0.475*44/12</f>
        <v>34.855670762026698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113.17435200494452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21.403333333333332</v>
      </c>
      <c r="N25" s="14">
        <f>IF('Données projet'!$A$36&gt;35,N24+M25-V24,IF(A25&lt;'Données projet'!$A$36,$K$205^A25,IF(A25='Données projet'!$A$36,'Données projet'!$B$36,N24+M25-V24)))</f>
        <v>188.48</v>
      </c>
      <c r="O25" s="14">
        <f>N25*VLOOKUP('Données projet'!$B$9,Paramètres!$A$1:$I$89,3,0)*VLOOKUP('Données projet'!$B$9,Paramètres!$A$1:$I$89,5,0)</f>
        <v>112.71104000000001</v>
      </c>
      <c r="P25" s="14">
        <f t="shared" si="33"/>
        <v>29.968818833735142</v>
      </c>
      <c r="Q25" s="22">
        <f t="shared" si="2"/>
        <v>248.50075413542206</v>
      </c>
      <c r="R25" s="62">
        <f t="shared" si="0"/>
        <v>532.05630969097763</v>
      </c>
      <c r="S25" s="62">
        <f ca="1">AVERAGE(OFFSET($R$3,0,0,'Données projet'!$E$9+1,1))-AVERAGE(OFFSET($H$3,0,0,'Données projet'!$E$9+1,1))</f>
        <v>287.52077437571728</v>
      </c>
      <c r="T25" s="62">
        <f t="shared" si="34"/>
        <v>420.95891230839874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10.09303170763951</v>
      </c>
      <c r="AA25" s="23">
        <f>EXP(-LN(2)/25)*AA24+(1-EXP(-LN(2)/25))/(LN(2)/25)*Calculateur!V25*Calculateur!X25*VLOOKUP('Données projet'!$B$9,Paramètres!$A$1:$I$89,3,0)*0.475*44/12</f>
        <v>11.009208545194738</v>
      </c>
      <c r="AB25" s="23">
        <f>EXP(-LN(2)/2)*AB24+(1-EXP(-LN(2)/2))/(LN(2)/2)*V25*Y25*VLOOKUP('Données projet'!$B$9,Paramètres!$A$1:$I$89,3,0)*0.475*44/12</f>
        <v>4.2105187950055853</v>
      </c>
      <c r="AC25" s="24">
        <f t="shared" si="3"/>
        <v>25.312759047839833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>
        <f>AI25*VLOOKUP('Données projet'!$B$10,Paramètres!$A$1:$I$89,3,0)*VLOOKUP('Données projet'!$B$10,Paramètres!$A$1:$I$89,5,0)</f>
        <v>0</v>
      </c>
      <c r="AK25" s="14" t="e">
        <f t="shared" si="35"/>
        <v>#NUM!</v>
      </c>
      <c r="AL25" s="22" t="e">
        <f t="shared" si="4"/>
        <v>#NUM!</v>
      </c>
      <c r="AM25" s="62" t="e">
        <f t="shared" si="5"/>
        <v>#NUM!</v>
      </c>
      <c r="AN25" s="62">
        <f ca="1">AVERAGE(OFFSET($AM$3,0,0,'Données projet'!$E$10+1,1))-AVERAGE(OFFSET($H$3,0,0,'Données projet'!$E$10+1,1))</f>
        <v>225.24357215754691</v>
      </c>
      <c r="AO25" s="62">
        <f t="shared" si="36"/>
        <v>569.2018208733989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76.782899673422889</v>
      </c>
      <c r="AV25" s="23">
        <f>EXP(-LN(2)/25)*AV24+(1-EXP(-LN(2)/25))/(LN(2)/25)*Calculateur!AQ25*Calculateur!AS25*VLOOKUP('Données projet'!$B$10,Paramètres!$A$1:$I$89,3,0)*0.475*44/12</f>
        <v>33.902540612059013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110.6854402854819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21.403333333333332</v>
      </c>
      <c r="N26" s="14">
        <f>IF('Données projet'!$A$36&gt;35,N25+M26-V25,IF(A26&lt;'Données projet'!$A$36,$K$205^A26,IF(A26='Données projet'!$A$36,'Données projet'!$B$36,N25+M26-V25)))</f>
        <v>209.88333333333333</v>
      </c>
      <c r="O26" s="14">
        <f>N26*VLOOKUP('Données projet'!$B$9,Paramètres!$A$1:$I$89,3,0)*VLOOKUP('Données projet'!$B$9,Paramètres!$A$1:$I$89,5,0)</f>
        <v>125.51023333333335</v>
      </c>
      <c r="P26" s="14">
        <f t="shared" si="33"/>
        <v>32.956793460624539</v>
      </c>
      <c r="Q26" s="22">
        <f t="shared" si="2"/>
        <v>275.99673833280997</v>
      </c>
      <c r="R26" s="62">
        <f t="shared" si="0"/>
        <v>560.77451611058768</v>
      </c>
      <c r="S26" s="62">
        <f ca="1">AVERAGE(OFFSET($R$3,0,0,'Données projet'!$E$9+1,1))-AVERAGE(OFFSET($H$3,0,0,'Données projet'!$E$9+1,1))</f>
        <v>287.52077437571728</v>
      </c>
      <c r="T26" s="62">
        <f t="shared" si="34"/>
        <v>420.95891230839874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9.8951135119941718</v>
      </c>
      <c r="AA26" s="23">
        <f>EXP(-LN(2)/25)*AA25+(1-EXP(-LN(2)/25))/(LN(2)/25)*Calculateur!V26*Calculateur!X26*VLOOKUP('Données projet'!$B$9,Paramètres!$A$1:$I$89,3,0)*0.475*44/12</f>
        <v>10.708161158577273</v>
      </c>
      <c r="AB26" s="23">
        <f>EXP(-LN(2)/2)*AB25+(1-EXP(-LN(2)/2))/(LN(2)/2)*V26*Y26*VLOOKUP('Données projet'!$B$9,Paramètres!$A$1:$I$89,3,0)*0.475*44/12</f>
        <v>2.9772863922618602</v>
      </c>
      <c r="AC26" s="24">
        <f t="shared" si="3"/>
        <v>23.580561062833304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>
        <f>AI26*VLOOKUP('Données projet'!$B$10,Paramètres!$A$1:$I$89,3,0)*VLOOKUP('Données projet'!$B$10,Paramètres!$A$1:$I$89,5,0)</f>
        <v>0</v>
      </c>
      <c r="AK26" s="14" t="e">
        <f t="shared" si="35"/>
        <v>#NUM!</v>
      </c>
      <c r="AL26" s="22" t="e">
        <f t="shared" si="4"/>
        <v>#NUM!</v>
      </c>
      <c r="AM26" s="62" t="e">
        <f t="shared" si="5"/>
        <v>#NUM!</v>
      </c>
      <c r="AN26" s="62">
        <f ca="1">AVERAGE(OFFSET($AM$3,0,0,'Données projet'!$E$10+1,1))-AVERAGE(OFFSET($H$3,0,0,'Données projet'!$E$10+1,1))</f>
        <v>225.24357215754691</v>
      </c>
      <c r="AO26" s="62">
        <f t="shared" si="36"/>
        <v>569.2018208733989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75.277233843771498</v>
      </c>
      <c r="AV26" s="23">
        <f>EXP(-LN(2)/25)*AV25+(1-EXP(-LN(2)/25))/(LN(2)/25)*Calculateur!AQ26*Calculateur!AS26*VLOOKUP('Données projet'!$B$10,Paramètres!$A$1:$I$89,3,0)*0.475*44/12</f>
        <v>32.975473856165131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108.25270769993662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21.403333333333332</v>
      </c>
      <c r="N27" s="14">
        <f>IF('Données projet'!$A$36&gt;35,N26+M27-V26,IF(A27&lt;'Données projet'!$A$36,$K$205^A27,IF(A27='Données projet'!$A$36,'Données projet'!$B$36,N26+M27-V26)))</f>
        <v>231.28666666666666</v>
      </c>
      <c r="O27" s="14">
        <f>N27*VLOOKUP('Données projet'!$B$9,Paramètres!$A$1:$I$89,3,0)*VLOOKUP('Données projet'!$B$9,Paramètres!$A$1:$I$89,5,0)</f>
        <v>138.30942666666667</v>
      </c>
      <c r="P27" s="14">
        <f t="shared" si="33"/>
        <v>35.909445469885178</v>
      </c>
      <c r="Q27" s="22">
        <f t="shared" si="2"/>
        <v>303.43120230449443</v>
      </c>
      <c r="R27" s="62">
        <f t="shared" si="0"/>
        <v>589.43120230449449</v>
      </c>
      <c r="S27" s="62">
        <f ca="1">AVERAGE(OFFSET($R$3,0,0,'Données projet'!$E$9+1,1))-AVERAGE(OFFSET($H$3,0,0,'Données projet'!$E$9+1,1))</f>
        <v>287.52077437571728</v>
      </c>
      <c r="T27" s="62">
        <f t="shared" si="34"/>
        <v>420.95891230839874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9.7010763714472592</v>
      </c>
      <c r="AA27" s="23">
        <f>EXP(-LN(2)/25)*AA26+(1-EXP(-LN(2)/25))/(LN(2)/25)*Calculateur!V27*Calculateur!X27*VLOOKUP('Données projet'!$B$9,Paramètres!$A$1:$I$89,3,0)*0.475*44/12</f>
        <v>10.415345928578256</v>
      </c>
      <c r="AB27" s="23">
        <f>EXP(-LN(2)/2)*AB26+(1-EXP(-LN(2)/2))/(LN(2)/2)*V27*Y27*VLOOKUP('Données projet'!$B$9,Paramètres!$A$1:$I$89,3,0)*0.475*44/12</f>
        <v>2.1052593975027927</v>
      </c>
      <c r="AC27" s="24">
        <f t="shared" si="3"/>
        <v>22.221681697528307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>
        <f>AI27*VLOOKUP('Données projet'!$B$10,Paramètres!$A$1:$I$89,3,0)*VLOOKUP('Données projet'!$B$10,Paramètres!$A$1:$I$89,5,0)</f>
        <v>0</v>
      </c>
      <c r="AK27" s="14" t="e">
        <f t="shared" si="35"/>
        <v>#NUM!</v>
      </c>
      <c r="AL27" s="22" t="e">
        <f t="shared" si="4"/>
        <v>#NUM!</v>
      </c>
      <c r="AM27" s="62" t="e">
        <f t="shared" si="5"/>
        <v>#NUM!</v>
      </c>
      <c r="AN27" s="62">
        <f ca="1">AVERAGE(OFFSET($AM$3,0,0,'Données projet'!$E$10+1,1))-AVERAGE(OFFSET($H$3,0,0,'Données projet'!$E$10+1,1))</f>
        <v>225.24357215754691</v>
      </c>
      <c r="AO27" s="62">
        <f t="shared" si="36"/>
        <v>569.2018208733989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73.801093202674096</v>
      </c>
      <c r="AV27" s="23">
        <f>EXP(-LN(2)/25)*AV26+(1-EXP(-LN(2)/25))/(LN(2)/25)*Calculateur!AQ27*Calculateur!AS27*VLOOKUP('Données projet'!$B$10,Paramètres!$A$1:$I$89,3,0)*0.475*44/12</f>
        <v>32.073757789463492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105.8748509921376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252.69</v>
      </c>
      <c r="L28" s="13">
        <f>VLOOKUP(A28,'Données projet'!$A$35:$I$55,9,0)</f>
        <v>21.403333333333332</v>
      </c>
      <c r="M28" s="13">
        <f t="array" ref="M28">INDEX(L:L,MIN(IF(ISNUMBER(L28:L224),ROW(L28:L224),"")))</f>
        <v>21.403333333333332</v>
      </c>
      <c r="N28" s="14">
        <f>IF('Données projet'!$A$36&gt;35,N27+M28-V27,IF(A28&lt;'Données projet'!$A$36,$K$205^A28,IF(A28='Données projet'!$A$36,'Données projet'!$B$36,N27+M28-V27)))</f>
        <v>252.69</v>
      </c>
      <c r="O28" s="14">
        <f>N28*VLOOKUP('Données projet'!$B$9,Paramètres!$A$1:$I$89,3,0)*VLOOKUP('Données projet'!$B$9,Paramètres!$A$1:$I$89,5,0)</f>
        <v>151.10862</v>
      </c>
      <c r="P28" s="14">
        <f t="shared" si="33"/>
        <v>38.830415421175942</v>
      </c>
      <c r="Q28" s="22">
        <f t="shared" si="2"/>
        <v>330.81048669188147</v>
      </c>
      <c r="R28" s="62">
        <f t="shared" si="0"/>
        <v>618.03270891410375</v>
      </c>
      <c r="S28" s="62">
        <f ca="1">AVERAGE(OFFSET($R$3,0,0,'Données projet'!$E$9+1,1))-AVERAGE(OFFSET($H$3,0,0,'Données projet'!$E$9+1,1))</f>
        <v>287.52077437571728</v>
      </c>
      <c r="T28" s="62">
        <f t="shared" si="34"/>
        <v>420.95891230839874</v>
      </c>
      <c r="U28" s="16">
        <f>IF(ISNA(VLOOKUP(A28,'Données projet'!$A$35:$I$55,3,0)),0,VLOOKUP(A28,'Données projet'!$A$35:$I$55,3,0))</f>
        <v>3</v>
      </c>
      <c r="V28" s="16">
        <f>IF(ISNA(VLOOKUP(A28,'Données projet'!$A$35:$I$55,4,0)),0,VLOOKUP(A28,'Données projet'!$A$35:$I$55,4,0))</f>
        <v>60.96</v>
      </c>
      <c r="W28" s="17">
        <f>IF(ISNA(VLOOKUP(A28,'Données projet'!$A$35:$I$55,5,0)),0%,VLOOKUP(A28,'Données projet'!$A$35:$I$55,5,0)*VLOOKUP('Données projet'!$B$9,Paramètres!$A$1:$I$89,7,0))</f>
        <v>0.27</v>
      </c>
      <c r="X28" s="17">
        <f>IF(ISNA(VLOOKUP(A28,'Données projet'!$A$35:$I$55,6,0)),0%,VLOOKUP(A28,'Données projet'!$A$35:$I$55,6,0)*VLOOKUP('Données projet'!$B$9,Paramètres!$A$1:$I$89,7,0))</f>
        <v>9.9000000000000005E-2</v>
      </c>
      <c r="Y28" s="17">
        <f>IF(ISNA(VLOOKUP(A28,'Données projet'!$A$35:$I$55,7,0)),0%,VLOOKUP(A28,'Données projet'!$A$35:$I$55,7,0))</f>
        <v>0.18</v>
      </c>
      <c r="Z28" s="23">
        <f>EXP(-LN(2)/35)*Z27+(1-EXP(-LN(2)/35))/(LN(2)/35)*V28*W28*VLOOKUP('Données projet'!$B$9,Paramètres!$A$1:$I$89,3,0)*0.475*44/12</f>
        <v>22.567689612487854</v>
      </c>
      <c r="AA28" s="23">
        <f>EXP(-LN(2)/25)*AA27+(1-EXP(-LN(2)/25))/(LN(2)/25)*Calculateur!V28*Calculateur!X28*VLOOKUP('Données projet'!$B$9,Paramètres!$A$1:$I$89,3,0)*0.475*44/12</f>
        <v>14.899197487012026</v>
      </c>
      <c r="AB28" s="23">
        <f>EXP(-LN(2)/2)*AB27+(1-EXP(-LN(2)/2))/(LN(2)/2)*V28*Y28*VLOOKUP('Données projet'!$B$9,Paramètres!$A$1:$I$89,3,0)*0.475*44/12</f>
        <v>8.9180508116013755</v>
      </c>
      <c r="AC28" s="24">
        <f t="shared" si="3"/>
        <v>46.384937911101254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>
        <f>AI28*VLOOKUP('Données projet'!$B$10,Paramètres!$A$1:$I$89,3,0)*VLOOKUP('Données projet'!$B$10,Paramètres!$A$1:$I$89,5,0)</f>
        <v>0</v>
      </c>
      <c r="AK28" s="14" t="e">
        <f t="shared" si="35"/>
        <v>#NUM!</v>
      </c>
      <c r="AL28" s="22" t="e">
        <f t="shared" si="4"/>
        <v>#NUM!</v>
      </c>
      <c r="AM28" s="62" t="e">
        <f t="shared" si="5"/>
        <v>#NUM!</v>
      </c>
      <c r="AN28" s="62">
        <f ca="1">AVERAGE(OFFSET($AM$3,0,0,'Données projet'!$E$10+1,1))-AVERAGE(OFFSET($H$3,0,0,'Données projet'!$E$10+1,1))</f>
        <v>225.24357215754691</v>
      </c>
      <c r="AO28" s="62">
        <f t="shared" si="36"/>
        <v>569.2018208733989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72.353898779191724</v>
      </c>
      <c r="AV28" s="23">
        <f>EXP(-LN(2)/25)*AV27+(1-EXP(-LN(2)/25))/(LN(2)/25)*Calculateur!AQ28*Calculateur!AS28*VLOOKUP('Données projet'!$B$10,Paramètres!$A$1:$I$89,3,0)*0.475*44/12</f>
        <v>31.196699196024998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103.55059797521672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20.575714285714287</v>
      </c>
      <c r="N29" s="14">
        <f>IF('Données projet'!$A$36&gt;35,N28+M29-V28,IF(A29&lt;'Données projet'!$A$36,$K$205^A29,IF(A29='Données projet'!$A$36,'Données projet'!$B$36,N28+M29-V28)))</f>
        <v>212.30571428571429</v>
      </c>
      <c r="O29" s="14">
        <f>N29*VLOOKUP('Données projet'!$B$9,Paramètres!$A$1:$I$89,3,0)*VLOOKUP('Données projet'!$B$9,Paramètres!$A$1:$I$89,5,0)</f>
        <v>126.95881714285716</v>
      </c>
      <c r="P29" s="14">
        <f t="shared" si="33"/>
        <v>33.292666057268733</v>
      </c>
      <c r="Q29" s="22">
        <f t="shared" si="2"/>
        <v>279.10466657355261</v>
      </c>
      <c r="R29" s="62">
        <f t="shared" si="0"/>
        <v>567.54911101799712</v>
      </c>
      <c r="S29" s="62">
        <f ca="1">AVERAGE(OFFSET($R$3,0,0,'Données projet'!$E$9+1,1))-AVERAGE(OFFSET($H$3,0,0,'Données projet'!$E$9+1,1))</f>
        <v>287.52077437571728</v>
      </c>
      <c r="T29" s="62">
        <f t="shared" si="34"/>
        <v>420.95891230839874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22.125150984118456</v>
      </c>
      <c r="AA29" s="23">
        <f>EXP(-LN(2)/25)*AA28+(1-EXP(-LN(2)/25))/(LN(2)/25)*Calculateur!V29*Calculateur!X29*VLOOKUP('Données projet'!$B$9,Paramètres!$A$1:$I$89,3,0)*0.475*44/12</f>
        <v>14.491778148214939</v>
      </c>
      <c r="AB29" s="23">
        <f>EXP(-LN(2)/2)*AB28+(1-EXP(-LN(2)/2))/(LN(2)/2)*V29*Y29*VLOOKUP('Données projet'!$B$9,Paramètres!$A$1:$I$89,3,0)*0.475*44/12</f>
        <v>6.3060142038495268</v>
      </c>
      <c r="AC29" s="24">
        <f t="shared" si="3"/>
        <v>42.922943336182925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>
        <f>AI29*VLOOKUP('Données projet'!$B$10,Paramètres!$A$1:$I$89,3,0)*VLOOKUP('Données projet'!$B$10,Paramètres!$A$1:$I$89,5,0)</f>
        <v>0</v>
      </c>
      <c r="AK29" s="14" t="e">
        <f t="shared" si="35"/>
        <v>#NUM!</v>
      </c>
      <c r="AL29" s="22" t="e">
        <f t="shared" si="4"/>
        <v>#NUM!</v>
      </c>
      <c r="AM29" s="62" t="e">
        <f t="shared" si="5"/>
        <v>#NUM!</v>
      </c>
      <c r="AN29" s="62">
        <f ca="1">AVERAGE(OFFSET($AM$3,0,0,'Données projet'!$E$10+1,1))-AVERAGE(OFFSET($H$3,0,0,'Données projet'!$E$10+1,1))</f>
        <v>225.24357215754691</v>
      </c>
      <c r="AO29" s="62">
        <f t="shared" si="36"/>
        <v>569.2018208733989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70.935082955652405</v>
      </c>
      <c r="AV29" s="23">
        <f>EXP(-LN(2)/25)*AV28+(1-EXP(-LN(2)/25))/(LN(2)/25)*Calculateur!AQ29*Calculateur!AS29*VLOOKUP('Données projet'!$B$10,Paramètres!$A$1:$I$89,3,0)*0.475*44/12</f>
        <v>30.343623815946586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101.27870677159899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20.575714285714287</v>
      </c>
      <c r="N30" s="14">
        <f>IF('Données projet'!$A$36&gt;35,N29+M30-V29,IF(A30&lt;'Données projet'!$A$36,$K$205^A30,IF(A30='Données projet'!$A$36,'Données projet'!$B$36,N29+M30-V29)))</f>
        <v>232.88142857142859</v>
      </c>
      <c r="O30" s="14">
        <f>N30*VLOOKUP('Données projet'!$B$9,Paramètres!$A$1:$I$89,3,0)*VLOOKUP('Données projet'!$B$9,Paramètres!$A$1:$I$89,5,0)</f>
        <v>139.26309428571432</v>
      </c>
      <c r="P30" s="14">
        <f t="shared" si="33"/>
        <v>36.128138927166717</v>
      </c>
      <c r="Q30" s="22">
        <f t="shared" si="2"/>
        <v>305.47306451243452</v>
      </c>
      <c r="R30" s="62">
        <f t="shared" si="0"/>
        <v>595.1397311791012</v>
      </c>
      <c r="S30" s="62">
        <f ca="1">AVERAGE(OFFSET($R$3,0,0,'Données projet'!$E$9+1,1))-AVERAGE(OFFSET($H$3,0,0,'Données projet'!$E$9+1,1))</f>
        <v>287.52077437571728</v>
      </c>
      <c r="T30" s="62">
        <f t="shared" si="34"/>
        <v>420.95891230839874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21.691290268329471</v>
      </c>
      <c r="AA30" s="23">
        <f>EXP(-LN(2)/25)*AA29+(1-EXP(-LN(2)/25))/(LN(2)/25)*Calculateur!V30*Calculateur!X30*VLOOKUP('Données projet'!$B$9,Paramètres!$A$1:$I$89,3,0)*0.475*44/12</f>
        <v>14.095499712662511</v>
      </c>
      <c r="AB30" s="23">
        <f>EXP(-LN(2)/2)*AB29+(1-EXP(-LN(2)/2))/(LN(2)/2)*V30*Y30*VLOOKUP('Données projet'!$B$9,Paramètres!$A$1:$I$89,3,0)*0.475*44/12</f>
        <v>4.4590254058006886</v>
      </c>
      <c r="AC30" s="24">
        <f t="shared" si="3"/>
        <v>40.245815386792671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>
        <f>AI30*VLOOKUP('Données projet'!$B$10,Paramètres!$A$1:$I$89,3,0)*VLOOKUP('Données projet'!$B$10,Paramètres!$A$1:$I$89,5,0)</f>
        <v>0</v>
      </c>
      <c r="AK30" s="14" t="e">
        <f t="shared" si="35"/>
        <v>#NUM!</v>
      </c>
      <c r="AL30" s="22" t="e">
        <f t="shared" si="4"/>
        <v>#NUM!</v>
      </c>
      <c r="AM30" s="62" t="e">
        <f t="shared" si="5"/>
        <v>#NUM!</v>
      </c>
      <c r="AN30" s="62">
        <f ca="1">AVERAGE(OFFSET($AM$3,0,0,'Données projet'!$E$10+1,1))-AVERAGE(OFFSET($H$3,0,0,'Données projet'!$E$10+1,1))</f>
        <v>225.24357215754691</v>
      </c>
      <c r="AO30" s="62">
        <f t="shared" si="36"/>
        <v>569.2018208733989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69.544089245020487</v>
      </c>
      <c r="AV30" s="23">
        <f>EXP(-LN(2)/25)*AV29+(1-EXP(-LN(2)/25))/(LN(2)/25)*Calculateur!AQ30*Calculateur!AS30*VLOOKUP('Données projet'!$B$10,Paramètres!$A$1:$I$89,3,0)*0.475*44/12</f>
        <v>29.513875826997701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99.057965072018192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20.575714285714287</v>
      </c>
      <c r="N31" s="14">
        <f>IF('Données projet'!$A$36&gt;35,N30+M31-V30,IF(A31&lt;'Données projet'!$A$36,$K$205^A31,IF(A31='Données projet'!$A$36,'Données projet'!$B$36,N30+M31-V30)))</f>
        <v>253.45714285714288</v>
      </c>
      <c r="O31" s="14">
        <f>N31*VLOOKUP('Données projet'!$B$9,Paramètres!$A$1:$I$89,3,0)*VLOOKUP('Données projet'!$B$9,Paramètres!$A$1:$I$89,5,0)</f>
        <v>151.56737142857145</v>
      </c>
      <c r="P31" s="14">
        <f t="shared" si="33"/>
        <v>38.934560626064055</v>
      </c>
      <c r="Q31" s="22">
        <f t="shared" si="2"/>
        <v>331.79086499515682</v>
      </c>
      <c r="R31" s="62">
        <f t="shared" si="0"/>
        <v>622.67975388404568</v>
      </c>
      <c r="S31" s="62">
        <f ca="1">AVERAGE(OFFSET($R$3,0,0,'Données projet'!$E$9+1,1))-AVERAGE(OFFSET($H$3,0,0,'Données projet'!$E$9+1,1))</f>
        <v>287.52077437571728</v>
      </c>
      <c r="T31" s="62">
        <f t="shared" si="34"/>
        <v>420.95891230839874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21.265937296548202</v>
      </c>
      <c r="AA31" s="23">
        <f>EXP(-LN(2)/25)*AA30+(1-EXP(-LN(2)/25))/(LN(2)/25)*Calculateur!V31*Calculateur!X31*VLOOKUP('Données projet'!$B$9,Paramètres!$A$1:$I$89,3,0)*0.475*44/12</f>
        <v>13.710057531769641</v>
      </c>
      <c r="AB31" s="23">
        <f>EXP(-LN(2)/2)*AB30+(1-EXP(-LN(2)/2))/(LN(2)/2)*V31*Y31*VLOOKUP('Données projet'!$B$9,Paramètres!$A$1:$I$89,3,0)*0.475*44/12</f>
        <v>3.1530071019247639</v>
      </c>
      <c r="AC31" s="24">
        <f t="shared" si="3"/>
        <v>38.129001930242609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>
        <f>AI31*VLOOKUP('Données projet'!$B$10,Paramètres!$A$1:$I$89,3,0)*VLOOKUP('Données projet'!$B$10,Paramètres!$A$1:$I$89,5,0)</f>
        <v>0</v>
      </c>
      <c r="AK31" s="14" t="e">
        <f t="shared" si="35"/>
        <v>#NUM!</v>
      </c>
      <c r="AL31" s="22" t="e">
        <f t="shared" si="4"/>
        <v>#NUM!</v>
      </c>
      <c r="AM31" s="62" t="e">
        <f t="shared" si="5"/>
        <v>#NUM!</v>
      </c>
      <c r="AN31" s="62">
        <f ca="1">AVERAGE(OFFSET($AM$3,0,0,'Données projet'!$E$10+1,1))-AVERAGE(OFFSET($H$3,0,0,'Données projet'!$E$10+1,1))</f>
        <v>225.24357215754691</v>
      </c>
      <c r="AO31" s="62">
        <f t="shared" si="36"/>
        <v>569.2018208733989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68.18037207263167</v>
      </c>
      <c r="AV31" s="23">
        <f>EXP(-LN(2)/25)*AV30+(1-EXP(-LN(2)/25))/(LN(2)/25)*Calculateur!AQ31*Calculateur!AS31*VLOOKUP('Données projet'!$B$10,Paramètres!$A$1:$I$89,3,0)*0.475*44/12</f>
        <v>28.706817340441173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96.887189413072846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20.575714285714287</v>
      </c>
      <c r="N32" s="14">
        <f>IF('Données projet'!$A$36&gt;35,N31+M32-V31,IF(A32&lt;'Données projet'!$A$36,$K$205^A32,IF(A32='Données projet'!$A$36,'Données projet'!$B$36,N31+M32-V31)))</f>
        <v>274.03285714285715</v>
      </c>
      <c r="O32" s="14">
        <f>N32*VLOOKUP('Données projet'!$B$9,Paramètres!$A$1:$I$89,3,0)*VLOOKUP('Données projet'!$B$9,Paramètres!$A$1:$I$89,5,0)</f>
        <v>163.87164857142858</v>
      </c>
      <c r="P32" s="14">
        <f t="shared" si="33"/>
        <v>41.714557659402736</v>
      </c>
      <c r="Q32" s="22">
        <f t="shared" si="2"/>
        <v>358.06264251869788</v>
      </c>
      <c r="R32" s="62">
        <f t="shared" si="0"/>
        <v>650.17375362980897</v>
      </c>
      <c r="S32" s="62">
        <f ca="1">AVERAGE(OFFSET($R$3,0,0,'Données projet'!$E$9+1,1))-AVERAGE(OFFSET($H$3,0,0,'Données projet'!$E$9+1,1))</f>
        <v>287.52077437571728</v>
      </c>
      <c r="T32" s="62">
        <f t="shared" si="34"/>
        <v>420.95891230839874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20.84892523710387</v>
      </c>
      <c r="AA32" s="23">
        <f>EXP(-LN(2)/25)*AA31+(1-EXP(-LN(2)/25))/(LN(2)/25)*Calculateur!V32*Calculateur!X32*VLOOKUP('Données projet'!$B$9,Paramètres!$A$1:$I$89,3,0)*0.475*44/12</f>
        <v>13.335155287582809</v>
      </c>
      <c r="AB32" s="23">
        <f>EXP(-LN(2)/2)*AB31+(1-EXP(-LN(2)/2))/(LN(2)/2)*V32*Y32*VLOOKUP('Données projet'!$B$9,Paramètres!$A$1:$I$89,3,0)*0.475*44/12</f>
        <v>2.2295127029003443</v>
      </c>
      <c r="AC32" s="24">
        <f t="shared" si="3"/>
        <v>36.413593227587022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>
        <f>AI32*VLOOKUP('Données projet'!$B$10,Paramètres!$A$1:$I$89,3,0)*VLOOKUP('Données projet'!$B$10,Paramètres!$A$1:$I$89,5,0)</f>
        <v>0</v>
      </c>
      <c r="AK32" s="14" t="e">
        <f t="shared" si="35"/>
        <v>#NUM!</v>
      </c>
      <c r="AL32" s="22" t="e">
        <f t="shared" si="4"/>
        <v>#NUM!</v>
      </c>
      <c r="AM32" s="62" t="e">
        <f t="shared" si="5"/>
        <v>#NUM!</v>
      </c>
      <c r="AN32" s="62">
        <f ca="1">AVERAGE(OFFSET($AM$3,0,0,'Données projet'!$E$10+1,1))-AVERAGE(OFFSET($H$3,0,0,'Données projet'!$E$10+1,1))</f>
        <v>225.24357215754691</v>
      </c>
      <c r="AO32" s="62">
        <f t="shared" si="36"/>
        <v>569.2018208733989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66.843396562208056</v>
      </c>
      <c r="AV32" s="23">
        <f>EXP(-LN(2)/25)*AV31+(1-EXP(-LN(2)/25))/(LN(2)/25)*Calculateur!AQ32*Calculateur!AS32*VLOOKUP('Données projet'!$B$10,Paramètres!$A$1:$I$89,3,0)*0.475*44/12</f>
        <v>27.921827910640896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94.765224472848956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20.575714285714287</v>
      </c>
      <c r="N33" s="14">
        <f>IF('Données projet'!$A$36&gt;35,N32+M33-V32,IF(A33&lt;'Données projet'!$A$36,$K$205^A33,IF(A33='Données projet'!$A$36,'Données projet'!$B$36,N32+M33-V32)))</f>
        <v>294.60857142857145</v>
      </c>
      <c r="O33" s="14">
        <f>N33*VLOOKUP('Données projet'!$B$9,Paramètres!$A$1:$I$89,3,0)*VLOOKUP('Données projet'!$B$9,Paramètres!$A$1:$I$89,5,0)</f>
        <v>176.17592571428574</v>
      </c>
      <c r="P33" s="14">
        <f t="shared" si="33"/>
        <v>44.470339725943226</v>
      </c>
      <c r="Q33" s="22">
        <f t="shared" si="2"/>
        <v>384.29224564173211</v>
      </c>
      <c r="R33" s="62">
        <f t="shared" si="0"/>
        <v>677.62557897506542</v>
      </c>
      <c r="S33" s="62">
        <f ca="1">AVERAGE(OFFSET($R$3,0,0,'Données projet'!$E$9+1,1))-AVERAGE(OFFSET($H$3,0,0,'Données projet'!$E$9+1,1))</f>
        <v>287.52077437571728</v>
      </c>
      <c r="T33" s="62">
        <f t="shared" si="34"/>
        <v>420.95891230839874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20.440090529793</v>
      </c>
      <c r="AA33" s="23">
        <f>EXP(-LN(2)/25)*AA32+(1-EXP(-LN(2)/25))/(LN(2)/25)*Calculateur!V33*Calculateur!X33*VLOOKUP('Données projet'!$B$9,Paramètres!$A$1:$I$89,3,0)*0.475*44/12</f>
        <v>12.97050476497852</v>
      </c>
      <c r="AB33" s="23">
        <f>EXP(-LN(2)/2)*AB32+(1-EXP(-LN(2)/2))/(LN(2)/2)*V33*Y33*VLOOKUP('Données projet'!$B$9,Paramètres!$A$1:$I$89,3,0)*0.475*44/12</f>
        <v>1.5765035509623819</v>
      </c>
      <c r="AC33" s="24">
        <f t="shared" si="3"/>
        <v>34.987098845733897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>
        <f>AI33*VLOOKUP('Données projet'!$B$10,Paramètres!$A$1:$I$89,3,0)*VLOOKUP('Données projet'!$B$10,Paramètres!$A$1:$I$89,5,0)</f>
        <v>0</v>
      </c>
      <c r="AK33" s="14" t="e">
        <f t="shared" si="35"/>
        <v>#NUM!</v>
      </c>
      <c r="AL33" s="22" t="e">
        <f t="shared" si="4"/>
        <v>#NUM!</v>
      </c>
      <c r="AM33" s="62" t="e">
        <f t="shared" si="5"/>
        <v>#NUM!</v>
      </c>
      <c r="AN33" s="62">
        <f ca="1">AVERAGE(OFFSET($AM$3,0,0,'Données projet'!$E$10+1,1))-AVERAGE(OFFSET($H$3,0,0,'Données projet'!$E$10+1,1))</f>
        <v>225.24357215754691</v>
      </c>
      <c r="AO33" s="62">
        <f t="shared" si="36"/>
        <v>569.2018208733989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65.532638326069318</v>
      </c>
      <c r="AV33" s="23">
        <f>EXP(-LN(2)/25)*AV32+(1-EXP(-LN(2)/25))/(LN(2)/25)*Calculateur!AQ33*Calculateur!AS33*VLOOKUP('Données projet'!$B$10,Paramètres!$A$1:$I$89,3,0)*0.475*44/12</f>
        <v>27.158304058079306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92.690942384148627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20.575714285714287</v>
      </c>
      <c r="N34" s="14">
        <f>IF('Données projet'!$A$36&gt;35,N33+M34-V33,IF(A34&lt;'Données projet'!$A$36,$K$205^A34,IF(A34='Données projet'!$A$36,'Données projet'!$B$36,N33+M34-V33)))</f>
        <v>315.18428571428575</v>
      </c>
      <c r="O34" s="14">
        <f>N34*VLOOKUP('Données projet'!$B$9,Paramètres!$A$1:$I$89,3,0)*VLOOKUP('Données projet'!$B$9,Paramètres!$A$1:$I$89,5,0)</f>
        <v>188.4802028571429</v>
      </c>
      <c r="P34" s="14">
        <f t="shared" si="33"/>
        <v>47.203790390431891</v>
      </c>
      <c r="Q34" s="22">
        <f t="shared" si="2"/>
        <v>410.48295490619279</v>
      </c>
      <c r="R34" s="62">
        <f t="shared" si="0"/>
        <v>703.8162882395261</v>
      </c>
      <c r="S34" s="62">
        <f ca="1">AVERAGE(OFFSET($R$3,0,0,'Données projet'!$E$9+1,1))-AVERAGE(OFFSET($H$3,0,0,'Données projet'!$E$9+1,1))</f>
        <v>287.52077437571728</v>
      </c>
      <c r="T34" s="62">
        <f t="shared" si="34"/>
        <v>420.95891230839874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20.039272821727945</v>
      </c>
      <c r="AA34" s="23">
        <f>EXP(-LN(2)/25)*AA33+(1-EXP(-LN(2)/25))/(LN(2)/25)*Calculateur!V34*Calculateur!X34*VLOOKUP('Données projet'!$B$9,Paramètres!$A$1:$I$89,3,0)*0.475*44/12</f>
        <v>12.615825630090981</v>
      </c>
      <c r="AB34" s="23">
        <f>EXP(-LN(2)/2)*AB33+(1-EXP(-LN(2)/2))/(LN(2)/2)*V34*Y34*VLOOKUP('Données projet'!$B$9,Paramètres!$A$1:$I$89,3,0)*0.475*44/12</f>
        <v>1.1147563514501722</v>
      </c>
      <c r="AC34" s="24">
        <f t="shared" si="3"/>
        <v>33.769854803269105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>
        <f>AI34*VLOOKUP('Données projet'!$B$10,Paramètres!$A$1:$I$89,3,0)*VLOOKUP('Données projet'!$B$10,Paramètres!$A$1:$I$89,5,0)</f>
        <v>0</v>
      </c>
      <c r="AK34" s="14" t="e">
        <f t="shared" si="35"/>
        <v>#NUM!</v>
      </c>
      <c r="AL34" s="22" t="e">
        <f t="shared" si="4"/>
        <v>#NUM!</v>
      </c>
      <c r="AM34" s="62" t="e">
        <f t="shared" si="5"/>
        <v>#NUM!</v>
      </c>
      <c r="AN34" s="62">
        <f ca="1">AVERAGE(OFFSET($AM$3,0,0,'Données projet'!$E$10+1,1))-AVERAGE(OFFSET($H$3,0,0,'Données projet'!$E$10+1,1))</f>
        <v>225.24357215754691</v>
      </c>
      <c r="AO34" s="62">
        <f t="shared" si="36"/>
        <v>569.2018208733989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64.24758325945767</v>
      </c>
      <c r="AV34" s="23">
        <f>EXP(-LN(2)/25)*AV33+(1-EXP(-LN(2)/25))/(LN(2)/25)*Calculateur!AQ34*Calculateur!AS34*VLOOKUP('Données projet'!$B$10,Paramètres!$A$1:$I$89,3,0)*0.475*44/12</f>
        <v>26.415658805417987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90.663242064875661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>
        <f>VLOOKUP(A35,'Données projet'!$A$35:$I$55,2,0)</f>
        <v>335.76</v>
      </c>
      <c r="L35" s="13">
        <f>VLOOKUP(A35,'Données projet'!$A$35:$I$55,9,0)</f>
        <v>20.575714285714287</v>
      </c>
      <c r="M35" s="13">
        <f t="array" ref="M35">INDEX(L:L,MIN(IF(ISNUMBER(L35:L231),ROW(L35:L231),"")))</f>
        <v>20.575714285714287</v>
      </c>
      <c r="N35" s="14">
        <f>IF('Données projet'!$A$36&gt;35,N34+M35-V34,IF(A35&lt;'Données projet'!$A$36,$K$205^A35,IF(A35='Données projet'!$A$36,'Données projet'!$B$36,N34+M35-V34)))</f>
        <v>335.76000000000005</v>
      </c>
      <c r="O35" s="14">
        <f>N35*VLOOKUP('Données projet'!$B$9,Paramètres!$A$1:$I$89,3,0)*VLOOKUP('Données projet'!$B$9,Paramètres!$A$1:$I$89,5,0)</f>
        <v>200.78448000000006</v>
      </c>
      <c r="P35" s="14">
        <f t="shared" si="33"/>
        <v>49.916533385625819</v>
      </c>
      <c r="Q35" s="22">
        <f t="shared" ref="Q35:Q66" si="53">(O35+P35)*0.475*44/12</f>
        <v>436.63759831329838</v>
      </c>
      <c r="R35" s="62">
        <f t="shared" si="0"/>
        <v>729.9709316466317</v>
      </c>
      <c r="S35" s="62">
        <f ca="1">AVERAGE(OFFSET($R$3,0,0,'Données projet'!$E$9+1,1))-AVERAGE(OFFSET($H$3,0,0,'Données projet'!$E$9+1,1))</f>
        <v>287.52077437571728</v>
      </c>
      <c r="T35" s="62">
        <f t="shared" si="34"/>
        <v>420.95891230839874</v>
      </c>
      <c r="U35" s="16">
        <f>IF(ISNA(VLOOKUP(A35,'Données projet'!$A$35:$I$55,3,0)),0,VLOOKUP(A35,'Données projet'!$A$35:$I$55,3,0))</f>
        <v>4</v>
      </c>
      <c r="V35" s="16">
        <f>IF(ISNA(VLOOKUP(A35,'Données projet'!$A$35:$I$55,4,0)),0,VLOOKUP(A35,'Données projet'!$A$35:$I$55,4,0))</f>
        <v>76.42</v>
      </c>
      <c r="W35" s="17">
        <f>IF(ISNA(VLOOKUP(A35,'Données projet'!$A$35:$I$55,5,0)),0%,VLOOKUP(A35,'Données projet'!$A$35:$I$55,5,0)*VLOOKUP('Données projet'!$B$9,Paramètres!$A$1:$I$89,7,0))</f>
        <v>0.36000000000000004</v>
      </c>
      <c r="X35" s="17">
        <f>IF(ISNA(VLOOKUP(A35,'Données projet'!$A$35:$I$55,6,0)),0%,VLOOKUP(A35,'Données projet'!$A$35:$I$55,6,0)*VLOOKUP('Données projet'!$B$9,Paramètres!$A$1:$I$89,7,0))</f>
        <v>4.9500000000000002E-2</v>
      </c>
      <c r="Y35" s="17">
        <f>IF(ISNA(VLOOKUP(A35,'Données projet'!$A$35:$I$55,7,0)),0%,VLOOKUP(A35,'Données projet'!$A$35:$I$55,7,0))</f>
        <v>0.09</v>
      </c>
      <c r="Z35" s="23">
        <f>EXP(-LN(2)/35)*Z34+(1-EXP(-LN(2)/35))/(LN(2)/35)*V35*W35*VLOOKUP('Données projet'!$B$9,Paramètres!$A$1:$I$89,3,0)*0.475*44/12</f>
        <v>41.470552172243387</v>
      </c>
      <c r="AA35" s="23">
        <f>EXP(-LN(2)/25)*AA34+(1-EXP(-LN(2)/25))/(LN(2)/25)*Calculateur!V35*Calculateur!X35*VLOOKUP('Données projet'!$B$9,Paramètres!$A$1:$I$89,3,0)*0.475*44/12</f>
        <v>15.259862417672378</v>
      </c>
      <c r="AB35" s="23">
        <f>EXP(-LN(2)/2)*AB34+(1-EXP(-LN(2)/2))/(LN(2)/2)*V35*Y35*VLOOKUP('Données projet'!$B$9,Paramètres!$A$1:$I$89,3,0)*0.475*44/12</f>
        <v>5.4450376184458529</v>
      </c>
      <c r="AC35" s="24">
        <f t="shared" si="3"/>
        <v>62.175452208361619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>
        <f>AI35*VLOOKUP('Données projet'!$B$10,Paramètres!$A$1:$I$89,3,0)*VLOOKUP('Données projet'!$B$10,Paramètres!$A$1:$I$89,5,0)</f>
        <v>0</v>
      </c>
      <c r="AK35" s="14" t="e">
        <f t="shared" si="35"/>
        <v>#NUM!</v>
      </c>
      <c r="AL35" s="22" t="e">
        <f t="shared" si="4"/>
        <v>#NUM!</v>
      </c>
      <c r="AM35" s="62" t="e">
        <f t="shared" si="5"/>
        <v>#NUM!</v>
      </c>
      <c r="AN35" s="62">
        <f ca="1">AVERAGE(OFFSET($AM$3,0,0,'Données projet'!$E$10+1,1))-AVERAGE(OFFSET($H$3,0,0,'Données projet'!$E$10+1,1))</f>
        <v>225.24357215754691</v>
      </c>
      <c r="AO35" s="62">
        <f t="shared" si="36"/>
        <v>569.2018208733989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62.987727338896086</v>
      </c>
      <c r="AV35" s="23">
        <f>EXP(-LN(2)/25)*AV34+(1-EXP(-LN(2)/25))/(LN(2)/25)*Calculateur!AQ35*Calculateur!AS35*VLOOKUP('Données projet'!$B$10,Paramètres!$A$1:$I$89,3,0)*0.475*44/12</f>
        <v>25.693321226244709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88.681048565140799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18.811538461538461</v>
      </c>
      <c r="N36" s="14">
        <f>IF('Données projet'!$A$36&gt;35,N35+M36-V35,IF(A36&lt;'Données projet'!$A$36,$K$205^A36,IF(A36='Données projet'!$A$36,'Données projet'!$B$36,N35+M36-V35)))</f>
        <v>278.15153846153851</v>
      </c>
      <c r="O36" s="14">
        <f>N36*VLOOKUP('Données projet'!$B$9,Paramètres!$A$1:$I$89,3,0)*VLOOKUP('Données projet'!$B$9,Paramètres!$A$1:$I$89,5,0)</f>
        <v>166.33462000000006</v>
      </c>
      <c r="P36" s="14">
        <f t="shared" si="33"/>
        <v>42.26806189712719</v>
      </c>
      <c r="Q36" s="22">
        <f t="shared" si="53"/>
        <v>363.31633763749659</v>
      </c>
      <c r="R36" s="62">
        <f t="shared" si="0"/>
        <v>656.6496709708299</v>
      </c>
      <c r="S36" s="62">
        <f ca="1">AVERAGE(OFFSET($R$3,0,0,'Données projet'!$E$9+1,1))-AVERAGE(OFFSET($H$3,0,0,'Données projet'!$E$9+1,1))</f>
        <v>287.52077437571728</v>
      </c>
      <c r="T36" s="62">
        <f t="shared" si="34"/>
        <v>420.95891230839874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40.657339938684892</v>
      </c>
      <c r="AA36" s="23">
        <f>EXP(-LN(2)/25)*AA35+(1-EXP(-LN(2)/25))/(LN(2)/25)*Calculateur!V36*Calculateur!X36*VLOOKUP('Données projet'!$B$9,Paramètres!$A$1:$I$89,3,0)*0.475*44/12</f>
        <v>14.842580677379839</v>
      </c>
      <c r="AB36" s="23">
        <f>EXP(-LN(2)/2)*AB35+(1-EXP(-LN(2)/2))/(LN(2)/2)*V36*Y36*VLOOKUP('Données projet'!$B$9,Paramètres!$A$1:$I$89,3,0)*0.475*44/12</f>
        <v>3.8502230238189119</v>
      </c>
      <c r="AC36" s="24">
        <f t="shared" si="3"/>
        <v>59.35014363988364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>
        <f>AI36*VLOOKUP('Données projet'!$B$10,Paramètres!$A$1:$I$89,3,0)*VLOOKUP('Données projet'!$B$10,Paramètres!$A$1:$I$89,5,0)</f>
        <v>0</v>
      </c>
      <c r="AK36" s="14" t="e">
        <f t="shared" si="35"/>
        <v>#NUM!</v>
      </c>
      <c r="AL36" s="22" t="e">
        <f t="shared" si="4"/>
        <v>#NUM!</v>
      </c>
      <c r="AM36" s="62" t="e">
        <f t="shared" si="5"/>
        <v>#NUM!</v>
      </c>
      <c r="AN36" s="62">
        <f ca="1">AVERAGE(OFFSET($AM$3,0,0,'Données projet'!$E$10+1,1))-AVERAGE(OFFSET($H$3,0,0,'Données projet'!$E$10+1,1))</f>
        <v>225.24357215754691</v>
      </c>
      <c r="AO36" s="62">
        <f t="shared" si="36"/>
        <v>569.2018208733989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61.752576424500475</v>
      </c>
      <c r="AV36" s="23">
        <f>EXP(-LN(2)/25)*AV35+(1-EXP(-LN(2)/25))/(LN(2)/25)*Calculateur!AQ36*Calculateur!AS36*VLOOKUP('Données projet'!$B$10,Paramètres!$A$1:$I$89,3,0)*0.475*44/12</f>
        <v>24.990736006160006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86.743312430660481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18.811538461538461</v>
      </c>
      <c r="N37" s="14">
        <f>IF('Données projet'!$A$36&gt;35,N36+M37-V36,IF(A37&lt;'Données projet'!$A$36,$K$205^A37,IF(A37='Données projet'!$A$36,'Données projet'!$B$36,N36+M37-V36)))</f>
        <v>296.96307692307698</v>
      </c>
      <c r="O37" s="14">
        <f>N37*VLOOKUP('Données projet'!$B$9,Paramètres!$A$1:$I$89,3,0)*VLOOKUP('Données projet'!$B$9,Paramètres!$A$1:$I$89,5,0)</f>
        <v>177.58392000000006</v>
      </c>
      <c r="P37" s="14">
        <f t="shared" si="33"/>
        <v>44.784230847088935</v>
      </c>
      <c r="Q37" s="22">
        <f t="shared" si="53"/>
        <v>387.29119605868004</v>
      </c>
      <c r="R37" s="62">
        <f t="shared" si="0"/>
        <v>680.6245293920133</v>
      </c>
      <c r="S37" s="62">
        <f ca="1">AVERAGE(OFFSET($R$3,0,0,'Données projet'!$E$9+1,1))-AVERAGE(OFFSET($H$3,0,0,'Données projet'!$E$9+1,1))</f>
        <v>287.52077437571728</v>
      </c>
      <c r="T37" s="62">
        <f t="shared" si="34"/>
        <v>420.95891230839874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39.860074301015992</v>
      </c>
      <c r="AA37" s="23">
        <f>EXP(-LN(2)/25)*AA36+(1-EXP(-LN(2)/25))/(LN(2)/25)*Calculateur!V37*Calculateur!X37*VLOOKUP('Données projet'!$B$9,Paramètres!$A$1:$I$89,3,0)*0.475*44/12</f>
        <v>14.436709528219493</v>
      </c>
      <c r="AB37" s="23">
        <f>EXP(-LN(2)/2)*AB36+(1-EXP(-LN(2)/2))/(LN(2)/2)*V37*Y37*VLOOKUP('Données projet'!$B$9,Paramètres!$A$1:$I$89,3,0)*0.475*44/12</f>
        <v>2.7225188092229269</v>
      </c>
      <c r="AC37" s="24">
        <f t="shared" si="3"/>
        <v>57.019302638458413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>
        <f>AI37*VLOOKUP('Données projet'!$B$10,Paramètres!$A$1:$I$89,3,0)*VLOOKUP('Données projet'!$B$10,Paramètres!$A$1:$I$89,5,0)</f>
        <v>0</v>
      </c>
      <c r="AK37" s="14" t="e">
        <f t="shared" si="35"/>
        <v>#NUM!</v>
      </c>
      <c r="AL37" s="22" t="e">
        <f t="shared" si="4"/>
        <v>#NUM!</v>
      </c>
      <c r="AM37" s="62" t="e">
        <f t="shared" si="5"/>
        <v>#NUM!</v>
      </c>
      <c r="AN37" s="62">
        <f ca="1">AVERAGE(OFFSET($AM$3,0,0,'Données projet'!$E$10+1,1))-AVERAGE(OFFSET($H$3,0,0,'Données projet'!$E$10+1,1))</f>
        <v>225.24357215754691</v>
      </c>
      <c r="AO37" s="62">
        <f t="shared" si="36"/>
        <v>569.2018208733989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60.541646066168497</v>
      </c>
      <c r="AV37" s="23">
        <f>EXP(-LN(2)/25)*AV36+(1-EXP(-LN(2)/25))/(LN(2)/25)*Calculateur!AQ37*Calculateur!AS37*VLOOKUP('Données projet'!$B$10,Paramètres!$A$1:$I$89,3,0)*0.475*44/12</f>
        <v>24.307363015865871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84.849009082034371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18.811538461538461</v>
      </c>
      <c r="N38" s="14">
        <f>IF('Données projet'!$A$36&gt;35,N37+M38-V37,IF(A38&lt;'Données projet'!$A$36,$K$205^A38,IF(A38='Données projet'!$A$36,'Données projet'!$B$36,N37+M38-V37)))</f>
        <v>315.77461538461546</v>
      </c>
      <c r="O38" s="14">
        <f>N38*VLOOKUP('Données projet'!$B$9,Paramètres!$A$1:$I$89,3,0)*VLOOKUP('Données projet'!$B$9,Paramètres!$A$1:$I$89,5,0)</f>
        <v>188.83322000000004</v>
      </c>
      <c r="P38" s="14">
        <f t="shared" si="33"/>
        <v>47.281901952869688</v>
      </c>
      <c r="Q38" s="22">
        <f t="shared" si="53"/>
        <v>411.23383740124814</v>
      </c>
      <c r="R38" s="62">
        <f t="shared" si="0"/>
        <v>704.5671707345814</v>
      </c>
      <c r="S38" s="62">
        <f ca="1">AVERAGE(OFFSET($R$3,0,0,'Données projet'!$E$9+1,1))-AVERAGE(OFFSET($H$3,0,0,'Données projet'!$E$9+1,1))</f>
        <v>287.52077437571728</v>
      </c>
      <c r="T38" s="62">
        <f t="shared" si="34"/>
        <v>420.95891230839874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39.078442556217759</v>
      </c>
      <c r="AA38" s="23">
        <f>EXP(-LN(2)/25)*AA37+(1-EXP(-LN(2)/25))/(LN(2)/25)*Calculateur!V38*Calculateur!X38*VLOOKUP('Données projet'!$B$9,Paramètres!$A$1:$I$89,3,0)*0.475*44/12</f>
        <v>14.041936946976772</v>
      </c>
      <c r="AB38" s="23">
        <f>EXP(-LN(2)/2)*AB37+(1-EXP(-LN(2)/2))/(LN(2)/2)*V38*Y38*VLOOKUP('Données projet'!$B$9,Paramètres!$A$1:$I$89,3,0)*0.475*44/12</f>
        <v>1.9251115119094562</v>
      </c>
      <c r="AC38" s="24">
        <f t="shared" si="3"/>
        <v>55.045491015103984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>
        <f>AI38*VLOOKUP('Données projet'!$B$10,Paramètres!$A$1:$I$89,3,0)*VLOOKUP('Données projet'!$B$10,Paramètres!$A$1:$I$89,5,0)</f>
        <v>0</v>
      </c>
      <c r="AK38" s="14" t="e">
        <f t="shared" si="35"/>
        <v>#NUM!</v>
      </c>
      <c r="AL38" s="22" t="e">
        <f t="shared" si="4"/>
        <v>#NUM!</v>
      </c>
      <c r="AM38" s="62" t="e">
        <f t="shared" si="5"/>
        <v>#NUM!</v>
      </c>
      <c r="AN38" s="62">
        <f ca="1">AVERAGE(OFFSET($AM$3,0,0,'Données projet'!$E$10+1,1))-AVERAGE(OFFSET($H$3,0,0,'Données projet'!$E$10+1,1))</f>
        <v>225.24357215754691</v>
      </c>
      <c r="AO38" s="62">
        <f t="shared" si="36"/>
        <v>569.2018208733989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59.354461313568819</v>
      </c>
      <c r="AV38" s="23">
        <f>EXP(-LN(2)/25)*AV37+(1-EXP(-LN(2)/25))/(LN(2)/25)*Calculateur!AQ38*Calculateur!AS38*VLOOKUP('Données projet'!$B$10,Paramètres!$A$1:$I$89,3,0)*0.475*44/12</f>
        <v>23.642676895928354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82.997138209497166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18.811538461538461</v>
      </c>
      <c r="N39" s="14">
        <f>IF('Données projet'!$A$36&gt;35,N38+M39-V38,IF(A39&lt;'Données projet'!$A$36,$K$205^A39,IF(A39='Données projet'!$A$36,'Données projet'!$B$36,N38+M39-V38)))</f>
        <v>334.58615384615393</v>
      </c>
      <c r="O39" s="14">
        <f>N39*VLOOKUP('Données projet'!$B$9,Paramètres!$A$1:$I$89,3,0)*VLOOKUP('Données projet'!$B$9,Paramètres!$A$1:$I$89,5,0)</f>
        <v>200.08252000000007</v>
      </c>
      <c r="P39" s="14">
        <f t="shared" si="33"/>
        <v>49.762302688326976</v>
      </c>
      <c r="Q39" s="22">
        <f t="shared" si="53"/>
        <v>435.14639951550294</v>
      </c>
      <c r="R39" s="62">
        <f t="shared" si="0"/>
        <v>728.47973284883619</v>
      </c>
      <c r="S39" s="62">
        <f ca="1">AVERAGE(OFFSET($R$3,0,0,'Données projet'!$E$9+1,1))-AVERAGE(OFFSET($H$3,0,0,'Données projet'!$E$9+1,1))</f>
        <v>287.52077437571728</v>
      </c>
      <c r="T39" s="62">
        <f t="shared" si="34"/>
        <v>420.95891230839874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38.312138133186728</v>
      </c>
      <c r="AA39" s="23">
        <f>EXP(-LN(2)/25)*AA38+(1-EXP(-LN(2)/25))/(LN(2)/25)*Calculateur!V39*Calculateur!X39*VLOOKUP('Données projet'!$B$9,Paramètres!$A$1:$I$89,3,0)*0.475*44/12</f>
        <v>13.657959442728322</v>
      </c>
      <c r="AB39" s="23">
        <f>EXP(-LN(2)/2)*AB38+(1-EXP(-LN(2)/2))/(LN(2)/2)*V39*Y39*VLOOKUP('Données projet'!$B$9,Paramètres!$A$1:$I$89,3,0)*0.475*44/12</f>
        <v>1.3612594046114637</v>
      </c>
      <c r="AC39" s="24">
        <f t="shared" si="3"/>
        <v>53.331356980526515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>
        <f>AI39*VLOOKUP('Données projet'!$B$10,Paramètres!$A$1:$I$89,3,0)*VLOOKUP('Données projet'!$B$10,Paramètres!$A$1:$I$89,5,0)</f>
        <v>0</v>
      </c>
      <c r="AK39" s="14" t="e">
        <f t="shared" si="35"/>
        <v>#NUM!</v>
      </c>
      <c r="AL39" s="22" t="e">
        <f t="shared" si="4"/>
        <v>#NUM!</v>
      </c>
      <c r="AM39" s="62" t="e">
        <f t="shared" si="5"/>
        <v>#NUM!</v>
      </c>
      <c r="AN39" s="62">
        <f ca="1">AVERAGE(OFFSET($AM$3,0,0,'Données projet'!$E$10+1,1))-AVERAGE(OFFSET($H$3,0,0,'Données projet'!$E$10+1,1))</f>
        <v>225.24357215754691</v>
      </c>
      <c r="AO39" s="62">
        <f t="shared" si="36"/>
        <v>569.2018208733989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58.190556529856423</v>
      </c>
      <c r="AV39" s="23">
        <f>EXP(-LN(2)/25)*AV38+(1-EXP(-LN(2)/25))/(LN(2)/25)*Calculateur!AQ39*Calculateur!AS39*VLOOKUP('Données projet'!$B$10,Paramètres!$A$1:$I$89,3,0)*0.475*44/12</f>
        <v>22.99616665289485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81.18672318275128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18.811538461538461</v>
      </c>
      <c r="N40" s="14">
        <f>IF('Données projet'!$A$36&gt;35,N39+M40-V39,IF(A40&lt;'Données projet'!$A$36,$K$205^A40,IF(A40='Données projet'!$A$36,'Données projet'!$B$36,N39+M40-V39)))</f>
        <v>353.39769230769241</v>
      </c>
      <c r="O40" s="14">
        <f>N40*VLOOKUP('Données projet'!$B$9,Paramètres!$A$1:$I$89,3,0)*VLOOKUP('Données projet'!$B$9,Paramètres!$A$1:$I$89,5,0)</f>
        <v>211.33182000000008</v>
      </c>
      <c r="P40" s="14">
        <f t="shared" si="33"/>
        <v>52.226514706347821</v>
      </c>
      <c r="Q40" s="22">
        <f t="shared" si="53"/>
        <v>459.03076628022262</v>
      </c>
      <c r="R40" s="62">
        <f t="shared" si="0"/>
        <v>752.36409961355594</v>
      </c>
      <c r="S40" s="62">
        <f ca="1">AVERAGE(OFFSET($R$3,0,0,'Données projet'!$E$9+1,1))-AVERAGE(OFFSET($H$3,0,0,'Données projet'!$E$9+1,1))</f>
        <v>287.52077437571728</v>
      </c>
      <c r="T40" s="62">
        <f t="shared" si="34"/>
        <v>420.95891230839874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37.56086047249179</v>
      </c>
      <c r="AA40" s="23">
        <f>EXP(-LN(2)/25)*AA39+(1-EXP(-LN(2)/25))/(LN(2)/25)*Calculateur!V40*Calculateur!X40*VLOOKUP('Données projet'!$B$9,Paramètres!$A$1:$I$89,3,0)*0.475*44/12</f>
        <v>13.284481823526043</v>
      </c>
      <c r="AB40" s="23">
        <f>EXP(-LN(2)/2)*AB39+(1-EXP(-LN(2)/2))/(LN(2)/2)*V40*Y40*VLOOKUP('Données projet'!$B$9,Paramètres!$A$1:$I$89,3,0)*0.475*44/12</f>
        <v>0.96255575595472831</v>
      </c>
      <c r="AC40" s="24">
        <f t="shared" si="3"/>
        <v>51.807898051972565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>
        <f>AI40*VLOOKUP('Données projet'!$B$10,Paramètres!$A$1:$I$89,3,0)*VLOOKUP('Données projet'!$B$10,Paramètres!$A$1:$I$89,5,0)</f>
        <v>0</v>
      </c>
      <c r="AK40" s="14" t="e">
        <f t="shared" si="35"/>
        <v>#NUM!</v>
      </c>
      <c r="AL40" s="22" t="e">
        <f t="shared" si="4"/>
        <v>#NUM!</v>
      </c>
      <c r="AM40" s="62" t="e">
        <f t="shared" si="5"/>
        <v>#NUM!</v>
      </c>
      <c r="AN40" s="62">
        <f ca="1">AVERAGE(OFFSET($AM$3,0,0,'Données projet'!$E$10+1,1))-AVERAGE(OFFSET($H$3,0,0,'Données projet'!$E$10+1,1))</f>
        <v>225.24357215754691</v>
      </c>
      <c r="AO40" s="62">
        <f t="shared" si="36"/>
        <v>569.2018208733989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57.049475209040807</v>
      </c>
      <c r="AV40" s="23">
        <f>EXP(-LN(2)/25)*AV39+(1-EXP(-LN(2)/25))/(LN(2)/25)*Calculateur!AQ40*Calculateur!AS40*VLOOKUP('Données projet'!$B$10,Paramètres!$A$1:$I$89,3,0)*0.475*44/12</f>
        <v>22.367335266455594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79.416810475496405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18.811538461538461</v>
      </c>
      <c r="N41" s="14">
        <f>IF('Données projet'!$A$36&gt;35,N40+M41-V40,IF(A41&lt;'Données projet'!$A$36,$K$205^A41,IF(A41='Données projet'!$A$36,'Données projet'!$B$36,N40+M41-V40)))</f>
        <v>372.20923076923089</v>
      </c>
      <c r="O41" s="14">
        <f>N41*VLOOKUP('Données projet'!$B$9,Paramètres!$A$1:$I$89,3,0)*VLOOKUP('Données projet'!$B$9,Paramètres!$A$1:$I$89,5,0)</f>
        <v>222.58112000000008</v>
      </c>
      <c r="P41" s="14">
        <f t="shared" si="33"/>
        <v>54.675498002213622</v>
      </c>
      <c r="Q41" s="22">
        <f t="shared" si="53"/>
        <v>482.88860968718888</v>
      </c>
      <c r="R41" s="62">
        <f t="shared" si="0"/>
        <v>776.22194302052219</v>
      </c>
      <c r="S41" s="62">
        <f ca="1">AVERAGE(OFFSET($R$3,0,0,'Données projet'!$E$9+1,1))-AVERAGE(OFFSET($H$3,0,0,'Données projet'!$E$9+1,1))</f>
        <v>287.52077437571728</v>
      </c>
      <c r="T41" s="62">
        <f t="shared" si="34"/>
        <v>420.95891230839874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36.824314908488951</v>
      </c>
      <c r="AA41" s="23">
        <f>EXP(-LN(2)/25)*AA40+(1-EXP(-LN(2)/25))/(LN(2)/25)*Calculateur!V41*Calculateur!X41*VLOOKUP('Données projet'!$B$9,Paramètres!$A$1:$I$89,3,0)*0.475*44/12</f>
        <v>12.921216969461186</v>
      </c>
      <c r="AB41" s="23">
        <f>EXP(-LN(2)/2)*AB40+(1-EXP(-LN(2)/2))/(LN(2)/2)*V41*Y41*VLOOKUP('Données projet'!$B$9,Paramètres!$A$1:$I$89,3,0)*0.475*44/12</f>
        <v>0.68062970230573194</v>
      </c>
      <c r="AC41" s="24">
        <f t="shared" si="3"/>
        <v>50.426161580255865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>
        <f>AI41*VLOOKUP('Données projet'!$B$10,Paramètres!$A$1:$I$89,3,0)*VLOOKUP('Données projet'!$B$10,Paramètres!$A$1:$I$89,5,0)</f>
        <v>0</v>
      </c>
      <c r="AK41" s="14" t="e">
        <f t="shared" si="35"/>
        <v>#NUM!</v>
      </c>
      <c r="AL41" s="22" t="e">
        <f t="shared" si="4"/>
        <v>#NUM!</v>
      </c>
      <c r="AM41" s="62" t="e">
        <f t="shared" si="5"/>
        <v>#NUM!</v>
      </c>
      <c r="AN41" s="62">
        <f ca="1">AVERAGE(OFFSET($AM$3,0,0,'Données projet'!$E$10+1,1))-AVERAGE(OFFSET($H$3,0,0,'Données projet'!$E$10+1,1))</f>
        <v>225.24357215754691</v>
      </c>
      <c r="AO41" s="62">
        <f t="shared" si="36"/>
        <v>569.2018208733989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55.9307697969355</v>
      </c>
      <c r="AV41" s="23">
        <f>EXP(-LN(2)/25)*AV40+(1-EXP(-LN(2)/25))/(LN(2)/25)*Calculateur!AQ41*Calculateur!AS41*VLOOKUP('Données projet'!$B$10,Paramètres!$A$1:$I$89,3,0)*0.475*44/12</f>
        <v>21.755699307347324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77.686469104282821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18.811538461538461</v>
      </c>
      <c r="N42" s="14">
        <f>IF('Données projet'!$A$36&gt;35,N41+M42-V41,IF(A42&lt;'Données projet'!$A$36,$K$205^A42,IF(A42='Données projet'!$A$36,'Données projet'!$B$36,N41+M42-V41)))</f>
        <v>391.02076923076936</v>
      </c>
      <c r="O42" s="14">
        <f>N42*VLOOKUP('Données projet'!$B$9,Paramètres!$A$1:$I$89,3,0)*VLOOKUP('Données projet'!$B$9,Paramètres!$A$1:$I$89,5,0)</f>
        <v>233.83042000000009</v>
      </c>
      <c r="P42" s="14">
        <f t="shared" si="33"/>
        <v>57.11011005315418</v>
      </c>
      <c r="Q42" s="22">
        <f t="shared" si="53"/>
        <v>506.72142317591027</v>
      </c>
      <c r="R42" s="62">
        <f t="shared" si="0"/>
        <v>800.05475650924359</v>
      </c>
      <c r="S42" s="62">
        <f ca="1">AVERAGE(OFFSET($R$3,0,0,'Données projet'!$E$9+1,1))-AVERAGE(OFFSET($H$3,0,0,'Données projet'!$E$9+1,1))</f>
        <v>287.52077437571728</v>
      </c>
      <c r="T42" s="62">
        <f t="shared" si="34"/>
        <v>420.95891230839874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36.102212553747776</v>
      </c>
      <c r="AA42" s="23">
        <f>EXP(-LN(2)/25)*AA41+(1-EXP(-LN(2)/25))/(LN(2)/25)*Calculateur!V42*Calculateur!X42*VLOOKUP('Données projet'!$B$9,Paramètres!$A$1:$I$89,3,0)*0.475*44/12</f>
        <v>12.567885611934001</v>
      </c>
      <c r="AB42" s="23">
        <f>EXP(-LN(2)/2)*AB41+(1-EXP(-LN(2)/2))/(LN(2)/2)*V42*Y42*VLOOKUP('Données projet'!$B$9,Paramètres!$A$1:$I$89,3,0)*0.475*44/12</f>
        <v>0.48127787797736421</v>
      </c>
      <c r="AC42" s="24">
        <f t="shared" si="3"/>
        <v>49.151376043659141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>
        <f>AI42*VLOOKUP('Données projet'!$B$10,Paramètres!$A$1:$I$89,3,0)*VLOOKUP('Données projet'!$B$10,Paramètres!$A$1:$I$89,5,0)</f>
        <v>0</v>
      </c>
      <c r="AK42" s="14" t="e">
        <f t="shared" si="35"/>
        <v>#NUM!</v>
      </c>
      <c r="AL42" s="22" t="e">
        <f t="shared" si="4"/>
        <v>#NUM!</v>
      </c>
      <c r="AM42" s="62" t="e">
        <f t="shared" si="5"/>
        <v>#NUM!</v>
      </c>
      <c r="AN42" s="62">
        <f ca="1">AVERAGE(OFFSET($AM$3,0,0,'Données projet'!$E$10+1,1))-AVERAGE(OFFSET($H$3,0,0,'Données projet'!$E$10+1,1))</f>
        <v>225.24357215754691</v>
      </c>
      <c r="AO42" s="62">
        <f t="shared" si="36"/>
        <v>569.2018208733989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54.834001515618652</v>
      </c>
      <c r="AV42" s="23">
        <f>EXP(-LN(2)/25)*AV41+(1-EXP(-LN(2)/25))/(LN(2)/25)*Calculateur!AQ42*Calculateur!AS42*VLOOKUP('Données projet'!$B$10,Paramètres!$A$1:$I$89,3,0)*0.475*44/12</f>
        <v>21.16078856570541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75.994790081324055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18.811538461538461</v>
      </c>
      <c r="N43" s="14">
        <f>IF('Données projet'!$A$36&gt;35,N42+M43-V42,IF(A43&lt;'Données projet'!$A$36,$K$205^A43,IF(A43='Données projet'!$A$36,'Données projet'!$B$36,N42+M43-V42)))</f>
        <v>409.83230769230784</v>
      </c>
      <c r="O43" s="14">
        <f>N43*VLOOKUP('Données projet'!$B$9,Paramètres!$A$1:$I$89,3,0)*VLOOKUP('Données projet'!$B$9,Paramètres!$A$1:$I$89,5,0)</f>
        <v>245.07972000000012</v>
      </c>
      <c r="P43" s="14">
        <f t="shared" si="33"/>
        <v>59.531121170362454</v>
      </c>
      <c r="Q43" s="22">
        <f t="shared" si="53"/>
        <v>530.53054837171476</v>
      </c>
      <c r="R43" s="62">
        <f t="shared" si="0"/>
        <v>823.86388170504802</v>
      </c>
      <c r="S43" s="62">
        <f ca="1">AVERAGE(OFFSET($R$3,0,0,'Données projet'!$E$9+1,1))-AVERAGE(OFFSET($H$3,0,0,'Données projet'!$E$9+1,1))</f>
        <v>287.52077437571728</v>
      </c>
      <c r="T43" s="62">
        <f t="shared" si="34"/>
        <v>420.95891230839874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35.394270185744126</v>
      </c>
      <c r="AA43" s="23">
        <f>EXP(-LN(2)/25)*AA42+(1-EXP(-LN(2)/25))/(LN(2)/25)*Calculateur!V43*Calculateur!X43*VLOOKUP('Données projet'!$B$9,Paramètres!$A$1:$I$89,3,0)*0.475*44/12</f>
        <v>12.224216118959285</v>
      </c>
      <c r="AB43" s="23">
        <f>EXP(-LN(2)/2)*AB42+(1-EXP(-LN(2)/2))/(LN(2)/2)*V43*Y43*VLOOKUP('Données projet'!$B$9,Paramètres!$A$1:$I$89,3,0)*0.475*44/12</f>
        <v>0.34031485115286603</v>
      </c>
      <c r="AC43" s="24">
        <f t="shared" si="3"/>
        <v>47.958801155856278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>
        <f>AI43*VLOOKUP('Données projet'!$B$10,Paramètres!$A$1:$I$89,3,0)*VLOOKUP('Données projet'!$B$10,Paramètres!$A$1:$I$89,5,0)</f>
        <v>0</v>
      </c>
      <c r="AK43" s="14" t="e">
        <f t="shared" si="35"/>
        <v>#NUM!</v>
      </c>
      <c r="AL43" s="22" t="e">
        <f t="shared" si="4"/>
        <v>#NUM!</v>
      </c>
      <c r="AM43" s="62" t="e">
        <f t="shared" si="5"/>
        <v>#NUM!</v>
      </c>
      <c r="AN43" s="62">
        <f ca="1">AVERAGE(OFFSET($AM$3,0,0,'Données projet'!$E$10+1,1))-AVERAGE(OFFSET($H$3,0,0,'Données projet'!$E$10+1,1))</f>
        <v>225.24357215754691</v>
      </c>
      <c r="AO43" s="62">
        <f t="shared" si="36"/>
        <v>569.2018208733989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53.758740191335832</v>
      </c>
      <c r="AV43" s="23">
        <f>EXP(-LN(2)/25)*AV42+(1-EXP(-LN(2)/25))/(LN(2)/25)*Calculateur!AQ43*Calculateur!AS43*VLOOKUP('Données projet'!$B$10,Paramètres!$A$1:$I$89,3,0)*0.475*44/12</f>
        <v>20.582145689578688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74.340885880914527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18.811538461538461</v>
      </c>
      <c r="N44" s="14">
        <f>IF('Données projet'!$A$36&gt;35,N43+M44-V43,IF(A44&lt;'Données projet'!$A$36,$K$205^A44,IF(A44='Données projet'!$A$36,'Données projet'!$B$36,N43+M44-V43)))</f>
        <v>428.64384615384631</v>
      </c>
      <c r="O44" s="14">
        <f>N44*VLOOKUP('Données projet'!$B$9,Paramètres!$A$1:$I$89,3,0)*VLOOKUP('Données projet'!$B$9,Paramètres!$A$1:$I$89,5,0)</f>
        <v>256.32902000000013</v>
      </c>
      <c r="P44" s="14">
        <f t="shared" si="33"/>
        <v>61.939226952630833</v>
      </c>
      <c r="Q44" s="22">
        <f t="shared" si="53"/>
        <v>554.31719677583226</v>
      </c>
      <c r="R44" s="62">
        <f t="shared" si="0"/>
        <v>847.65053010916563</v>
      </c>
      <c r="S44" s="62">
        <f ca="1">AVERAGE(OFFSET($R$3,0,0,'Données projet'!$E$9+1,1))-AVERAGE(OFFSET($H$3,0,0,'Données projet'!$E$9+1,1))</f>
        <v>287.52077437571728</v>
      </c>
      <c r="T44" s="62">
        <f t="shared" si="34"/>
        <v>420.95891230839874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34.700210135774824</v>
      </c>
      <c r="AA44" s="23">
        <f>EXP(-LN(2)/25)*AA43+(1-EXP(-LN(2)/25))/(LN(2)/25)*Calculateur!V44*Calculateur!X44*VLOOKUP('Données projet'!$B$9,Paramètres!$A$1:$I$89,3,0)*0.475*44/12</f>
        <v>11.889944286342757</v>
      </c>
      <c r="AB44" s="23">
        <f>EXP(-LN(2)/2)*AB43+(1-EXP(-LN(2)/2))/(LN(2)/2)*V44*Y44*VLOOKUP('Données projet'!$B$9,Paramètres!$A$1:$I$89,3,0)*0.475*44/12</f>
        <v>0.24063893898868213</v>
      </c>
      <c r="AC44" s="24">
        <f t="shared" si="3"/>
        <v>46.830793361106259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>
        <f>AI44*VLOOKUP('Données projet'!$B$10,Paramètres!$A$1:$I$89,3,0)*VLOOKUP('Données projet'!$B$10,Paramètres!$A$1:$I$89,5,0)</f>
        <v>0</v>
      </c>
      <c r="AK44" s="14" t="e">
        <f t="shared" si="35"/>
        <v>#NUM!</v>
      </c>
      <c r="AL44" s="22" t="e">
        <f t="shared" si="4"/>
        <v>#NUM!</v>
      </c>
      <c r="AM44" s="62" t="e">
        <f t="shared" si="5"/>
        <v>#NUM!</v>
      </c>
      <c r="AN44" s="62">
        <f ca="1">AVERAGE(OFFSET($AM$3,0,0,'Données projet'!$E$10+1,1))-AVERAGE(OFFSET($H$3,0,0,'Données projet'!$E$10+1,1))</f>
        <v>225.24357215754691</v>
      </c>
      <c r="AO44" s="62">
        <f t="shared" si="36"/>
        <v>569.2018208733989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52.704564085777548</v>
      </c>
      <c r="AV44" s="23">
        <f>EXP(-LN(2)/25)*AV43+(1-EXP(-LN(2)/25))/(LN(2)/25)*Calculateur!AQ44*Calculateur!AS44*VLOOKUP('Données projet'!$B$10,Paramètres!$A$1:$I$89,3,0)*0.475*44/12</f>
        <v>20.019325833329159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72.723889919106711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18.811538461538461</v>
      </c>
      <c r="N45" s="14">
        <f>IF('Données projet'!$A$36&gt;35,N44+M45-V44,IF(A45&lt;'Données projet'!$A$36,$K$205^A45,IF(A45='Données projet'!$A$36,'Données projet'!$B$36,N44+M45-V44)))</f>
        <v>447.45538461538479</v>
      </c>
      <c r="O45" s="14">
        <f>N45*VLOOKUP('Données projet'!$B$9,Paramètres!$A$1:$I$89,3,0)*VLOOKUP('Données projet'!$B$9,Paramètres!$A$1:$I$89,5,0)</f>
        <v>267.57832000000013</v>
      </c>
      <c r="P45" s="14">
        <f t="shared" si="33"/>
        <v>64.335058492109823</v>
      </c>
      <c r="Q45" s="22">
        <f t="shared" si="53"/>
        <v>578.08246754042477</v>
      </c>
      <c r="R45" s="62">
        <f t="shared" si="0"/>
        <v>871.41580087375814</v>
      </c>
      <c r="S45" s="62">
        <f ca="1">AVERAGE(OFFSET($R$3,0,0,'Données projet'!$E$9+1,1))-AVERAGE(OFFSET($H$3,0,0,'Données projet'!$E$9+1,1))</f>
        <v>287.52077437571728</v>
      </c>
      <c r="T45" s="62">
        <f t="shared" si="34"/>
        <v>420.95891230839874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34.019760180050589</v>
      </c>
      <c r="AA45" s="23">
        <f>EXP(-LN(2)/25)*AA44+(1-EXP(-LN(2)/25))/(LN(2)/25)*Calculateur!V45*Calculateur!X45*VLOOKUP('Données projet'!$B$9,Paramètres!$A$1:$I$89,3,0)*0.475*44/12</f>
        <v>11.56481313456772</v>
      </c>
      <c r="AB45" s="23">
        <f>EXP(-LN(2)/2)*AB44+(1-EXP(-LN(2)/2))/(LN(2)/2)*V45*Y45*VLOOKUP('Données projet'!$B$9,Paramètres!$A$1:$I$89,3,0)*0.475*44/12</f>
        <v>0.17015742557643304</v>
      </c>
      <c r="AC45" s="24">
        <f t="shared" si="3"/>
        <v>45.754730740194745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>
        <f>AI45*VLOOKUP('Données projet'!$B$10,Paramètres!$A$1:$I$89,3,0)*VLOOKUP('Données projet'!$B$10,Paramètres!$A$1:$I$89,5,0)</f>
        <v>0</v>
      </c>
      <c r="AK45" s="14" t="e">
        <f t="shared" si="35"/>
        <v>#NUM!</v>
      </c>
      <c r="AL45" s="22" t="e">
        <f t="shared" si="4"/>
        <v>#NUM!</v>
      </c>
      <c r="AM45" s="62" t="e">
        <f t="shared" si="5"/>
        <v>#NUM!</v>
      </c>
      <c r="AN45" s="62">
        <f ca="1">AVERAGE(OFFSET($AM$3,0,0,'Données projet'!$E$10+1,1))-AVERAGE(OFFSET($H$3,0,0,'Données projet'!$E$10+1,1))</f>
        <v>225.24357215754691</v>
      </c>
      <c r="AO45" s="62">
        <f t="shared" si="36"/>
        <v>569.2018208733989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51.671059730665327</v>
      </c>
      <c r="AV45" s="23">
        <f>EXP(-LN(2)/25)*AV44+(1-EXP(-LN(2)/25))/(LN(2)/25)*Calculateur!AQ45*Calculateur!AS45*VLOOKUP('Données projet'!$B$10,Paramètres!$A$1:$I$89,3,0)*0.475*44/12</f>
        <v>19.471896315646184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71.142956046311511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18.811538461538461</v>
      </c>
      <c r="N46" s="14">
        <f>IF('Données projet'!$A$36&gt;35,N45+M46-V45,IF(A46&lt;'Données projet'!$A$36,$K$205^A46,IF(A46='Données projet'!$A$36,'Données projet'!$B$36,N45+M46-V45)))</f>
        <v>466.26692307692326</v>
      </c>
      <c r="O46" s="14">
        <f>N46*VLOOKUP('Données projet'!$B$9,Paramètres!$A$1:$I$89,3,0)*VLOOKUP('Données projet'!$B$9,Paramètres!$A$1:$I$89,5,0)</f>
        <v>278.82762000000014</v>
      </c>
      <c r="P46" s="14">
        <f t="shared" si="33"/>
        <v>66.719190815445643</v>
      </c>
      <c r="Q46" s="22">
        <f t="shared" si="53"/>
        <v>601.82736217023478</v>
      </c>
      <c r="R46" s="62">
        <f t="shared" si="0"/>
        <v>895.16069550356815</v>
      </c>
      <c r="S46" s="62">
        <f ca="1">AVERAGE(OFFSET($R$3,0,0,'Données projet'!$E$9+1,1))-AVERAGE(OFFSET($H$3,0,0,'Données projet'!$E$9+1,1))</f>
        <v>287.52077437571728</v>
      </c>
      <c r="T46" s="62">
        <f t="shared" si="34"/>
        <v>420.95891230839874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33.352653432924612</v>
      </c>
      <c r="AA46" s="23">
        <f>EXP(-LN(2)/25)*AA45+(1-EXP(-LN(2)/25))/(LN(2)/25)*Calculateur!V46*Calculateur!X46*VLOOKUP('Données projet'!$B$9,Paramètres!$A$1:$I$89,3,0)*0.475*44/12</f>
        <v>11.248572711235875</v>
      </c>
      <c r="AB46" s="23">
        <f>EXP(-LN(2)/2)*AB45+(1-EXP(-LN(2)/2))/(LN(2)/2)*V46*Y46*VLOOKUP('Données projet'!$B$9,Paramètres!$A$1:$I$89,3,0)*0.475*44/12</f>
        <v>0.12031946949434109</v>
      </c>
      <c r="AC46" s="24">
        <f t="shared" si="3"/>
        <v>44.721545613654826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>
        <f>AI46*VLOOKUP('Données projet'!$B$10,Paramètres!$A$1:$I$89,3,0)*VLOOKUP('Données projet'!$B$10,Paramètres!$A$1:$I$89,5,0)</f>
        <v>0</v>
      </c>
      <c r="AK46" s="14" t="e">
        <f t="shared" si="35"/>
        <v>#NUM!</v>
      </c>
      <c r="AL46" s="22" t="e">
        <f t="shared" si="4"/>
        <v>#NUM!</v>
      </c>
      <c r="AM46" s="62" t="e">
        <f t="shared" si="5"/>
        <v>#NUM!</v>
      </c>
      <c r="AN46" s="62">
        <f ca="1">AVERAGE(OFFSET($AM$3,0,0,'Données projet'!$E$10+1,1))-AVERAGE(OFFSET($H$3,0,0,'Données projet'!$E$10+1,1))</f>
        <v>225.24357215754691</v>
      </c>
      <c r="AO46" s="62">
        <f t="shared" si="36"/>
        <v>569.2018208733989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50.657821765581446</v>
      </c>
      <c r="AV46" s="23">
        <f>EXP(-LN(2)/25)*AV45+(1-EXP(-LN(2)/25))/(LN(2)/25)*Calculateur!AQ46*Calculateur!AS46*VLOOKUP('Données projet'!$B$10,Paramètres!$A$1:$I$89,3,0)*0.475*44/12</f>
        <v>18.939436286912315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69.597258052493757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18.811538461538461</v>
      </c>
      <c r="N47" s="14">
        <f>IF('Données projet'!$A$36&gt;35,N46+M47-V46,IF(A47&lt;'Données projet'!$A$36,$K$205^A47,IF(A47='Données projet'!$A$36,'Données projet'!$B$36,N46+M47-V46)))</f>
        <v>485.07846153846174</v>
      </c>
      <c r="O47" s="14">
        <f>N47*VLOOKUP('Données projet'!$B$9,Paramètres!$A$1:$I$89,3,0)*VLOOKUP('Données projet'!$B$9,Paramètres!$A$1:$I$89,5,0)</f>
        <v>290.07692000000014</v>
      </c>
      <c r="P47" s="14">
        <f t="shared" si="33"/>
        <v>69.092149924334223</v>
      </c>
      <c r="Q47" s="22">
        <f t="shared" si="53"/>
        <v>625.55279678488239</v>
      </c>
      <c r="R47" s="62">
        <f t="shared" si="0"/>
        <v>918.88613011821576</v>
      </c>
      <c r="S47" s="62">
        <f ca="1">AVERAGE(OFFSET($R$3,0,0,'Données projet'!$E$9+1,1))-AVERAGE(OFFSET($H$3,0,0,'Données projet'!$E$9+1,1))</f>
        <v>287.52077437571728</v>
      </c>
      <c r="T47" s="62">
        <f t="shared" si="34"/>
        <v>420.95891230839874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32.698628242214838</v>
      </c>
      <c r="AA47" s="23">
        <f>EXP(-LN(2)/25)*AA46+(1-EXP(-LN(2)/25))/(LN(2)/25)*Calculateur!V47*Calculateur!X47*VLOOKUP('Données projet'!$B$9,Paramètres!$A$1:$I$89,3,0)*0.475*44/12</f>
        <v>10.940979898910401</v>
      </c>
      <c r="AB47" s="23">
        <f>EXP(-LN(2)/2)*AB46+(1-EXP(-LN(2)/2))/(LN(2)/2)*V47*Y47*VLOOKUP('Données projet'!$B$9,Paramètres!$A$1:$I$89,3,0)*0.475*44/12</f>
        <v>8.5078712788216534E-2</v>
      </c>
      <c r="AC47" s="24">
        <f t="shared" si="3"/>
        <v>43.724686853913454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>
        <f>AI47*VLOOKUP('Données projet'!$B$10,Paramètres!$A$1:$I$89,3,0)*VLOOKUP('Données projet'!$B$10,Paramètres!$A$1:$I$89,5,0)</f>
        <v>0</v>
      </c>
      <c r="AK47" s="14" t="e">
        <f t="shared" si="35"/>
        <v>#NUM!</v>
      </c>
      <c r="AL47" s="22" t="e">
        <f t="shared" si="4"/>
        <v>#NUM!</v>
      </c>
      <c r="AM47" s="62" t="e">
        <f t="shared" si="5"/>
        <v>#NUM!</v>
      </c>
      <c r="AN47" s="62">
        <f ca="1">AVERAGE(OFFSET($AM$3,0,0,'Données projet'!$E$10+1,1))-AVERAGE(OFFSET($H$3,0,0,'Données projet'!$E$10+1,1))</f>
        <v>225.24357215754691</v>
      </c>
      <c r="AO47" s="62">
        <f t="shared" si="36"/>
        <v>569.2018208733989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49.664452778978728</v>
      </c>
      <c r="AV47" s="23">
        <f>EXP(-LN(2)/25)*AV46+(1-EXP(-LN(2)/25))/(LN(2)/25)*Calculateur!AQ47*Calculateur!AS47*VLOOKUP('Données projet'!$B$10,Paramètres!$A$1:$I$89,3,0)*0.475*44/12</f>
        <v>18.42153640566503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68.085989184643751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503.89</v>
      </c>
      <c r="L48" s="13">
        <f>VLOOKUP(A48,'Données projet'!$A$35:$I$55,9,0)</f>
        <v>18.811538461538461</v>
      </c>
      <c r="M48" s="13">
        <f t="array" ref="M48">INDEX(L:L,MIN(IF(ISNUMBER(L48:L244),ROW(L48:L244),"")))</f>
        <v>18.811538461538461</v>
      </c>
      <c r="N48" s="14">
        <f>IF('Données projet'!$A$36&gt;35,N47+M48-V47,IF(A48&lt;'Données projet'!$A$36,$K$205^A48,IF(A48='Données projet'!$A$36,'Données projet'!$B$36,N47+M48-V47)))</f>
        <v>503.89000000000021</v>
      </c>
      <c r="O48" s="14">
        <f>N48*VLOOKUP('Données projet'!$B$9,Paramètres!$A$1:$I$89,3,0)*VLOOKUP('Données projet'!$B$9,Paramètres!$A$1:$I$89,5,0)</f>
        <v>301.32622000000015</v>
      </c>
      <c r="P48" s="14">
        <f t="shared" si="33"/>
        <v>71.45441871320989</v>
      </c>
      <c r="Q48" s="22">
        <f t="shared" si="53"/>
        <v>649.25961242550738</v>
      </c>
      <c r="R48" s="62">
        <f t="shared" si="0"/>
        <v>942.59294575884064</v>
      </c>
      <c r="S48" s="62">
        <f ca="1">AVERAGE(OFFSET($R$3,0,0,'Données projet'!$E$9+1,1))-AVERAGE(OFFSET($H$3,0,0,'Données projet'!$E$9+1,1))</f>
        <v>287.52077437571728</v>
      </c>
      <c r="T48" s="62">
        <f t="shared" si="34"/>
        <v>420.95891230839874</v>
      </c>
      <c r="U48" s="16">
        <f>IF(ISNA(VLOOKUP(A48,'Données projet'!$A$35:$I$55,3,0)),0,VLOOKUP(A48,'Données projet'!$A$35:$I$55,3,0))</f>
        <v>5</v>
      </c>
      <c r="V48" s="16">
        <f>IF(ISNA(VLOOKUP(A48,'Données projet'!$A$35:$I$55,4,0)),0,VLOOKUP(A48,'Données projet'!$A$35:$I$55,4,0))</f>
        <v>503.89</v>
      </c>
      <c r="W48" s="17">
        <f>IF(ISNA(VLOOKUP(A48,'Données projet'!$A$35:$I$55,5,0)),0%,VLOOKUP(A48,'Données projet'!$A$35:$I$55,5,0)*VLOOKUP('Données projet'!$B$9,Paramètres!$A$1:$I$89,7,0))</f>
        <v>0.40500000000000003</v>
      </c>
      <c r="X48" s="17">
        <f>IF(ISNA(VLOOKUP(A48,'Données projet'!$A$35:$I$55,6,0)),0%,VLOOKUP(A48,'Données projet'!$A$35:$I$55,6,0)*VLOOKUP('Données projet'!$B$9,Paramètres!$A$1:$I$89,7,0))</f>
        <v>2.7E-2</v>
      </c>
      <c r="Y48" s="17">
        <f>IF(ISNA(VLOOKUP(A48,'Données projet'!$A$35:$I$55,7,0)),0%,VLOOKUP(A48,'Données projet'!$A$35:$I$55,7,0))</f>
        <v>0.04</v>
      </c>
      <c r="Z48" s="23">
        <f>EXP(-LN(2)/35)*Z47+(1-EXP(-LN(2)/35))/(LN(2)/35)*V48*W48*VLOOKUP('Données projet'!$B$9,Paramètres!$A$1:$I$89,3,0)*0.475*44/12</f>
        <v>193.94753252888071</v>
      </c>
      <c r="AA48" s="23">
        <f>EXP(-LN(2)/25)*AA47+(1-EXP(-LN(2)/25))/(LN(2)/25)*Calculateur!V48*Calculateur!X48*VLOOKUP('Données projet'!$B$9,Paramètres!$A$1:$I$89,3,0)*0.475*44/12</f>
        <v>21.391976989290015</v>
      </c>
      <c r="AB48" s="23">
        <f>EXP(-LN(2)/2)*AB47+(1-EXP(-LN(2)/2))/(LN(2)/2)*V48*Y48*VLOOKUP('Données projet'!$B$9,Paramètres!$A$1:$I$89,3,0)*0.475*44/12</f>
        <v>13.707010869769784</v>
      </c>
      <c r="AC48" s="24">
        <f t="shared" si="3"/>
        <v>229.04652038794052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>
        <f>AI48*VLOOKUP('Données projet'!$B$10,Paramètres!$A$1:$I$89,3,0)*VLOOKUP('Données projet'!$B$10,Paramètres!$A$1:$I$89,5,0)</f>
        <v>0</v>
      </c>
      <c r="AK48" s="14" t="e">
        <f t="shared" si="35"/>
        <v>#NUM!</v>
      </c>
      <c r="AL48" s="22" t="e">
        <f t="shared" si="4"/>
        <v>#NUM!</v>
      </c>
      <c r="AM48" s="62" t="e">
        <f t="shared" si="5"/>
        <v>#NUM!</v>
      </c>
      <c r="AN48" s="62">
        <f ca="1">AVERAGE(OFFSET($AM$3,0,0,'Données projet'!$E$10+1,1))-AVERAGE(OFFSET($H$3,0,0,'Données projet'!$E$10+1,1))</f>
        <v>225.24357215754691</v>
      </c>
      <c r="AO48" s="62">
        <f t="shared" si="36"/>
        <v>569.2018208733989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48.69056315230803</v>
      </c>
      <c r="AV48" s="23">
        <f>EXP(-LN(2)/25)*AV47+(1-EXP(-LN(2)/25))/(LN(2)/25)*Calculateur!AQ48*Calculateur!AS48*VLOOKUP('Données projet'!$B$10,Paramètres!$A$1:$I$89,3,0)*0.475*44/12</f>
        <v>17.917798523905624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66.608361676213661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2.2737367544323206E-13</v>
      </c>
      <c r="O49" s="14">
        <f>N49*VLOOKUP('Données projet'!$B$9,Paramètres!$A$1:$I$89,3,0)*VLOOKUP('Données projet'!$B$9,Paramètres!$A$1:$I$89,5,0)</f>
        <v>1.3596945791505279E-13</v>
      </c>
      <c r="P49" s="14">
        <f t="shared" si="33"/>
        <v>1.9708830566360721E-12</v>
      </c>
      <c r="Q49" s="22">
        <f t="shared" si="53"/>
        <v>3.669434796176543E-12</v>
      </c>
      <c r="R49" s="62">
        <f t="shared" si="0"/>
        <v>293.33333333333701</v>
      </c>
      <c r="S49" s="62">
        <f ca="1">AVERAGE(OFFSET($R$3,0,0,'Données projet'!$E$9+1,1))-AVERAGE(OFFSET($H$3,0,0,'Données projet'!$E$9+1,1))</f>
        <v>287.52077437571728</v>
      </c>
      <c r="T49" s="62">
        <f t="shared" si="34"/>
        <v>420.95891230839874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190.14433971230341</v>
      </c>
      <c r="AA49" s="23">
        <f>EXP(-LN(2)/25)*AA48+(1-EXP(-LN(2)/25))/(LN(2)/25)*Calculateur!V49*Calculateur!X49*VLOOKUP('Données projet'!$B$9,Paramètres!$A$1:$I$89,3,0)*0.475*44/12</f>
        <v>20.8070122535627</v>
      </c>
      <c r="AB49" s="23">
        <f>EXP(-LN(2)/2)*AB48+(1-EXP(-LN(2)/2))/(LN(2)/2)*V49*Y49*VLOOKUP('Données projet'!$B$9,Paramètres!$A$1:$I$89,3,0)*0.475*44/12</f>
        <v>9.6923203358119316</v>
      </c>
      <c r="AC49" s="24">
        <f t="shared" si="3"/>
        <v>220.64367230167804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>
        <f>AI49*VLOOKUP('Données projet'!$B$10,Paramètres!$A$1:$I$89,3,0)*VLOOKUP('Données projet'!$B$10,Paramètres!$A$1:$I$89,5,0)</f>
        <v>0</v>
      </c>
      <c r="AK49" s="14" t="e">
        <f t="shared" si="35"/>
        <v>#NUM!</v>
      </c>
      <c r="AL49" s="22" t="e">
        <f t="shared" si="4"/>
        <v>#NUM!</v>
      </c>
      <c r="AM49" s="62" t="e">
        <f t="shared" si="5"/>
        <v>#NUM!</v>
      </c>
      <c r="AN49" s="62">
        <f ca="1">AVERAGE(OFFSET($AM$3,0,0,'Données projet'!$E$10+1,1))-AVERAGE(OFFSET($H$3,0,0,'Données projet'!$E$10+1,1))</f>
        <v>225.24357215754691</v>
      </c>
      <c r="AO49" s="62">
        <f t="shared" si="36"/>
        <v>569.2018208733989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47.73577090720233</v>
      </c>
      <c r="AV49" s="23">
        <f>EXP(-LN(2)/25)*AV48+(1-EXP(-LN(2)/25))/(LN(2)/25)*Calculateur!AQ49*Calculateur!AS49*VLOOKUP('Données projet'!$B$10,Paramètres!$A$1:$I$89,3,0)*0.475*44/12</f>
        <v>17.427835381013352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65.163606288215675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2.2737367544323206E-13</v>
      </c>
      <c r="O50" s="14">
        <f>N50*VLOOKUP('Données projet'!$B$9,Paramètres!$A$1:$I$89,3,0)*VLOOKUP('Données projet'!$B$9,Paramètres!$A$1:$I$89,5,0)</f>
        <v>1.3596945791505279E-13</v>
      </c>
      <c r="P50" s="14">
        <f t="shared" si="33"/>
        <v>1.9708830566360721E-12</v>
      </c>
      <c r="Q50" s="22">
        <f t="shared" si="53"/>
        <v>3.669434796176543E-12</v>
      </c>
      <c r="R50" s="62">
        <f t="shared" si="0"/>
        <v>293.33333333333701</v>
      </c>
      <c r="S50" s="62">
        <f ca="1">AVERAGE(OFFSET($R$3,0,0,'Données projet'!$E$9+1,1))-AVERAGE(OFFSET($H$3,0,0,'Données projet'!$E$9+1,1))</f>
        <v>287.52077437571728</v>
      </c>
      <c r="T50" s="62">
        <f t="shared" si="34"/>
        <v>420.95891230839874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186.41572518714062</v>
      </c>
      <c r="AA50" s="23">
        <f>EXP(-LN(2)/25)*AA49+(1-EXP(-LN(2)/25))/(LN(2)/25)*Calculateur!V50*Calculateur!X50*VLOOKUP('Données projet'!$B$9,Paramètres!$A$1:$I$89,3,0)*0.475*44/12</f>
        <v>20.238043409295809</v>
      </c>
      <c r="AB50" s="23">
        <f>EXP(-LN(2)/2)*AB49+(1-EXP(-LN(2)/2))/(LN(2)/2)*V50*Y50*VLOOKUP('Données projet'!$B$9,Paramètres!$A$1:$I$89,3,0)*0.475*44/12</f>
        <v>6.8535054348848927</v>
      </c>
      <c r="AC50" s="24">
        <f t="shared" si="3"/>
        <v>213.50727403132132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>
        <f>AI50*VLOOKUP('Données projet'!$B$10,Paramètres!$A$1:$I$89,3,0)*VLOOKUP('Données projet'!$B$10,Paramètres!$A$1:$I$89,5,0)</f>
        <v>0</v>
      </c>
      <c r="AK50" s="14" t="e">
        <f t="shared" si="35"/>
        <v>#NUM!</v>
      </c>
      <c r="AL50" s="22" t="e">
        <f t="shared" si="4"/>
        <v>#NUM!</v>
      </c>
      <c r="AM50" s="62" t="e">
        <f t="shared" si="5"/>
        <v>#NUM!</v>
      </c>
      <c r="AN50" s="62">
        <f ca="1">AVERAGE(OFFSET($AM$3,0,0,'Données projet'!$E$10+1,1))-AVERAGE(OFFSET($H$3,0,0,'Données projet'!$E$10+1,1))</f>
        <v>225.24357215754691</v>
      </c>
      <c r="AO50" s="62">
        <f t="shared" si="36"/>
        <v>569.2018208733989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46.799701555657386</v>
      </c>
      <c r="AV50" s="23">
        <f>EXP(-LN(2)/25)*AV49+(1-EXP(-LN(2)/25))/(LN(2)/25)*Calculateur!AQ50*Calculateur!AS50*VLOOKUP('Données projet'!$B$10,Paramètres!$A$1:$I$89,3,0)*0.475*44/12</f>
        <v>16.95127030602951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63.750971861686892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2.2737367544323206E-13</v>
      </c>
      <c r="O51" s="14">
        <f>N51*VLOOKUP('Données projet'!$B$9,Paramètres!$A$1:$I$89,3,0)*VLOOKUP('Données projet'!$B$9,Paramètres!$A$1:$I$89,5,0)</f>
        <v>1.3596945791505279E-13</v>
      </c>
      <c r="P51" s="14">
        <f t="shared" si="33"/>
        <v>1.9708830566360721E-12</v>
      </c>
      <c r="Q51" s="22">
        <f t="shared" si="53"/>
        <v>3.669434796176543E-12</v>
      </c>
      <c r="R51" s="62">
        <f t="shared" si="0"/>
        <v>293.33333333333701</v>
      </c>
      <c r="S51" s="62">
        <f ca="1">AVERAGE(OFFSET($R$3,0,0,'Données projet'!$E$9+1,1))-AVERAGE(OFFSET($H$3,0,0,'Données projet'!$E$9+1,1))</f>
        <v>287.52077437571728</v>
      </c>
      <c r="T51" s="62">
        <f t="shared" si="34"/>
        <v>420.95891230839874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182.76022651858599</v>
      </c>
      <c r="AA51" s="23">
        <f>EXP(-LN(2)/25)*AA50+(1-EXP(-LN(2)/25))/(LN(2)/25)*Calculateur!V51*Calculateur!X51*VLOOKUP('Données projet'!$B$9,Paramètres!$A$1:$I$89,3,0)*0.475*44/12</f>
        <v>19.684633047996169</v>
      </c>
      <c r="AB51" s="23">
        <f>EXP(-LN(2)/2)*AB50+(1-EXP(-LN(2)/2))/(LN(2)/2)*V51*Y51*VLOOKUP('Données projet'!$B$9,Paramètres!$A$1:$I$89,3,0)*0.475*44/12</f>
        <v>4.8461601679059667</v>
      </c>
      <c r="AC51" s="24">
        <f t="shared" si="3"/>
        <v>207.29101973448812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>
        <f>AI51*VLOOKUP('Données projet'!$B$10,Paramètres!$A$1:$I$89,3,0)*VLOOKUP('Données projet'!$B$10,Paramètres!$A$1:$I$89,5,0)</f>
        <v>0</v>
      </c>
      <c r="AK51" s="14" t="e">
        <f t="shared" si="35"/>
        <v>#NUM!</v>
      </c>
      <c r="AL51" s="22" t="e">
        <f t="shared" si="4"/>
        <v>#NUM!</v>
      </c>
      <c r="AM51" s="62" t="e">
        <f t="shared" si="5"/>
        <v>#NUM!</v>
      </c>
      <c r="AN51" s="62">
        <f ca="1">AVERAGE(OFFSET($AM$3,0,0,'Données projet'!$E$10+1,1))-AVERAGE(OFFSET($H$3,0,0,'Données projet'!$E$10+1,1))</f>
        <v>225.24357215754691</v>
      </c>
      <c r="AO51" s="62">
        <f t="shared" si="36"/>
        <v>569.2018208733989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45.881987953150308</v>
      </c>
      <c r="AV51" s="23">
        <f>EXP(-LN(2)/25)*AV50+(1-EXP(-LN(2)/25))/(LN(2)/25)*Calculateur!AQ51*Calculateur!AS51*VLOOKUP('Données projet'!$B$10,Paramètres!$A$1:$I$89,3,0)*0.475*44/12</f>
        <v>16.487736928082569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62.369724881232877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2.2737367544323206E-13</v>
      </c>
      <c r="O52" s="14">
        <f>N52*VLOOKUP('Données projet'!$B$9,Paramètres!$A$1:$I$89,3,0)*VLOOKUP('Données projet'!$B$9,Paramètres!$A$1:$I$89,5,0)</f>
        <v>1.3596945791505279E-13</v>
      </c>
      <c r="P52" s="14">
        <f t="shared" si="33"/>
        <v>1.9708830566360721E-12</v>
      </c>
      <c r="Q52" s="22">
        <f t="shared" si="53"/>
        <v>3.669434796176543E-12</v>
      </c>
      <c r="R52" s="62">
        <f t="shared" si="0"/>
        <v>293.33333333333701</v>
      </c>
      <c r="S52" s="62">
        <f ca="1">AVERAGE(OFFSET($R$3,0,0,'Données projet'!$E$9+1,1))-AVERAGE(OFFSET($H$3,0,0,'Données projet'!$E$9+1,1))</f>
        <v>287.52077437571728</v>
      </c>
      <c r="T52" s="62">
        <f t="shared" si="34"/>
        <v>420.95891230839874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179.17640994928769</v>
      </c>
      <c r="AA52" s="23">
        <f>EXP(-LN(2)/25)*AA51+(1-EXP(-LN(2)/25))/(LN(2)/25)*Calculateur!V52*Calculateur!X52*VLOOKUP('Données projet'!$B$9,Paramètres!$A$1:$I$89,3,0)*0.475*44/12</f>
        <v>19.146355722128853</v>
      </c>
      <c r="AB52" s="23">
        <f>EXP(-LN(2)/2)*AB51+(1-EXP(-LN(2)/2))/(LN(2)/2)*V52*Y52*VLOOKUP('Données projet'!$B$9,Paramètres!$A$1:$I$89,3,0)*0.475*44/12</f>
        <v>3.4267527174424472</v>
      </c>
      <c r="AC52" s="24">
        <f t="shared" si="3"/>
        <v>201.74951838885897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>
        <f>AI52*VLOOKUP('Données projet'!$B$10,Paramètres!$A$1:$I$89,3,0)*VLOOKUP('Données projet'!$B$10,Paramètres!$A$1:$I$89,5,0)</f>
        <v>0</v>
      </c>
      <c r="AK52" s="14" t="e">
        <f t="shared" si="35"/>
        <v>#NUM!</v>
      </c>
      <c r="AL52" s="22" t="e">
        <f t="shared" si="4"/>
        <v>#NUM!</v>
      </c>
      <c r="AM52" s="62" t="e">
        <f t="shared" si="5"/>
        <v>#NUM!</v>
      </c>
      <c r="AN52" s="62">
        <f ca="1">AVERAGE(OFFSET($AM$3,0,0,'Données projet'!$E$10+1,1))-AVERAGE(OFFSET($H$3,0,0,'Données projet'!$E$10+1,1))</f>
        <v>225.24357215754691</v>
      </c>
      <c r="AO52" s="62">
        <f t="shared" si="36"/>
        <v>569.2018208733989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44.982270154638371</v>
      </c>
      <c r="AV52" s="23">
        <f>EXP(-LN(2)/25)*AV51+(1-EXP(-LN(2)/25))/(LN(2)/25)*Calculateur!AQ52*Calculateur!AS52*VLOOKUP('Données projet'!$B$10,Paramètres!$A$1:$I$89,3,0)*0.475*44/12</f>
        <v>16.03687889473175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61.019149049370121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2.2737367544323206E-13</v>
      </c>
      <c r="O53" s="14">
        <f>N53*VLOOKUP('Données projet'!$B$9,Paramètres!$A$1:$I$89,3,0)*VLOOKUP('Données projet'!$B$9,Paramètres!$A$1:$I$89,5,0)</f>
        <v>1.3596945791505279E-13</v>
      </c>
      <c r="P53" s="14">
        <f t="shared" si="33"/>
        <v>1.9708830566360721E-12</v>
      </c>
      <c r="Q53" s="22">
        <f t="shared" si="53"/>
        <v>3.669434796176543E-12</v>
      </c>
      <c r="R53" s="62">
        <f t="shared" si="0"/>
        <v>293.33333333333701</v>
      </c>
      <c r="S53" s="62">
        <f ca="1">AVERAGE(OFFSET($R$3,0,0,'Données projet'!$E$9+1,1))-AVERAGE(OFFSET($H$3,0,0,'Données projet'!$E$9+1,1))</f>
        <v>287.52077437571728</v>
      </c>
      <c r="T53" s="62">
        <f t="shared" si="34"/>
        <v>420.95891230839874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175.66286983700104</v>
      </c>
      <c r="AA53" s="23">
        <f>EXP(-LN(2)/25)*AA52+(1-EXP(-LN(2)/25))/(LN(2)/25)*Calculateur!V53*Calculateur!X53*VLOOKUP('Données projet'!$B$9,Paramètres!$A$1:$I$89,3,0)*0.475*44/12</f>
        <v>18.622797618044149</v>
      </c>
      <c r="AB53" s="23">
        <f>EXP(-LN(2)/2)*AB52+(1-EXP(-LN(2)/2))/(LN(2)/2)*V53*Y53*VLOOKUP('Données projet'!$B$9,Paramètres!$A$1:$I$89,3,0)*0.475*44/12</f>
        <v>2.4230800839529838</v>
      </c>
      <c r="AC53" s="24">
        <f t="shared" si="3"/>
        <v>196.70874753899818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>
        <f>AI53*VLOOKUP('Données projet'!$B$10,Paramètres!$A$1:$I$89,3,0)*VLOOKUP('Données projet'!$B$10,Paramètres!$A$1:$I$89,5,0)</f>
        <v>0</v>
      </c>
      <c r="AK53" s="14" t="e">
        <f t="shared" si="35"/>
        <v>#NUM!</v>
      </c>
      <c r="AL53" s="22" t="e">
        <f t="shared" si="4"/>
        <v>#NUM!</v>
      </c>
      <c r="AM53" s="62" t="e">
        <f t="shared" si="5"/>
        <v>#NUM!</v>
      </c>
      <c r="AN53" s="62">
        <f ca="1">AVERAGE(OFFSET($AM$3,0,0,'Données projet'!$E$10+1,1))-AVERAGE(OFFSET($H$3,0,0,'Données projet'!$E$10+1,1))</f>
        <v>225.24357215754691</v>
      </c>
      <c r="AO53" s="62">
        <f t="shared" si="36"/>
        <v>569.2018208733989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44.10019527338158</v>
      </c>
      <c r="AV53" s="23">
        <f>EXP(-LN(2)/25)*AV52+(1-EXP(-LN(2)/25))/(LN(2)/25)*Calculateur!AQ53*Calculateur!AS53*VLOOKUP('Données projet'!$B$10,Paramètres!$A$1:$I$89,3,0)*0.475*44/12</f>
        <v>15.598349598012502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59.698544871394084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2.2737367544323206E-13</v>
      </c>
      <c r="O54" s="14">
        <f>N54*VLOOKUP('Données projet'!$B$9,Paramètres!$A$1:$I$89,3,0)*VLOOKUP('Données projet'!$B$9,Paramètres!$A$1:$I$89,5,0)</f>
        <v>1.3596945791505279E-13</v>
      </c>
      <c r="P54" s="14">
        <f t="shared" si="33"/>
        <v>1.9708830566360721E-12</v>
      </c>
      <c r="Q54" s="22">
        <f t="shared" si="53"/>
        <v>3.669434796176543E-12</v>
      </c>
      <c r="R54" s="62">
        <f t="shared" si="0"/>
        <v>293.33333333333701</v>
      </c>
      <c r="S54" s="62">
        <f ca="1">AVERAGE(OFFSET($R$3,0,0,'Données projet'!$E$9+1,1))-AVERAGE(OFFSET($H$3,0,0,'Données projet'!$E$9+1,1))</f>
        <v>287.52077437571728</v>
      </c>
      <c r="T54" s="62">
        <f t="shared" si="34"/>
        <v>420.95891230839874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172.21822810326847</v>
      </c>
      <c r="AA54" s="23">
        <f>EXP(-LN(2)/25)*AA53+(1-EXP(-LN(2)/25))/(LN(2)/25)*Calculateur!V54*Calculateur!X54*VLOOKUP('Données projet'!$B$9,Paramètres!$A$1:$I$89,3,0)*0.475*44/12</f>
        <v>18.113556237848368</v>
      </c>
      <c r="AB54" s="23">
        <f>EXP(-LN(2)/2)*AB53+(1-EXP(-LN(2)/2))/(LN(2)/2)*V54*Y54*VLOOKUP('Données projet'!$B$9,Paramètres!$A$1:$I$89,3,0)*0.475*44/12</f>
        <v>1.7133763587212238</v>
      </c>
      <c r="AC54" s="24">
        <f t="shared" si="3"/>
        <v>192.04516069983808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>
        <f>AI54*VLOOKUP('Données projet'!$B$10,Paramètres!$A$1:$I$89,3,0)*VLOOKUP('Données projet'!$B$10,Paramètres!$A$1:$I$89,5,0)</f>
        <v>0</v>
      </c>
      <c r="AK54" s="14" t="e">
        <f t="shared" si="35"/>
        <v>#NUM!</v>
      </c>
      <c r="AL54" s="22" t="e">
        <f t="shared" si="4"/>
        <v>#NUM!</v>
      </c>
      <c r="AM54" s="62" t="e">
        <f t="shared" si="5"/>
        <v>#NUM!</v>
      </c>
      <c r="AN54" s="62">
        <f ca="1">AVERAGE(OFFSET($AM$3,0,0,'Données projet'!$E$10+1,1))-AVERAGE(OFFSET($H$3,0,0,'Données projet'!$E$10+1,1))</f>
        <v>225.24357215754691</v>
      </c>
      <c r="AO54" s="62">
        <f t="shared" si="36"/>
        <v>569.2018208733989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43.23541734253368</v>
      </c>
      <c r="AV54" s="23">
        <f>EXP(-LN(2)/25)*AV53+(1-EXP(-LN(2)/25))/(LN(2)/25)*Calculateur!AQ54*Calculateur!AS54*VLOOKUP('Données projet'!$B$10,Paramètres!$A$1:$I$89,3,0)*0.475*44/12</f>
        <v>15.171811907973296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58.407229250506973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2.2737367544323206E-13</v>
      </c>
      <c r="O55" s="14">
        <f>N55*VLOOKUP('Données projet'!$B$9,Paramètres!$A$1:$I$89,3,0)*VLOOKUP('Données projet'!$B$9,Paramètres!$A$1:$I$89,5,0)</f>
        <v>1.3596945791505279E-13</v>
      </c>
      <c r="P55" s="14">
        <f t="shared" si="33"/>
        <v>1.9708830566360721E-12</v>
      </c>
      <c r="Q55" s="22">
        <f t="shared" si="53"/>
        <v>3.669434796176543E-12</v>
      </c>
      <c r="R55" s="62">
        <f t="shared" si="0"/>
        <v>293.33333333333701</v>
      </c>
      <c r="S55" s="62">
        <f ca="1">AVERAGE(OFFSET($R$3,0,0,'Données projet'!$E$9+1,1))-AVERAGE(OFFSET($H$3,0,0,'Données projet'!$E$9+1,1))</f>
        <v>287.52077437571728</v>
      </c>
      <c r="T55" s="62">
        <f t="shared" si="34"/>
        <v>420.95891230839874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168.8411336929104</v>
      </c>
      <c r="AA55" s="23">
        <f>EXP(-LN(2)/25)*AA54+(1-EXP(-LN(2)/25))/(LN(2)/25)*Calculateur!V55*Calculateur!X55*VLOOKUP('Données projet'!$B$9,Paramètres!$A$1:$I$89,3,0)*0.475*44/12</f>
        <v>17.618240089973881</v>
      </c>
      <c r="AB55" s="23">
        <f>EXP(-LN(2)/2)*AB54+(1-EXP(-LN(2)/2))/(LN(2)/2)*V55*Y55*VLOOKUP('Données projet'!$B$9,Paramètres!$A$1:$I$89,3,0)*0.475*44/12</f>
        <v>1.2115400419764921</v>
      </c>
      <c r="AC55" s="24">
        <f t="shared" si="3"/>
        <v>187.67091382486078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>
        <f>AI55*VLOOKUP('Données projet'!$B$10,Paramètres!$A$1:$I$89,3,0)*VLOOKUP('Données projet'!$B$10,Paramètres!$A$1:$I$89,5,0)</f>
        <v>0</v>
      </c>
      <c r="AK55" s="14" t="e">
        <f t="shared" si="35"/>
        <v>#NUM!</v>
      </c>
      <c r="AL55" s="22" t="e">
        <f t="shared" si="4"/>
        <v>#NUM!</v>
      </c>
      <c r="AM55" s="62" t="e">
        <f t="shared" si="5"/>
        <v>#NUM!</v>
      </c>
      <c r="AN55" s="62">
        <f ca="1">AVERAGE(OFFSET($AM$3,0,0,'Données projet'!$E$10+1,1))-AVERAGE(OFFSET($H$3,0,0,'Données projet'!$E$10+1,1))</f>
        <v>225.24357215754691</v>
      </c>
      <c r="AO55" s="62">
        <f t="shared" si="36"/>
        <v>569.2018208733989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42.387597179447255</v>
      </c>
      <c r="AV55" s="23">
        <f>EXP(-LN(2)/25)*AV54+(1-EXP(-LN(2)/25))/(LN(2)/25)*Calculateur!AQ55*Calculateur!AS55*VLOOKUP('Données projet'!$B$10,Paramètres!$A$1:$I$89,3,0)*0.475*44/12</f>
        <v>14.756937913498854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57.144535092946107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2.2737367544323206E-13</v>
      </c>
      <c r="O56" s="14">
        <f>N56*VLOOKUP('Données projet'!$B$9,Paramètres!$A$1:$I$89,3,0)*VLOOKUP('Données projet'!$B$9,Paramètres!$A$1:$I$89,5,0)</f>
        <v>1.3596945791505279E-13</v>
      </c>
      <c r="P56" s="14">
        <f t="shared" si="33"/>
        <v>1.9708830566360721E-12</v>
      </c>
      <c r="Q56" s="22">
        <f t="shared" si="53"/>
        <v>3.669434796176543E-12</v>
      </c>
      <c r="R56" s="62">
        <f t="shared" si="0"/>
        <v>293.33333333333701</v>
      </c>
      <c r="S56" s="62">
        <f ca="1">AVERAGE(OFFSET($R$3,0,0,'Données projet'!$E$9+1,1))-AVERAGE(OFFSET($H$3,0,0,'Données projet'!$E$9+1,1))</f>
        <v>287.52077437571728</v>
      </c>
      <c r="T56" s="62">
        <f t="shared" si="34"/>
        <v>420.95891230839874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165.53026204411526</v>
      </c>
      <c r="AA56" s="23">
        <f>EXP(-LN(2)/25)*AA55+(1-EXP(-LN(2)/25))/(LN(2)/25)*Calculateur!V56*Calculateur!X56*VLOOKUP('Données projet'!$B$9,Paramètres!$A$1:$I$89,3,0)*0.475*44/12</f>
        <v>17.136468388210567</v>
      </c>
      <c r="AB56" s="23">
        <f>EXP(-LN(2)/2)*AB55+(1-EXP(-LN(2)/2))/(LN(2)/2)*V56*Y56*VLOOKUP('Données projet'!$B$9,Paramètres!$A$1:$I$89,3,0)*0.475*44/12</f>
        <v>0.85668817936061203</v>
      </c>
      <c r="AC56" s="24">
        <f t="shared" si="3"/>
        <v>183.52341861168645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>
        <f>AI56*VLOOKUP('Données projet'!$B$10,Paramètres!$A$1:$I$89,3,0)*VLOOKUP('Données projet'!$B$10,Paramètres!$A$1:$I$89,5,0)</f>
        <v>0</v>
      </c>
      <c r="AK56" s="14" t="e">
        <f t="shared" si="35"/>
        <v>#NUM!</v>
      </c>
      <c r="AL56" s="22" t="e">
        <f t="shared" si="4"/>
        <v>#NUM!</v>
      </c>
      <c r="AM56" s="62" t="e">
        <f t="shared" si="5"/>
        <v>#NUM!</v>
      </c>
      <c r="AN56" s="62">
        <f ca="1">AVERAGE(OFFSET($AM$3,0,0,'Données projet'!$E$10+1,1))-AVERAGE(OFFSET($H$3,0,0,'Données projet'!$E$10+1,1))</f>
        <v>225.24357215754691</v>
      </c>
      <c r="AO56" s="62">
        <f t="shared" si="36"/>
        <v>569.2018208733989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41.556402252639714</v>
      </c>
      <c r="AV56" s="23">
        <f>EXP(-LN(2)/25)*AV55+(1-EXP(-LN(2)/25))/(LN(2)/25)*Calculateur!AQ56*Calculateur!AS56*VLOOKUP('Données projet'!$B$10,Paramètres!$A$1:$I$89,3,0)*0.475*44/12</f>
        <v>14.35340867022059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55.909810922860302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2.2737367544323206E-13</v>
      </c>
      <c r="O57" s="14">
        <f>N57*VLOOKUP('Données projet'!$B$9,Paramètres!$A$1:$I$89,3,0)*VLOOKUP('Données projet'!$B$9,Paramètres!$A$1:$I$89,5,0)</f>
        <v>1.3596945791505279E-13</v>
      </c>
      <c r="P57" s="14">
        <f t="shared" si="33"/>
        <v>1.9708830566360721E-12</v>
      </c>
      <c r="Q57" s="22">
        <f t="shared" si="53"/>
        <v>3.669434796176543E-12</v>
      </c>
      <c r="R57" s="62">
        <f t="shared" si="0"/>
        <v>293.33333333333701</v>
      </c>
      <c r="S57" s="62">
        <f ca="1">AVERAGE(OFFSET($R$3,0,0,'Données projet'!$E$9+1,1))-AVERAGE(OFFSET($H$3,0,0,'Données projet'!$E$9+1,1))</f>
        <v>287.52077437571728</v>
      </c>
      <c r="T57" s="62">
        <f t="shared" si="34"/>
        <v>420.95891230839874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162.28431456892068</v>
      </c>
      <c r="AA57" s="23">
        <f>EXP(-LN(2)/25)*AA56+(1-EXP(-LN(2)/25))/(LN(2)/25)*Calculateur!V57*Calculateur!X57*VLOOKUP('Données projet'!$B$9,Paramètres!$A$1:$I$89,3,0)*0.475*44/12</f>
        <v>16.667870758967243</v>
      </c>
      <c r="AB57" s="23">
        <f>EXP(-LN(2)/2)*AB56+(1-EXP(-LN(2)/2))/(LN(2)/2)*V57*Y57*VLOOKUP('Données projet'!$B$9,Paramètres!$A$1:$I$89,3,0)*0.475*44/12</f>
        <v>0.60577002098824606</v>
      </c>
      <c r="AC57" s="24">
        <f t="shared" si="3"/>
        <v>179.55795534887616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>
        <f>AI57*VLOOKUP('Données projet'!$B$10,Paramètres!$A$1:$I$89,3,0)*VLOOKUP('Données projet'!$B$10,Paramètres!$A$1:$I$89,5,0)</f>
        <v>0</v>
      </c>
      <c r="AK57" s="14" t="e">
        <f t="shared" si="35"/>
        <v>#NUM!</v>
      </c>
      <c r="AL57" s="22" t="e">
        <f t="shared" si="4"/>
        <v>#NUM!</v>
      </c>
      <c r="AM57" s="62" t="e">
        <f t="shared" si="5"/>
        <v>#NUM!</v>
      </c>
      <c r="AN57" s="62">
        <f ca="1">AVERAGE(OFFSET($AM$3,0,0,'Données projet'!$E$10+1,1))-AVERAGE(OFFSET($H$3,0,0,'Données projet'!$E$10+1,1))</f>
        <v>225.24357215754691</v>
      </c>
      <c r="AO57" s="62">
        <f t="shared" si="36"/>
        <v>569.2018208733989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40.741506551368026</v>
      </c>
      <c r="AV57" s="23">
        <f>EXP(-LN(2)/25)*AV56+(1-EXP(-LN(2)/25))/(LN(2)/25)*Calculateur!AQ57*Calculateur!AS57*VLOOKUP('Données projet'!$B$10,Paramètres!$A$1:$I$89,3,0)*0.475*44/12</f>
        <v>13.960913955320452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54.702420506688476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2.2737367544323206E-13</v>
      </c>
      <c r="O58" s="14">
        <f>N58*VLOOKUP('Données projet'!$B$9,Paramètres!$A$1:$I$89,3,0)*VLOOKUP('Données projet'!$B$9,Paramètres!$A$1:$I$89,5,0)</f>
        <v>1.3596945791505279E-13</v>
      </c>
      <c r="P58" s="14">
        <f t="shared" si="33"/>
        <v>1.9708830566360721E-12</v>
      </c>
      <c r="Q58" s="22">
        <f t="shared" si="53"/>
        <v>3.669434796176543E-12</v>
      </c>
      <c r="R58" s="62">
        <f t="shared" si="0"/>
        <v>293.33333333333701</v>
      </c>
      <c r="S58" s="62">
        <f ca="1">AVERAGE(OFFSET($R$3,0,0,'Données projet'!$E$9+1,1))-AVERAGE(OFFSET($H$3,0,0,'Données projet'!$E$9+1,1))</f>
        <v>287.52077437571728</v>
      </c>
      <c r="T58" s="62">
        <f t="shared" si="34"/>
        <v>420.95891230839874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159.10201814388222</v>
      </c>
      <c r="AA58" s="23">
        <f>EXP(-LN(2)/25)*AA57+(1-EXP(-LN(2)/25))/(LN(2)/25)*Calculateur!V58*Calculateur!X58*VLOOKUP('Données projet'!$B$9,Paramètres!$A$1:$I$89,3,0)*0.475*44/12</f>
        <v>16.212086956538055</v>
      </c>
      <c r="AB58" s="23">
        <f>EXP(-LN(2)/2)*AB57+(1-EXP(-LN(2)/2))/(LN(2)/2)*V58*Y58*VLOOKUP('Données projet'!$B$9,Paramètres!$A$1:$I$89,3,0)*0.475*44/12</f>
        <v>0.42834408968030602</v>
      </c>
      <c r="AC58" s="24">
        <f t="shared" si="3"/>
        <v>175.74244919010059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>
        <f>AI58*VLOOKUP('Données projet'!$B$10,Paramètres!$A$1:$I$89,3,0)*VLOOKUP('Données projet'!$B$10,Paramètres!$A$1:$I$89,5,0)</f>
        <v>0</v>
      </c>
      <c r="AK58" s="14" t="e">
        <f t="shared" si="35"/>
        <v>#NUM!</v>
      </c>
      <c r="AL58" s="22" t="e">
        <f t="shared" si="4"/>
        <v>#NUM!</v>
      </c>
      <c r="AM58" s="62" t="e">
        <f t="shared" si="5"/>
        <v>#NUM!</v>
      </c>
      <c r="AN58" s="62">
        <f ca="1">AVERAGE(OFFSET($AM$3,0,0,'Données projet'!$E$10+1,1))-AVERAGE(OFFSET($H$3,0,0,'Données projet'!$E$10+1,1))</f>
        <v>225.24357215754691</v>
      </c>
      <c r="AO58" s="62">
        <f t="shared" si="36"/>
        <v>569.2018208733989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39.942590457760978</v>
      </c>
      <c r="AV58" s="23">
        <f>EXP(-LN(2)/25)*AV57+(1-EXP(-LN(2)/25))/(LN(2)/25)*Calculateur!AQ58*Calculateur!AS58*VLOOKUP('Données projet'!$B$10,Paramètres!$A$1:$I$89,3,0)*0.475*44/12</f>
        <v>13.579152029039657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53.521742486800633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2.2737367544323206E-13</v>
      </c>
      <c r="O59" s="14">
        <f>N59*VLOOKUP('Données projet'!$B$9,Paramètres!$A$1:$I$89,3,0)*VLOOKUP('Données projet'!$B$9,Paramètres!$A$1:$I$89,5,0)</f>
        <v>1.3596945791505279E-13</v>
      </c>
      <c r="P59" s="14">
        <f t="shared" si="33"/>
        <v>1.9708830566360721E-12</v>
      </c>
      <c r="Q59" s="22">
        <f t="shared" si="53"/>
        <v>3.669434796176543E-12</v>
      </c>
      <c r="R59" s="62">
        <f t="shared" si="0"/>
        <v>293.33333333333701</v>
      </c>
      <c r="S59" s="62">
        <f ca="1">AVERAGE(OFFSET($R$3,0,0,'Données projet'!$E$9+1,1))-AVERAGE(OFFSET($H$3,0,0,'Données projet'!$E$9+1,1))</f>
        <v>287.52077437571728</v>
      </c>
      <c r="T59" s="62">
        <f t="shared" si="34"/>
        <v>420.95891230839874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155.98212461072958</v>
      </c>
      <c r="AA59" s="23">
        <f>EXP(-LN(2)/25)*AA58+(1-EXP(-LN(2)/25))/(LN(2)/25)*Calculateur!V59*Calculateur!X59*VLOOKUP('Données projet'!$B$9,Paramètres!$A$1:$I$89,3,0)*0.475*44/12</f>
        <v>15.768766586154923</v>
      </c>
      <c r="AB59" s="23">
        <f>EXP(-LN(2)/2)*AB58+(1-EXP(-LN(2)/2))/(LN(2)/2)*V59*Y59*VLOOKUP('Données projet'!$B$9,Paramètres!$A$1:$I$89,3,0)*0.475*44/12</f>
        <v>0.30288501049412303</v>
      </c>
      <c r="AC59" s="24">
        <f t="shared" si="3"/>
        <v>172.05377620737863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>
        <f>AI59*VLOOKUP('Données projet'!$B$10,Paramètres!$A$1:$I$89,3,0)*VLOOKUP('Données projet'!$B$10,Paramètres!$A$1:$I$89,5,0)</f>
        <v>0</v>
      </c>
      <c r="AK59" s="14" t="e">
        <f t="shared" si="35"/>
        <v>#NUM!</v>
      </c>
      <c r="AL59" s="22" t="e">
        <f t="shared" si="4"/>
        <v>#NUM!</v>
      </c>
      <c r="AM59" s="62" t="e">
        <f t="shared" si="5"/>
        <v>#NUM!</v>
      </c>
      <c r="AN59" s="62">
        <f ca="1">AVERAGE(OFFSET($AM$3,0,0,'Données projet'!$E$10+1,1))-AVERAGE(OFFSET($H$3,0,0,'Données projet'!$E$10+1,1))</f>
        <v>225.24357215754691</v>
      </c>
      <c r="AO59" s="62">
        <f t="shared" si="36"/>
        <v>569.2018208733989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39.15934062145886</v>
      </c>
      <c r="AV59" s="23">
        <f>EXP(-LN(2)/25)*AV58+(1-EXP(-LN(2)/25))/(LN(2)/25)*Calculateur!AQ59*Calculateur!AS59*VLOOKUP('Données projet'!$B$10,Paramètres!$A$1:$I$89,3,0)*0.475*44/12</f>
        <v>13.207829402708997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52.367170024167855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2.2737367544323206E-13</v>
      </c>
      <c r="O60" s="14">
        <f>N60*VLOOKUP('Données projet'!$B$9,Paramètres!$A$1:$I$89,3,0)*VLOOKUP('Données projet'!$B$9,Paramètres!$A$1:$I$89,5,0)</f>
        <v>1.3596945791505279E-13</v>
      </c>
      <c r="P60" s="14">
        <f t="shared" si="33"/>
        <v>1.9708830566360721E-12</v>
      </c>
      <c r="Q60" s="22">
        <f t="shared" si="53"/>
        <v>3.669434796176543E-12</v>
      </c>
      <c r="R60" s="62">
        <f t="shared" si="0"/>
        <v>293.33333333333701</v>
      </c>
      <c r="S60" s="62">
        <f ca="1">AVERAGE(OFFSET($R$3,0,0,'Données projet'!$E$9+1,1))-AVERAGE(OFFSET($H$3,0,0,'Données projet'!$E$9+1,1))</f>
        <v>287.52077437571728</v>
      </c>
      <c r="T60" s="62">
        <f t="shared" si="34"/>
        <v>420.95891230839874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152.92341028681491</v>
      </c>
      <c r="AA60" s="23">
        <f>EXP(-LN(2)/25)*AA59+(1-EXP(-LN(2)/25))/(LN(2)/25)*Calculateur!V60*Calculateur!X60*VLOOKUP('Données projet'!$B$9,Paramètres!$A$1:$I$89,3,0)*0.475*44/12</f>
        <v>15.337568834613123</v>
      </c>
      <c r="AB60" s="23">
        <f>EXP(-LN(2)/2)*AB59+(1-EXP(-LN(2)/2))/(LN(2)/2)*V60*Y60*VLOOKUP('Données projet'!$B$9,Paramètres!$A$1:$I$89,3,0)*0.475*44/12</f>
        <v>0.21417204484015301</v>
      </c>
      <c r="AC60" s="24">
        <f t="shared" si="3"/>
        <v>168.47515116626818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>
        <f>AI60*VLOOKUP('Données projet'!$B$10,Paramètres!$A$1:$I$89,3,0)*VLOOKUP('Données projet'!$B$10,Paramètres!$A$1:$I$89,5,0)</f>
        <v>0</v>
      </c>
      <c r="AK60" s="14" t="e">
        <f t="shared" si="35"/>
        <v>#NUM!</v>
      </c>
      <c r="AL60" s="22" t="e">
        <f t="shared" si="4"/>
        <v>#NUM!</v>
      </c>
      <c r="AM60" s="62" t="e">
        <f t="shared" si="5"/>
        <v>#NUM!</v>
      </c>
      <c r="AN60" s="62">
        <f ca="1">AVERAGE(OFFSET($AM$3,0,0,'Données projet'!$E$10+1,1))-AVERAGE(OFFSET($H$3,0,0,'Données projet'!$E$10+1,1))</f>
        <v>225.24357215754691</v>
      </c>
      <c r="AO60" s="62">
        <f t="shared" si="36"/>
        <v>569.2018208733989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38.391449836711402</v>
      </c>
      <c r="AV60" s="23">
        <f>EXP(-LN(2)/25)*AV59+(1-EXP(-LN(2)/25))/(LN(2)/25)*Calculateur!AQ60*Calculateur!AS60*VLOOKUP('Données projet'!$B$10,Paramètres!$A$1:$I$89,3,0)*0.475*44/12</f>
        <v>12.846660613122358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51.238110449833762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2.2737367544323206E-13</v>
      </c>
      <c r="O61" s="14">
        <f>N61*VLOOKUP('Données projet'!$B$9,Paramètres!$A$1:$I$89,3,0)*VLOOKUP('Données projet'!$B$9,Paramètres!$A$1:$I$89,5,0)</f>
        <v>1.3596945791505279E-13</v>
      </c>
      <c r="P61" s="14">
        <f t="shared" si="33"/>
        <v>1.9708830566360721E-12</v>
      </c>
      <c r="Q61" s="22">
        <f t="shared" si="53"/>
        <v>3.669434796176543E-12</v>
      </c>
      <c r="R61" s="62">
        <f t="shared" si="0"/>
        <v>293.33333333333701</v>
      </c>
      <c r="S61" s="62">
        <f ca="1">AVERAGE(OFFSET($R$3,0,0,'Données projet'!$E$9+1,1))-AVERAGE(OFFSET($H$3,0,0,'Données projet'!$E$9+1,1))</f>
        <v>287.52077437571728</v>
      </c>
      <c r="T61" s="62">
        <f t="shared" si="34"/>
        <v>420.95891230839874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149.92467548516069</v>
      </c>
      <c r="AA61" s="23">
        <f>EXP(-LN(2)/25)*AA60+(1-EXP(-LN(2)/25))/(LN(2)/25)*Calculateur!V61*Calculateur!X61*VLOOKUP('Données projet'!$B$9,Paramètres!$A$1:$I$89,3,0)*0.475*44/12</f>
        <v>14.918162208262936</v>
      </c>
      <c r="AB61" s="23">
        <f>EXP(-LN(2)/2)*AB60+(1-EXP(-LN(2)/2))/(LN(2)/2)*V61*Y61*VLOOKUP('Données projet'!$B$9,Paramètres!$A$1:$I$89,3,0)*0.475*44/12</f>
        <v>0.15144250524706152</v>
      </c>
      <c r="AC61" s="24">
        <f t="shared" si="3"/>
        <v>164.99428019867071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>
        <f>AI61*VLOOKUP('Données projet'!$B$10,Paramètres!$A$1:$I$89,3,0)*VLOOKUP('Données projet'!$B$10,Paramètres!$A$1:$I$89,5,0)</f>
        <v>0</v>
      </c>
      <c r="AK61" s="14" t="e">
        <f t="shared" si="35"/>
        <v>#NUM!</v>
      </c>
      <c r="AL61" s="22" t="e">
        <f t="shared" si="4"/>
        <v>#NUM!</v>
      </c>
      <c r="AM61" s="62" t="e">
        <f t="shared" si="5"/>
        <v>#NUM!</v>
      </c>
      <c r="AN61" s="62">
        <f ca="1">AVERAGE(OFFSET($AM$3,0,0,'Données projet'!$E$10+1,1))-AVERAGE(OFFSET($H$3,0,0,'Données projet'!$E$10+1,1))</f>
        <v>225.24357215754691</v>
      </c>
      <c r="AO61" s="62">
        <f t="shared" si="36"/>
        <v>569.2018208733989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37.638616921885706</v>
      </c>
      <c r="AV61" s="23">
        <f>EXP(-LN(2)/25)*AV60+(1-EXP(-LN(2)/25))/(LN(2)/25)*Calculateur!AQ61*Calculateur!AS61*VLOOKUP('Données projet'!$B$10,Paramètres!$A$1:$I$89,3,0)*0.475*44/12</f>
        <v>12.495368003080007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50.133984924965716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2.2737367544323206E-13</v>
      </c>
      <c r="O62" s="14">
        <f>N62*VLOOKUP('Données projet'!$B$9,Paramètres!$A$1:$I$89,3,0)*VLOOKUP('Données projet'!$B$9,Paramètres!$A$1:$I$89,5,0)</f>
        <v>1.3596945791505279E-13</v>
      </c>
      <c r="P62" s="14">
        <f t="shared" si="33"/>
        <v>1.9708830566360721E-12</v>
      </c>
      <c r="Q62" s="22">
        <f t="shared" si="53"/>
        <v>3.669434796176543E-12</v>
      </c>
      <c r="R62" s="62">
        <f t="shared" si="0"/>
        <v>293.33333333333701</v>
      </c>
      <c r="S62" s="62">
        <f ca="1">AVERAGE(OFFSET($R$3,0,0,'Données projet'!$E$9+1,1))-AVERAGE(OFFSET($H$3,0,0,'Données projet'!$E$9+1,1))</f>
        <v>287.52077437571728</v>
      </c>
      <c r="T62" s="62">
        <f t="shared" si="34"/>
        <v>420.95891230839874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146.98474404391928</v>
      </c>
      <c r="AA62" s="23">
        <f>EXP(-LN(2)/25)*AA61+(1-EXP(-LN(2)/25))/(LN(2)/25)*Calculateur!V62*Calculateur!X62*VLOOKUP('Données projet'!$B$9,Paramètres!$A$1:$I$89,3,0)*0.475*44/12</f>
        <v>14.510224278165932</v>
      </c>
      <c r="AB62" s="23">
        <f>EXP(-LN(2)/2)*AB61+(1-EXP(-LN(2)/2))/(LN(2)/2)*V62*Y62*VLOOKUP('Données projet'!$B$9,Paramètres!$A$1:$I$89,3,0)*0.475*44/12</f>
        <v>0.1070860224200765</v>
      </c>
      <c r="AC62" s="24">
        <f t="shared" si="3"/>
        <v>161.60205434450529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>
        <f>AI62*VLOOKUP('Données projet'!$B$10,Paramètres!$A$1:$I$89,3,0)*VLOOKUP('Données projet'!$B$10,Paramètres!$A$1:$I$89,5,0)</f>
        <v>0</v>
      </c>
      <c r="AK62" s="14" t="e">
        <f t="shared" si="35"/>
        <v>#NUM!</v>
      </c>
      <c r="AL62" s="22" t="e">
        <f t="shared" si="4"/>
        <v>#NUM!</v>
      </c>
      <c r="AM62" s="62" t="e">
        <f t="shared" si="5"/>
        <v>#NUM!</v>
      </c>
      <c r="AN62" s="62">
        <f ca="1">AVERAGE(OFFSET($AM$3,0,0,'Données projet'!$E$10+1,1))-AVERAGE(OFFSET($H$3,0,0,'Données projet'!$E$10+1,1))</f>
        <v>225.24357215754691</v>
      </c>
      <c r="AO62" s="62">
        <f t="shared" si="36"/>
        <v>569.2018208733989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36.900546601337005</v>
      </c>
      <c r="AV62" s="23">
        <f>EXP(-LN(2)/25)*AV61+(1-EXP(-LN(2)/25))/(LN(2)/25)*Calculateur!AQ62*Calculateur!AS62*VLOOKUP('Données projet'!$B$10,Paramètres!$A$1:$I$89,3,0)*0.475*44/12</f>
        <v>12.153681507932939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49.054228109269943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2.2737367544323206E-13</v>
      </c>
      <c r="O63" s="14">
        <f>N63*VLOOKUP('Données projet'!$B$9,Paramètres!$A$1:$I$89,3,0)*VLOOKUP('Données projet'!$B$9,Paramètres!$A$1:$I$89,5,0)</f>
        <v>1.3596945791505279E-13</v>
      </c>
      <c r="P63" s="14">
        <f t="shared" si="33"/>
        <v>1.9708830566360721E-12</v>
      </c>
      <c r="Q63" s="22">
        <f t="shared" si="53"/>
        <v>3.669434796176543E-12</v>
      </c>
      <c r="R63" s="62">
        <f t="shared" si="0"/>
        <v>293.33333333333701</v>
      </c>
      <c r="S63" s="62">
        <f ca="1">AVERAGE(OFFSET($R$3,0,0,'Données projet'!$E$9+1,1))-AVERAGE(OFFSET($H$3,0,0,'Données projet'!$E$9+1,1))</f>
        <v>287.52077437571728</v>
      </c>
      <c r="T63" s="62">
        <f t="shared" si="34"/>
        <v>420.95891230839874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144.10246286505949</v>
      </c>
      <c r="AA63" s="23">
        <f>EXP(-LN(2)/25)*AA62+(1-EXP(-LN(2)/25))/(LN(2)/25)*Calculateur!V63*Calculateur!X63*VLOOKUP('Données projet'!$B$9,Paramètres!$A$1:$I$89,3,0)*0.475*44/12</f>
        <v>14.113441432219954</v>
      </c>
      <c r="AB63" s="23">
        <f>EXP(-LN(2)/2)*AB62+(1-EXP(-LN(2)/2))/(LN(2)/2)*V63*Y63*VLOOKUP('Données projet'!$B$9,Paramètres!$A$1:$I$89,3,0)*0.475*44/12</f>
        <v>7.5721252623530758E-2</v>
      </c>
      <c r="AC63" s="24">
        <f t="shared" si="3"/>
        <v>158.29162554990299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>
        <f>AI63*VLOOKUP('Données projet'!$B$10,Paramètres!$A$1:$I$89,3,0)*VLOOKUP('Données projet'!$B$10,Paramètres!$A$1:$I$89,5,0)</f>
        <v>0</v>
      </c>
      <c r="AK63" s="14" t="e">
        <f t="shared" si="35"/>
        <v>#NUM!</v>
      </c>
      <c r="AL63" s="22" t="e">
        <f t="shared" si="4"/>
        <v>#NUM!</v>
      </c>
      <c r="AM63" s="62" t="e">
        <f t="shared" si="5"/>
        <v>#NUM!</v>
      </c>
      <c r="AN63" s="62">
        <f ca="1">AVERAGE(OFFSET($AM$3,0,0,'Données projet'!$E$10+1,1))-AVERAGE(OFFSET($H$3,0,0,'Données projet'!$E$10+1,1))</f>
        <v>225.24357215754691</v>
      </c>
      <c r="AO63" s="62">
        <f t="shared" si="36"/>
        <v>569.2018208733989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36.176949389595819</v>
      </c>
      <c r="AV63" s="23">
        <f>EXP(-LN(2)/25)*AV62+(1-EXP(-LN(2)/25))/(LN(2)/25)*Calculateur!AQ63*Calculateur!AS63*VLOOKUP('Données projet'!$B$10,Paramètres!$A$1:$I$89,3,0)*0.475*44/12</f>
        <v>11.82133844796418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47.99828783756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2.2737367544323206E-13</v>
      </c>
      <c r="O64" s="14">
        <f>N64*VLOOKUP('Données projet'!$B$9,Paramètres!$A$1:$I$89,3,0)*VLOOKUP('Données projet'!$B$9,Paramètres!$A$1:$I$89,5,0)</f>
        <v>1.3596945791505279E-13</v>
      </c>
      <c r="P64" s="14">
        <f t="shared" si="33"/>
        <v>1.9708830566360721E-12</v>
      </c>
      <c r="Q64" s="22">
        <f t="shared" si="53"/>
        <v>3.669434796176543E-12</v>
      </c>
      <c r="R64" s="62">
        <f t="shared" si="0"/>
        <v>293.33333333333701</v>
      </c>
      <c r="S64" s="62">
        <f ca="1">AVERAGE(OFFSET($R$3,0,0,'Données projet'!$E$9+1,1))-AVERAGE(OFFSET($H$3,0,0,'Données projet'!$E$9+1,1))</f>
        <v>287.52077437571728</v>
      </c>
      <c r="T64" s="62">
        <f t="shared" si="34"/>
        <v>420.95891230839874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141.27670146209923</v>
      </c>
      <c r="AA64" s="23">
        <f>EXP(-LN(2)/25)*AA63+(1-EXP(-LN(2)/25))/(LN(2)/25)*Calculateur!V64*Calculateur!X64*VLOOKUP('Données projet'!$B$9,Paramètres!$A$1:$I$89,3,0)*0.475*44/12</f>
        <v>13.727508634062271</v>
      </c>
      <c r="AB64" s="23">
        <f>EXP(-LN(2)/2)*AB63+(1-EXP(-LN(2)/2))/(LN(2)/2)*V64*Y64*VLOOKUP('Données projet'!$B$9,Paramètres!$A$1:$I$89,3,0)*0.475*44/12</f>
        <v>5.3543011210038252E-2</v>
      </c>
      <c r="AC64" s="24">
        <f t="shared" si="3"/>
        <v>155.05775310737152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>
        <f>AI64*VLOOKUP('Données projet'!$B$10,Paramètres!$A$1:$I$89,3,0)*VLOOKUP('Données projet'!$B$10,Paramètres!$A$1:$I$89,5,0)</f>
        <v>0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225.24357215754691</v>
      </c>
      <c r="AO64" s="62">
        <f t="shared" si="36"/>
        <v>569.2018208733989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35.46754147782616</v>
      </c>
      <c r="AV64" s="23">
        <f>EXP(-LN(2)/25)*AV63+(1-EXP(-LN(2)/25))/(LN(2)/25)*Calculateur!AQ64*Calculateur!AS64*VLOOKUP('Données projet'!$B$10,Paramètres!$A$1:$I$89,3,0)*0.475*44/12</f>
        <v>11.498083326447428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46.965624804273588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2.2737367544323206E-13</v>
      </c>
      <c r="O65" s="14">
        <f>N65*VLOOKUP('Données projet'!$B$9,Paramètres!$A$1:$I$89,3,0)*VLOOKUP('Données projet'!$B$9,Paramètres!$A$1:$I$89,5,0)</f>
        <v>1.3596945791505279E-13</v>
      </c>
      <c r="P65" s="14">
        <f t="shared" si="33"/>
        <v>1.9708830566360721E-12</v>
      </c>
      <c r="Q65" s="22">
        <f t="shared" si="53"/>
        <v>3.669434796176543E-12</v>
      </c>
      <c r="R65" s="62">
        <f t="shared" si="0"/>
        <v>293.33333333333701</v>
      </c>
      <c r="S65" s="62">
        <f ca="1">AVERAGE(OFFSET($R$3,0,0,'Données projet'!$E$9+1,1))-AVERAGE(OFFSET($H$3,0,0,'Données projet'!$E$9+1,1))</f>
        <v>287.52077437571728</v>
      </c>
      <c r="T65" s="62">
        <f t="shared" si="34"/>
        <v>420.95891230839874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138.50635151670673</v>
      </c>
      <c r="AA65" s="23">
        <f>EXP(-LN(2)/25)*AA64+(1-EXP(-LN(2)/25))/(LN(2)/25)*Calculateur!V65*Calculateur!X65*VLOOKUP('Données projet'!$B$9,Paramètres!$A$1:$I$89,3,0)*0.475*44/12</f>
        <v>13.352129188565534</v>
      </c>
      <c r="AB65" s="23">
        <f>EXP(-LN(2)/2)*AB64+(1-EXP(-LN(2)/2))/(LN(2)/2)*V65*Y65*VLOOKUP('Données projet'!$B$9,Paramètres!$A$1:$I$89,3,0)*0.475*44/12</f>
        <v>3.7860626311765379E-2</v>
      </c>
      <c r="AC65" s="24">
        <f t="shared" si="3"/>
        <v>151.89634133158401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>
        <f>AI65*VLOOKUP('Données projet'!$B$10,Paramètres!$A$1:$I$89,3,0)*VLOOKUP('Données projet'!$B$10,Paramètres!$A$1:$I$89,5,0)</f>
        <v>0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225.24357215754691</v>
      </c>
      <c r="AO65" s="62">
        <f t="shared" si="36"/>
        <v>569.2018208733989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34.772044622510201</v>
      </c>
      <c r="AV65" s="23">
        <f>EXP(-LN(2)/25)*AV64+(1-EXP(-LN(2)/25))/(LN(2)/25)*Calculateur!AQ65*Calculateur!AS65*VLOOKUP('Données projet'!$B$10,Paramètres!$A$1:$I$89,3,0)*0.475*44/12</f>
        <v>11.183667633227801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45.955712255738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2.2737367544323206E-13</v>
      </c>
      <c r="O66" s="14">
        <f>N66*VLOOKUP('Données projet'!$B$9,Paramètres!$A$1:$I$89,3,0)*VLOOKUP('Données projet'!$B$9,Paramètres!$A$1:$I$89,5,0)</f>
        <v>1.3596945791505279E-13</v>
      </c>
      <c r="P66" s="14">
        <f t="shared" si="33"/>
        <v>1.9708830566360721E-12</v>
      </c>
      <c r="Q66" s="22">
        <f t="shared" si="53"/>
        <v>3.669434796176543E-12</v>
      </c>
      <c r="R66" s="62">
        <f t="shared" si="0"/>
        <v>293.33333333333701</v>
      </c>
      <c r="S66" s="62">
        <f ca="1">AVERAGE(OFFSET($R$3,0,0,'Données projet'!$E$9+1,1))-AVERAGE(OFFSET($H$3,0,0,'Données projet'!$E$9+1,1))</f>
        <v>287.52077437571728</v>
      </c>
      <c r="T66" s="62">
        <f t="shared" si="34"/>
        <v>420.95891230839874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135.79032644399678</v>
      </c>
      <c r="AA66" s="23">
        <f>EXP(-LN(2)/25)*AA65+(1-EXP(-LN(2)/25))/(LN(2)/25)*Calculateur!V66*Calculateur!X66*VLOOKUP('Données projet'!$B$9,Paramètres!$A$1:$I$89,3,0)*0.475*44/12</f>
        <v>12.987014513746253</v>
      </c>
      <c r="AB66" s="23">
        <f>EXP(-LN(2)/2)*AB65+(1-EXP(-LN(2)/2))/(LN(2)/2)*V66*Y66*VLOOKUP('Données projet'!$B$9,Paramètres!$A$1:$I$89,3,0)*0.475*44/12</f>
        <v>2.6771505605019126E-2</v>
      </c>
      <c r="AC66" s="24">
        <f t="shared" si="3"/>
        <v>148.80411246334805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>
        <f>AI66*VLOOKUP('Données projet'!$B$10,Paramètres!$A$1:$I$89,3,0)*VLOOKUP('Données projet'!$B$10,Paramètres!$A$1:$I$89,5,0)</f>
        <v>0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225.24357215754691</v>
      </c>
      <c r="AO66" s="62">
        <f t="shared" si="36"/>
        <v>569.2018208733989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34.090186036315792</v>
      </c>
      <c r="AV66" s="23">
        <f>EXP(-LN(2)/25)*AV65+(1-EXP(-LN(2)/25))/(LN(2)/25)*Calculateur!AQ66*Calculateur!AS66*VLOOKUP('Données projet'!$B$10,Paramètres!$A$1:$I$89,3,0)*0.475*44/12</f>
        <v>10.877849653673666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44.968035689989456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2.2737367544323206E-13</v>
      </c>
      <c r="O67" s="14">
        <f>N67*VLOOKUP('Données projet'!$B$9,Paramètres!$A$1:$I$89,3,0)*VLOOKUP('Données projet'!$B$9,Paramètres!$A$1:$I$89,5,0)</f>
        <v>1.3596945791505279E-13</v>
      </c>
      <c r="P67" s="14">
        <f t="shared" si="33"/>
        <v>1.9708830566360721E-12</v>
      </c>
      <c r="Q67" s="22">
        <f t="shared" ref="Q67:Q98" si="54">(O67+P67)*0.475*44/12</f>
        <v>3.669434796176543E-12</v>
      </c>
      <c r="R67" s="62">
        <f t="shared" ref="R67:R130" si="55">Q67+(I67+J67)*44/12</f>
        <v>293.33333333333701</v>
      </c>
      <c r="S67" s="62">
        <f ca="1">AVERAGE(OFFSET($R$3,0,0,'Données projet'!$E$9+1,1))-AVERAGE(OFFSET($H$3,0,0,'Données projet'!$E$9+1,1))</f>
        <v>287.52077437571728</v>
      </c>
      <c r="T67" s="62">
        <f t="shared" si="34"/>
        <v>420.95891230839874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133.12756096635096</v>
      </c>
      <c r="AA67" s="23">
        <f>EXP(-LN(2)/25)*AA66+(1-EXP(-LN(2)/25))/(LN(2)/25)*Calculateur!V67*Calculateur!X67*VLOOKUP('Données projet'!$B$9,Paramètres!$A$1:$I$89,3,0)*0.475*44/12</f>
        <v>12.63188391891045</v>
      </c>
      <c r="AB67" s="23">
        <f>EXP(-LN(2)/2)*AB66+(1-EXP(-LN(2)/2))/(LN(2)/2)*V67*Y67*VLOOKUP('Données projet'!$B$9,Paramètres!$A$1:$I$89,3,0)*0.475*44/12</f>
        <v>1.8930313155882689E-2</v>
      </c>
      <c r="AC67" s="24">
        <f t="shared" si="3"/>
        <v>145.77837519841731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>
        <f>AI67*VLOOKUP('Données projet'!$B$10,Paramètres!$A$1:$I$89,3,0)*VLOOKUP('Données projet'!$B$10,Paramètres!$A$1:$I$89,5,0)</f>
        <v>0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225.24357215754691</v>
      </c>
      <c r="AO67" s="62">
        <f t="shared" si="36"/>
        <v>569.2018208733989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33.421698281103986</v>
      </c>
      <c r="AV67" s="23">
        <f>EXP(-LN(2)/25)*AV66+(1-EXP(-LN(2)/25))/(LN(2)/25)*Calculateur!AQ67*Calculateur!AS67*VLOOKUP('Données projet'!$B$10,Paramètres!$A$1:$I$89,3,0)*0.475*44/12</f>
        <v>10.580394282852708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44.002092563956694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2.2737367544323206E-13</v>
      </c>
      <c r="O68" s="14">
        <f>N68*VLOOKUP('Données projet'!$B$9,Paramètres!$A$1:$I$89,3,0)*VLOOKUP('Données projet'!$B$9,Paramètres!$A$1:$I$89,5,0)</f>
        <v>1.3596945791505279E-13</v>
      </c>
      <c r="P68" s="14">
        <f t="shared" si="33"/>
        <v>1.9708830566360721E-12</v>
      </c>
      <c r="Q68" s="22">
        <f t="shared" si="54"/>
        <v>3.669434796176543E-12</v>
      </c>
      <c r="R68" s="62">
        <f t="shared" si="55"/>
        <v>293.33333333333701</v>
      </c>
      <c r="S68" s="62">
        <f ca="1">AVERAGE(OFFSET($R$3,0,0,'Données projet'!$E$9+1,1))-AVERAGE(OFFSET($H$3,0,0,'Données projet'!$E$9+1,1))</f>
        <v>287.52077437571728</v>
      </c>
      <c r="T68" s="62">
        <f t="shared" si="34"/>
        <v>420.95891230839874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130.51701069559519</v>
      </c>
      <c r="AA68" s="23">
        <f>EXP(-LN(2)/25)*AA67+(1-EXP(-LN(2)/25))/(LN(2)/25)*Calculateur!V68*Calculateur!X68*VLOOKUP('Données projet'!$B$9,Paramètres!$A$1:$I$89,3,0)*0.475*44/12</f>
        <v>12.286464388865939</v>
      </c>
      <c r="AB68" s="23">
        <f>EXP(-LN(2)/2)*AB67+(1-EXP(-LN(2)/2))/(LN(2)/2)*V68*Y68*VLOOKUP('Données projet'!$B$9,Paramètres!$A$1:$I$89,3,0)*0.475*44/12</f>
        <v>1.3385752802509563E-2</v>
      </c>
      <c r="AC68" s="24">
        <f t="shared" ref="AC68:AC131" si="57">SUM(Z68:AB68)</f>
        <v>142.81686083726365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>
        <f>AI68*VLOOKUP('Données projet'!$B$10,Paramètres!$A$1:$I$89,3,0)*VLOOKUP('Données projet'!$B$10,Paramètres!$A$1:$I$89,5,0)</f>
        <v>0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225.24357215754691</v>
      </c>
      <c r="AO68" s="62">
        <f t="shared" si="36"/>
        <v>569.2018208733989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32.766319163034616</v>
      </c>
      <c r="AV68" s="23">
        <f>EXP(-LN(2)/25)*AV67+(1-EXP(-LN(2)/25))/(LN(2)/25)*Calculateur!AQ68*Calculateur!AS68*VLOOKUP('Données projet'!$B$10,Paramètres!$A$1:$I$89,3,0)*0.475*44/12</f>
        <v>10.291072844789348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43.057392007823964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2.2737367544323206E-13</v>
      </c>
      <c r="O69" s="14">
        <f>N69*VLOOKUP('Données projet'!$B$9,Paramètres!$A$1:$I$89,3,0)*VLOOKUP('Données projet'!$B$9,Paramètres!$A$1:$I$89,5,0)</f>
        <v>1.3596945791505279E-13</v>
      </c>
      <c r="P69" s="14">
        <f t="shared" ref="P69:P132" si="87">EXP(-1.0587+0.8836*LN(O69)+0.284)</f>
        <v>1.9708830566360721E-12</v>
      </c>
      <c r="Q69" s="22">
        <f t="shared" si="54"/>
        <v>3.669434796176543E-12</v>
      </c>
      <c r="R69" s="62">
        <f t="shared" si="55"/>
        <v>293.33333333333701</v>
      </c>
      <c r="S69" s="62">
        <f ca="1">AVERAGE(OFFSET($R$3,0,0,'Données projet'!$E$9+1,1))-AVERAGE(OFFSET($H$3,0,0,'Données projet'!$E$9+1,1))</f>
        <v>287.52077437571728</v>
      </c>
      <c r="T69" s="62">
        <f t="shared" ref="T69:T132" si="88">$T$3</f>
        <v>420.95891230839874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127.9576517233705</v>
      </c>
      <c r="AA69" s="23">
        <f>EXP(-LN(2)/25)*AA68+(1-EXP(-LN(2)/25))/(LN(2)/25)*Calculateur!V69*Calculateur!X69*VLOOKUP('Données projet'!$B$9,Paramètres!$A$1:$I$89,3,0)*0.475*44/12</f>
        <v>11.950490374035319</v>
      </c>
      <c r="AB69" s="23">
        <f>EXP(-LN(2)/2)*AB68+(1-EXP(-LN(2)/2))/(LN(2)/2)*V69*Y69*VLOOKUP('Données projet'!$B$9,Paramètres!$A$1:$I$89,3,0)*0.475*44/12</f>
        <v>9.4651565779413447E-3</v>
      </c>
      <c r="AC69" s="24">
        <f t="shared" si="57"/>
        <v>139.91760725398376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>
        <f>AI69*VLOOKUP('Données projet'!$B$10,Paramètres!$A$1:$I$89,3,0)*VLOOKUP('Données projet'!$B$10,Paramètres!$A$1:$I$89,5,0)</f>
        <v>0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225.24357215754691</v>
      </c>
      <c r="AO69" s="62">
        <f t="shared" ref="AO69:AO132" si="90">$AO$3</f>
        <v>569.2018208733989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32.123791629728792</v>
      </c>
      <c r="AV69" s="23">
        <f>EXP(-LN(2)/25)*AV68+(1-EXP(-LN(2)/25))/(LN(2)/25)*Calculateur!AQ69*Calculateur!AS69*VLOOKUP('Données projet'!$B$10,Paramètres!$A$1:$I$89,3,0)*0.475*44/12</f>
        <v>10.009662916664583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42.133454546393374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2.2737367544323206E-13</v>
      </c>
      <c r="O70" s="14">
        <f>N70*VLOOKUP('Données projet'!$B$9,Paramètres!$A$1:$I$89,3,0)*VLOOKUP('Données projet'!$B$9,Paramètres!$A$1:$I$89,5,0)</f>
        <v>1.3596945791505279E-13</v>
      </c>
      <c r="P70" s="14">
        <f t="shared" si="87"/>
        <v>1.9708830566360721E-12</v>
      </c>
      <c r="Q70" s="22">
        <f t="shared" si="54"/>
        <v>3.669434796176543E-12</v>
      </c>
      <c r="R70" s="62">
        <f t="shared" si="55"/>
        <v>293.33333333333701</v>
      </c>
      <c r="S70" s="62">
        <f ca="1">AVERAGE(OFFSET($R$3,0,0,'Données projet'!$E$9+1,1))-AVERAGE(OFFSET($H$3,0,0,'Données projet'!$E$9+1,1))</f>
        <v>287.52077437571728</v>
      </c>
      <c r="T70" s="62">
        <f t="shared" si="88"/>
        <v>420.95891230839874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125.44848021953631</v>
      </c>
      <c r="AA70" s="23">
        <f>EXP(-LN(2)/25)*AA69+(1-EXP(-LN(2)/25))/(LN(2)/25)*Calculateur!V70*Calculateur!X70*VLOOKUP('Données projet'!$B$9,Paramètres!$A$1:$I$89,3,0)*0.475*44/12</f>
        <v>11.623703586308347</v>
      </c>
      <c r="AB70" s="23">
        <f>EXP(-LN(2)/2)*AB69+(1-EXP(-LN(2)/2))/(LN(2)/2)*V70*Y70*VLOOKUP('Données projet'!$B$9,Paramètres!$A$1:$I$89,3,0)*0.475*44/12</f>
        <v>6.6928764012547815E-3</v>
      </c>
      <c r="AC70" s="24">
        <f t="shared" si="57"/>
        <v>137.07887668224589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>
        <f>AI70*VLOOKUP('Données projet'!$B$10,Paramètres!$A$1:$I$89,3,0)*VLOOKUP('Données projet'!$B$10,Paramètres!$A$1:$I$89,5,0)</f>
        <v>0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225.24357215754691</v>
      </c>
      <c r="AO70" s="62">
        <f t="shared" si="90"/>
        <v>569.2018208733989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31.493863669448</v>
      </c>
      <c r="AV70" s="23">
        <f>EXP(-LN(2)/25)*AV69+(1-EXP(-LN(2)/25))/(LN(2)/25)*Calculateur!AQ70*Calculateur!AS70*VLOOKUP('Données projet'!$B$10,Paramètres!$A$1:$I$89,3,0)*0.475*44/12</f>
        <v>9.7359481578230938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41.229811827271092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2.2737367544323206E-13</v>
      </c>
      <c r="O71" s="14">
        <f>N71*VLOOKUP('Données projet'!$B$9,Paramètres!$A$1:$I$89,3,0)*VLOOKUP('Données projet'!$B$9,Paramètres!$A$1:$I$89,5,0)</f>
        <v>1.3596945791505279E-13</v>
      </c>
      <c r="P71" s="14">
        <f t="shared" si="87"/>
        <v>1.9708830566360721E-12</v>
      </c>
      <c r="Q71" s="22">
        <f t="shared" si="54"/>
        <v>3.669434796176543E-12</v>
      </c>
      <c r="R71" s="62">
        <f t="shared" si="55"/>
        <v>293.33333333333701</v>
      </c>
      <c r="S71" s="62">
        <f ca="1">AVERAGE(OFFSET($R$3,0,0,'Données projet'!$E$9+1,1))-AVERAGE(OFFSET($H$3,0,0,'Données projet'!$E$9+1,1))</f>
        <v>287.52077437571728</v>
      </c>
      <c r="T71" s="62">
        <f t="shared" si="88"/>
        <v>420.95891230839874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122.9885120384488</v>
      </c>
      <c r="AA71" s="23">
        <f>EXP(-LN(2)/25)*AA70+(1-EXP(-LN(2)/25))/(LN(2)/25)*Calculateur!V71*Calculateur!X71*VLOOKUP('Données projet'!$B$9,Paramètres!$A$1:$I$89,3,0)*0.475*44/12</f>
        <v>11.305852800476739</v>
      </c>
      <c r="AB71" s="23">
        <f>EXP(-LN(2)/2)*AB70+(1-EXP(-LN(2)/2))/(LN(2)/2)*V71*Y71*VLOOKUP('Données projet'!$B$9,Paramètres!$A$1:$I$89,3,0)*0.475*44/12</f>
        <v>4.7325782889706723E-3</v>
      </c>
      <c r="AC71" s="24">
        <f t="shared" si="57"/>
        <v>134.29909741721451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>
        <f>AI71*VLOOKUP('Données projet'!$B$10,Paramètres!$A$1:$I$89,3,0)*VLOOKUP('Données projet'!$B$10,Paramètres!$A$1:$I$89,5,0)</f>
        <v>0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225.24357215754691</v>
      </c>
      <c r="AO71" s="62">
        <f t="shared" si="90"/>
        <v>569.2018208733989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30.876288212250195</v>
      </c>
      <c r="AV71" s="23">
        <f>EXP(-LN(2)/25)*AV70+(1-EXP(-LN(2)/25))/(LN(2)/25)*Calculateur!AQ71*Calculateur!AS71*VLOOKUP('Données projet'!$B$10,Paramètres!$A$1:$I$89,3,0)*0.475*44/12</f>
        <v>9.4697181434561593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40.346006355706351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2.2737367544323206E-13</v>
      </c>
      <c r="O72" s="14">
        <f>N72*VLOOKUP('Données projet'!$B$9,Paramètres!$A$1:$I$89,3,0)*VLOOKUP('Données projet'!$B$9,Paramètres!$A$1:$I$89,5,0)</f>
        <v>1.3596945791505279E-13</v>
      </c>
      <c r="P72" s="14">
        <f t="shared" si="87"/>
        <v>1.9708830566360721E-12</v>
      </c>
      <c r="Q72" s="22">
        <f t="shared" si="54"/>
        <v>3.669434796176543E-12</v>
      </c>
      <c r="R72" s="62">
        <f t="shared" si="55"/>
        <v>293.33333333333701</v>
      </c>
      <c r="S72" s="62">
        <f ca="1">AVERAGE(OFFSET($R$3,0,0,'Données projet'!$E$9+1,1))-AVERAGE(OFFSET($H$3,0,0,'Données projet'!$E$9+1,1))</f>
        <v>287.52077437571728</v>
      </c>
      <c r="T72" s="62">
        <f t="shared" si="88"/>
        <v>420.95891230839874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120.57678233295999</v>
      </c>
      <c r="AA72" s="23">
        <f>EXP(-LN(2)/25)*AA71+(1-EXP(-LN(2)/25))/(LN(2)/25)*Calculateur!V72*Calculateur!X72*VLOOKUP('Données projet'!$B$9,Paramètres!$A$1:$I$89,3,0)*0.475*44/12</f>
        <v>10.996693661098744</v>
      </c>
      <c r="AB72" s="23">
        <f>EXP(-LN(2)/2)*AB71+(1-EXP(-LN(2)/2))/(LN(2)/2)*V72*Y72*VLOOKUP('Données projet'!$B$9,Paramètres!$A$1:$I$89,3,0)*0.475*44/12</f>
        <v>3.3464382006273908E-3</v>
      </c>
      <c r="AC72" s="24">
        <f t="shared" si="57"/>
        <v>131.57682243225935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>
        <f>AI72*VLOOKUP('Données projet'!$B$10,Paramètres!$A$1:$I$89,3,0)*VLOOKUP('Données projet'!$B$10,Paramètres!$A$1:$I$89,5,0)</f>
        <v>0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225.24357215754691</v>
      </c>
      <c r="AO72" s="62">
        <f t="shared" si="90"/>
        <v>569.2018208733989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30.270823033084206</v>
      </c>
      <c r="AV72" s="23">
        <f>EXP(-LN(2)/25)*AV71+(1-EXP(-LN(2)/25))/(LN(2)/25)*Calculateur!AQ72*Calculateur!AS72*VLOOKUP('Données projet'!$B$10,Paramètres!$A$1:$I$89,3,0)*0.475*44/12</f>
        <v>9.2107682028325168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39.481591235916724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2.2737367544323206E-13</v>
      </c>
      <c r="O73" s="14">
        <f>N73*VLOOKUP('Données projet'!$B$9,Paramètres!$A$1:$I$89,3,0)*VLOOKUP('Données projet'!$B$9,Paramètres!$A$1:$I$89,5,0)</f>
        <v>1.3596945791505279E-13</v>
      </c>
      <c r="P73" s="14">
        <f t="shared" si="87"/>
        <v>1.9708830566360721E-12</v>
      </c>
      <c r="Q73" s="22">
        <f t="shared" si="54"/>
        <v>3.669434796176543E-12</v>
      </c>
      <c r="R73" s="62">
        <f t="shared" si="55"/>
        <v>293.33333333333701</v>
      </c>
      <c r="S73" s="62">
        <f ca="1">AVERAGE(OFFSET($R$3,0,0,'Données projet'!$E$9+1,1))-AVERAGE(OFFSET($H$3,0,0,'Données projet'!$E$9+1,1))</f>
        <v>287.52077437571728</v>
      </c>
      <c r="T73" s="62">
        <f t="shared" si="88"/>
        <v>420.95891230839874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118.21234517598594</v>
      </c>
      <c r="AA73" s="23">
        <f>EXP(-LN(2)/25)*AA72+(1-EXP(-LN(2)/25))/(LN(2)/25)*Calculateur!V73*Calculateur!X73*VLOOKUP('Données projet'!$B$9,Paramètres!$A$1:$I$89,3,0)*0.475*44/12</f>
        <v>10.695988494645013</v>
      </c>
      <c r="AB73" s="23">
        <f>EXP(-LN(2)/2)*AB72+(1-EXP(-LN(2)/2))/(LN(2)/2)*V73*Y73*VLOOKUP('Données projet'!$B$9,Paramètres!$A$1:$I$89,3,0)*0.475*44/12</f>
        <v>2.3662891444853362E-3</v>
      </c>
      <c r="AC73" s="24">
        <f t="shared" si="57"/>
        <v>128.91069995977543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>
        <f>AI73*VLOOKUP('Données projet'!$B$10,Paramètres!$A$1:$I$89,3,0)*VLOOKUP('Données projet'!$B$10,Paramètres!$A$1:$I$89,5,0)</f>
        <v>0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225.24357215754691</v>
      </c>
      <c r="AO73" s="62">
        <f t="shared" si="90"/>
        <v>569.2018208733989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29.677230656784367</v>
      </c>
      <c r="AV73" s="23">
        <f>EXP(-LN(2)/25)*AV72+(1-EXP(-LN(2)/25))/(LN(2)/25)*Calculateur!AQ73*Calculateur!AS73*VLOOKUP('Données projet'!$B$10,Paramètres!$A$1:$I$89,3,0)*0.475*44/12</f>
        <v>8.9588992619528138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38.636129918737183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2.2737367544323206E-13</v>
      </c>
      <c r="O74" s="14">
        <f>N74*VLOOKUP('Données projet'!$B$9,Paramètres!$A$1:$I$89,3,0)*VLOOKUP('Données projet'!$B$9,Paramètres!$A$1:$I$89,5,0)</f>
        <v>1.3596945791505279E-13</v>
      </c>
      <c r="P74" s="14">
        <f t="shared" si="87"/>
        <v>1.9708830566360721E-12</v>
      </c>
      <c r="Q74" s="22">
        <f t="shared" si="54"/>
        <v>3.669434796176543E-12</v>
      </c>
      <c r="R74" s="62">
        <f t="shared" si="55"/>
        <v>293.33333333333701</v>
      </c>
      <c r="S74" s="62">
        <f ca="1">AVERAGE(OFFSET($R$3,0,0,'Données projet'!$E$9+1,1))-AVERAGE(OFFSET($H$3,0,0,'Données projet'!$E$9+1,1))</f>
        <v>287.52077437571728</v>
      </c>
      <c r="T74" s="62">
        <f t="shared" si="88"/>
        <v>420.95891230839874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115.89427318949589</v>
      </c>
      <c r="AA74" s="23">
        <f>EXP(-LN(2)/25)*AA73+(1-EXP(-LN(2)/25))/(LN(2)/25)*Calculateur!V74*Calculateur!X74*VLOOKUP('Données projet'!$B$9,Paramètres!$A$1:$I$89,3,0)*0.475*44/12</f>
        <v>10.403506126781355</v>
      </c>
      <c r="AB74" s="23">
        <f>EXP(-LN(2)/2)*AB73+(1-EXP(-LN(2)/2))/(LN(2)/2)*V74*Y74*VLOOKUP('Données projet'!$B$9,Paramètres!$A$1:$I$89,3,0)*0.475*44/12</f>
        <v>1.6732191003136954E-3</v>
      </c>
      <c r="AC74" s="24">
        <f t="shared" si="57"/>
        <v>126.29945253537755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>
        <f>AI74*VLOOKUP('Données projet'!$B$10,Paramètres!$A$1:$I$89,3,0)*VLOOKUP('Données projet'!$B$10,Paramètres!$A$1:$I$89,5,0)</f>
        <v>0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225.24357215754691</v>
      </c>
      <c r="AO74" s="62">
        <f t="shared" si="90"/>
        <v>569.2018208733989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29.095278264928169</v>
      </c>
      <c r="AV74" s="23">
        <f>EXP(-LN(2)/25)*AV73+(1-EXP(-LN(2)/25))/(LN(2)/25)*Calculateur!AQ74*Calculateur!AS74*VLOOKUP('Données projet'!$B$10,Paramètres!$A$1:$I$89,3,0)*0.475*44/12</f>
        <v>8.713917690506678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37.809195955434845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2.2737367544323206E-13</v>
      </c>
      <c r="O75" s="14">
        <f>N75*VLOOKUP('Données projet'!$B$9,Paramètres!$A$1:$I$89,3,0)*VLOOKUP('Données projet'!$B$9,Paramètres!$A$1:$I$89,5,0)</f>
        <v>1.3596945791505279E-13</v>
      </c>
      <c r="P75" s="14">
        <f t="shared" si="87"/>
        <v>1.9708830566360721E-12</v>
      </c>
      <c r="Q75" s="22">
        <f t="shared" si="54"/>
        <v>3.669434796176543E-12</v>
      </c>
      <c r="R75" s="62">
        <f t="shared" si="55"/>
        <v>293.33333333333701</v>
      </c>
      <c r="S75" s="62">
        <f ca="1">AVERAGE(OFFSET($R$3,0,0,'Données projet'!$E$9+1,1))-AVERAGE(OFFSET($H$3,0,0,'Données projet'!$E$9+1,1))</f>
        <v>287.52077437571728</v>
      </c>
      <c r="T75" s="62">
        <f t="shared" si="88"/>
        <v>420.95891230839874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113.62165718077661</v>
      </c>
      <c r="AA75" s="23">
        <f>EXP(-LN(2)/25)*AA74+(1-EXP(-LN(2)/25))/(LN(2)/25)*Calculateur!V75*Calculateur!X75*VLOOKUP('Données projet'!$B$9,Paramètres!$A$1:$I$89,3,0)*0.475*44/12</f>
        <v>10.11902170464791</v>
      </c>
      <c r="AB75" s="23">
        <f>EXP(-LN(2)/2)*AB74+(1-EXP(-LN(2)/2))/(LN(2)/2)*V75*Y75*VLOOKUP('Données projet'!$B$9,Paramètres!$A$1:$I$89,3,0)*0.475*44/12</f>
        <v>1.1831445722426681E-3</v>
      </c>
      <c r="AC75" s="24">
        <f t="shared" si="57"/>
        <v>123.74186202999675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>
        <f>AI75*VLOOKUP('Données projet'!$B$10,Paramètres!$A$1:$I$89,3,0)*VLOOKUP('Données projet'!$B$10,Paramètres!$A$1:$I$89,5,0)</f>
        <v>0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225.24357215754691</v>
      </c>
      <c r="AO75" s="62">
        <f t="shared" si="90"/>
        <v>569.2018208733989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28.524737604520361</v>
      </c>
      <c r="AV75" s="23">
        <f>EXP(-LN(2)/25)*AV74+(1-EXP(-LN(2)/25))/(LN(2)/25)*Calculateur!AQ75*Calculateur!AS75*VLOOKUP('Données projet'!$B$10,Paramètres!$A$1:$I$89,3,0)*0.475*44/12</f>
        <v>8.4756351530147569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37.000372757535118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2.2737367544323206E-13</v>
      </c>
      <c r="O76" s="14">
        <f>N76*VLOOKUP('Données projet'!$B$9,Paramètres!$A$1:$I$89,3,0)*VLOOKUP('Données projet'!$B$9,Paramètres!$A$1:$I$89,5,0)</f>
        <v>1.3596945791505279E-13</v>
      </c>
      <c r="P76" s="14">
        <f t="shared" si="87"/>
        <v>1.9708830566360721E-12</v>
      </c>
      <c r="Q76" s="22">
        <f t="shared" si="54"/>
        <v>3.669434796176543E-12</v>
      </c>
      <c r="R76" s="62">
        <f t="shared" si="55"/>
        <v>293.33333333333701</v>
      </c>
      <c r="S76" s="62">
        <f ca="1">AVERAGE(OFFSET($R$3,0,0,'Données projet'!$E$9+1,1))-AVERAGE(OFFSET($H$3,0,0,'Données projet'!$E$9+1,1))</f>
        <v>287.52077437571728</v>
      </c>
      <c r="T76" s="62">
        <f t="shared" si="88"/>
        <v>420.95891230839874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111.39360578582942</v>
      </c>
      <c r="AA76" s="23">
        <f>EXP(-LN(2)/25)*AA75+(1-EXP(-LN(2)/25))/(LN(2)/25)*Calculateur!V76*Calculateur!X76*VLOOKUP('Données projet'!$B$9,Paramètres!$A$1:$I$89,3,0)*0.475*44/12</f>
        <v>9.8423165239980879</v>
      </c>
      <c r="AB76" s="23">
        <f>EXP(-LN(2)/2)*AB75+(1-EXP(-LN(2)/2))/(LN(2)/2)*V76*Y76*VLOOKUP('Données projet'!$B$9,Paramètres!$A$1:$I$89,3,0)*0.475*44/12</f>
        <v>8.3660955015684769E-4</v>
      </c>
      <c r="AC76" s="24">
        <f t="shared" si="57"/>
        <v>121.23675891937768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>
        <f>AI76*VLOOKUP('Données projet'!$B$10,Paramètres!$A$1:$I$89,3,0)*VLOOKUP('Données projet'!$B$10,Paramètres!$A$1:$I$89,5,0)</f>
        <v>0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225.24357215754691</v>
      </c>
      <c r="AO76" s="62">
        <f t="shared" si="90"/>
        <v>569.2018208733989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27.965384898467708</v>
      </c>
      <c r="AV76" s="23">
        <f>EXP(-LN(2)/25)*AV75+(1-EXP(-LN(2)/25))/(LN(2)/25)*Calculateur!AQ76*Calculateur!AS76*VLOOKUP('Données projet'!$B$10,Paramètres!$A$1:$I$89,3,0)*0.475*44/12</f>
        <v>8.2438684640412863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36.209253362508996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2.2737367544323206E-13</v>
      </c>
      <c r="O77" s="14">
        <f>N77*VLOOKUP('Données projet'!$B$9,Paramètres!$A$1:$I$89,3,0)*VLOOKUP('Données projet'!$B$9,Paramètres!$A$1:$I$89,5,0)</f>
        <v>1.3596945791505279E-13</v>
      </c>
      <c r="P77" s="14">
        <f t="shared" si="87"/>
        <v>1.9708830566360721E-12</v>
      </c>
      <c r="Q77" s="22">
        <f t="shared" si="54"/>
        <v>3.669434796176543E-12</v>
      </c>
      <c r="R77" s="62">
        <f t="shared" si="55"/>
        <v>293.33333333333701</v>
      </c>
      <c r="S77" s="62">
        <f ca="1">AVERAGE(OFFSET($R$3,0,0,'Données projet'!$E$9+1,1))-AVERAGE(OFFSET($H$3,0,0,'Données projet'!$E$9+1,1))</f>
        <v>287.52077437571728</v>
      </c>
      <c r="T77" s="62">
        <f t="shared" si="88"/>
        <v>420.95891230839874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109.20924511975998</v>
      </c>
      <c r="AA77" s="23">
        <f>EXP(-LN(2)/25)*AA76+(1-EXP(-LN(2)/25))/(LN(2)/25)*Calculateur!V77*Calculateur!X77*VLOOKUP('Données projet'!$B$9,Paramètres!$A$1:$I$89,3,0)*0.475*44/12</f>
        <v>9.5731778610644298</v>
      </c>
      <c r="AB77" s="23">
        <f>EXP(-LN(2)/2)*AB76+(1-EXP(-LN(2)/2))/(LN(2)/2)*V77*Y77*VLOOKUP('Données projet'!$B$9,Paramètres!$A$1:$I$89,3,0)*0.475*44/12</f>
        <v>5.9157228612133404E-4</v>
      </c>
      <c r="AC77" s="24">
        <f t="shared" si="57"/>
        <v>118.78301455311053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>
        <f>AI77*VLOOKUP('Données projet'!$B$10,Paramètres!$A$1:$I$89,3,0)*VLOOKUP('Données projet'!$B$10,Paramètres!$A$1:$I$89,5,0)</f>
        <v>0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225.24357215754691</v>
      </c>
      <c r="AO77" s="62">
        <f t="shared" si="90"/>
        <v>569.2018208733989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27.417000757809284</v>
      </c>
      <c r="AV77" s="23">
        <f>EXP(-LN(2)/25)*AV76+(1-EXP(-LN(2)/25))/(LN(2)/25)*Calculateur!AQ77*Calculateur!AS77*VLOOKUP('Données projet'!$B$10,Paramètres!$A$1:$I$89,3,0)*0.475*44/12</f>
        <v>8.0184394473658767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35.435440205175162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2.2737367544323206E-13</v>
      </c>
      <c r="O78" s="14">
        <f>N78*VLOOKUP('Données projet'!$B$9,Paramètres!$A$1:$I$89,3,0)*VLOOKUP('Données projet'!$B$9,Paramètres!$A$1:$I$89,5,0)</f>
        <v>1.3596945791505279E-13</v>
      </c>
      <c r="P78" s="14">
        <f t="shared" si="87"/>
        <v>1.9708830566360721E-12</v>
      </c>
      <c r="Q78" s="22">
        <f t="shared" si="54"/>
        <v>3.669434796176543E-12</v>
      </c>
      <c r="R78" s="62">
        <f t="shared" si="55"/>
        <v>293.33333333333701</v>
      </c>
      <c r="S78" s="62">
        <f ca="1">AVERAGE(OFFSET($R$3,0,0,'Données projet'!$E$9+1,1))-AVERAGE(OFFSET($H$3,0,0,'Données projet'!$E$9+1,1))</f>
        <v>287.52077437571728</v>
      </c>
      <c r="T78" s="62">
        <f t="shared" si="88"/>
        <v>420.95891230839874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107.06771843402372</v>
      </c>
      <c r="AA78" s="23">
        <f>EXP(-LN(2)/25)*AA77+(1-EXP(-LN(2)/25))/(LN(2)/25)*Calculateur!V78*Calculateur!X78*VLOOKUP('Données projet'!$B$9,Paramètres!$A$1:$I$89,3,0)*0.475*44/12</f>
        <v>9.3113988090220783</v>
      </c>
      <c r="AB78" s="23">
        <f>EXP(-LN(2)/2)*AB77+(1-EXP(-LN(2)/2))/(LN(2)/2)*V78*Y78*VLOOKUP('Données projet'!$B$9,Paramètres!$A$1:$I$89,3,0)*0.475*44/12</f>
        <v>4.1830477507842384E-4</v>
      </c>
      <c r="AC78" s="24">
        <f t="shared" si="57"/>
        <v>116.37953554782088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>
        <f>AI78*VLOOKUP('Données projet'!$B$10,Paramètres!$A$1:$I$89,3,0)*VLOOKUP('Données projet'!$B$10,Paramètres!$A$1:$I$89,5,0)</f>
        <v>0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225.24357215754691</v>
      </c>
      <c r="AO78" s="62">
        <f t="shared" si="90"/>
        <v>569.2018208733989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26.879370095667873</v>
      </c>
      <c r="AV78" s="23">
        <f>EXP(-LN(2)/25)*AV77+(1-EXP(-LN(2)/25))/(LN(2)/25)*Calculateur!AQ78*Calculateur!AS78*VLOOKUP('Données projet'!$B$10,Paramètres!$A$1:$I$89,3,0)*0.475*44/12</f>
        <v>7.799174799006253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34.678544894674125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2.2737367544323206E-13</v>
      </c>
      <c r="O79" s="14">
        <f>N79*VLOOKUP('Données projet'!$B$9,Paramètres!$A$1:$I$89,3,0)*VLOOKUP('Données projet'!$B$9,Paramètres!$A$1:$I$89,5,0)</f>
        <v>1.3596945791505279E-13</v>
      </c>
      <c r="P79" s="14">
        <f t="shared" si="87"/>
        <v>1.9708830566360721E-12</v>
      </c>
      <c r="Q79" s="22">
        <f t="shared" si="54"/>
        <v>3.669434796176543E-12</v>
      </c>
      <c r="R79" s="62">
        <f t="shared" si="55"/>
        <v>293.33333333333701</v>
      </c>
      <c r="S79" s="62">
        <f ca="1">AVERAGE(OFFSET($R$3,0,0,'Données projet'!$E$9+1,1))-AVERAGE(OFFSET($H$3,0,0,'Données projet'!$E$9+1,1))</f>
        <v>287.52077437571728</v>
      </c>
      <c r="T79" s="62">
        <f t="shared" si="88"/>
        <v>420.95891230839874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104.96818578039243</v>
      </c>
      <c r="AA79" s="23">
        <f>EXP(-LN(2)/25)*AA78+(1-EXP(-LN(2)/25))/(LN(2)/25)*Calculateur!V79*Calculateur!X79*VLOOKUP('Données projet'!$B$9,Paramètres!$A$1:$I$89,3,0)*0.475*44/12</f>
        <v>9.0567781189241874</v>
      </c>
      <c r="AB79" s="23">
        <f>EXP(-LN(2)/2)*AB78+(1-EXP(-LN(2)/2))/(LN(2)/2)*V79*Y79*VLOOKUP('Données projet'!$B$9,Paramètres!$A$1:$I$89,3,0)*0.475*44/12</f>
        <v>2.9578614306066702E-4</v>
      </c>
      <c r="AC79" s="24">
        <f t="shared" si="57"/>
        <v>114.02525968545967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>
        <f>AI79*VLOOKUP('Données projet'!$B$10,Paramètres!$A$1:$I$89,3,0)*VLOOKUP('Données projet'!$B$10,Paramètres!$A$1:$I$89,5,0)</f>
        <v>0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225.24357215754691</v>
      </c>
      <c r="AO79" s="62">
        <f t="shared" si="90"/>
        <v>569.2018208733989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26.352282042888731</v>
      </c>
      <c r="AV79" s="23">
        <f>EXP(-LN(2)/25)*AV78+(1-EXP(-LN(2)/25))/(LN(2)/25)*Calculateur!AQ79*Calculateur!AS79*VLOOKUP('Données projet'!$B$10,Paramètres!$A$1:$I$89,3,0)*0.475*44/12</f>
        <v>7.58590595398665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33.938187996875385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2.2737367544323206E-13</v>
      </c>
      <c r="O80" s="14">
        <f>N80*VLOOKUP('Données projet'!$B$9,Paramètres!$A$1:$I$89,3,0)*VLOOKUP('Données projet'!$B$9,Paramètres!$A$1:$I$89,5,0)</f>
        <v>1.3596945791505279E-13</v>
      </c>
      <c r="P80" s="14">
        <f t="shared" si="87"/>
        <v>1.9708830566360721E-12</v>
      </c>
      <c r="Q80" s="22">
        <f t="shared" si="54"/>
        <v>3.669434796176543E-12</v>
      </c>
      <c r="R80" s="62">
        <f t="shared" si="55"/>
        <v>293.33333333333701</v>
      </c>
      <c r="S80" s="62">
        <f ca="1">AVERAGE(OFFSET($R$3,0,0,'Données projet'!$E$9+1,1))-AVERAGE(OFFSET($H$3,0,0,'Données projet'!$E$9+1,1))</f>
        <v>287.52077437571728</v>
      </c>
      <c r="T80" s="62">
        <f t="shared" si="88"/>
        <v>420.95891230839874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102.90982368151039</v>
      </c>
      <c r="AA80" s="23">
        <f>EXP(-LN(2)/25)*AA79+(1-EXP(-LN(2)/25))/(LN(2)/25)*Calculateur!V80*Calculateur!X80*VLOOKUP('Données projet'!$B$9,Paramètres!$A$1:$I$89,3,0)*0.475*44/12</f>
        <v>8.809120044986944</v>
      </c>
      <c r="AB80" s="23">
        <f>EXP(-LN(2)/2)*AB79+(1-EXP(-LN(2)/2))/(LN(2)/2)*V80*Y80*VLOOKUP('Données projet'!$B$9,Paramètres!$A$1:$I$89,3,0)*0.475*44/12</f>
        <v>2.0915238753921192E-4</v>
      </c>
      <c r="AC80" s="24">
        <f t="shared" si="57"/>
        <v>111.71915287888487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>
        <f>AI80*VLOOKUP('Données projet'!$B$10,Paramètres!$A$1:$I$89,3,0)*VLOOKUP('Données projet'!$B$10,Paramètres!$A$1:$I$89,5,0)</f>
        <v>0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225.24357215754691</v>
      </c>
      <c r="AO80" s="62">
        <f t="shared" si="90"/>
        <v>569.2018208733989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25.835529865332621</v>
      </c>
      <c r="AV80" s="23">
        <f>EXP(-LN(2)/25)*AV79+(1-EXP(-LN(2)/25))/(LN(2)/25)*Calculateur!AQ80*Calculateur!AS80*VLOOKUP('Données projet'!$B$10,Paramètres!$A$1:$I$89,3,0)*0.475*44/12</f>
        <v>7.3784689567494288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33.213998822082047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2.2737367544323206E-13</v>
      </c>
      <c r="O81" s="14">
        <f>N81*VLOOKUP('Données projet'!$B$9,Paramètres!$A$1:$I$89,3,0)*VLOOKUP('Données projet'!$B$9,Paramètres!$A$1:$I$89,5,0)</f>
        <v>1.3596945791505279E-13</v>
      </c>
      <c r="P81" s="14">
        <f t="shared" si="87"/>
        <v>1.9708830566360721E-12</v>
      </c>
      <c r="Q81" s="22">
        <f t="shared" si="54"/>
        <v>3.669434796176543E-12</v>
      </c>
      <c r="R81" s="62">
        <f t="shared" si="55"/>
        <v>293.33333333333701</v>
      </c>
      <c r="S81" s="62">
        <f ca="1">AVERAGE(OFFSET($R$3,0,0,'Données projet'!$E$9+1,1))-AVERAGE(OFFSET($H$3,0,0,'Données projet'!$E$9+1,1))</f>
        <v>287.52077437571728</v>
      </c>
      <c r="T81" s="62">
        <f t="shared" si="88"/>
        <v>420.95891230839874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100.89182480791051</v>
      </c>
      <c r="AA81" s="23">
        <f>EXP(-LN(2)/25)*AA80+(1-EXP(-LN(2)/25))/(LN(2)/25)*Calculateur!V81*Calculateur!X81*VLOOKUP('Données projet'!$B$9,Paramètres!$A$1:$I$89,3,0)*0.475*44/12</f>
        <v>8.5682341941052869</v>
      </c>
      <c r="AB81" s="23">
        <f>EXP(-LN(2)/2)*AB80+(1-EXP(-LN(2)/2))/(LN(2)/2)*V81*Y81*VLOOKUP('Données projet'!$B$9,Paramètres!$A$1:$I$89,3,0)*0.475*44/12</f>
        <v>1.4789307153033351E-4</v>
      </c>
      <c r="AC81" s="24">
        <f t="shared" si="57"/>
        <v>109.46020689508732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>
        <f>AI81*VLOOKUP('Données projet'!$B$10,Paramètres!$A$1:$I$89,3,0)*VLOOKUP('Données projet'!$B$10,Paramètres!$A$1:$I$89,5,0)</f>
        <v>0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225.24357215754691</v>
      </c>
      <c r="AO81" s="62">
        <f t="shared" si="90"/>
        <v>569.2018208733989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25.32891088279068</v>
      </c>
      <c r="AV81" s="23">
        <f>EXP(-LN(2)/25)*AV80+(1-EXP(-LN(2)/25))/(LN(2)/25)*Calculateur!AQ81*Calculateur!AS81*VLOOKUP('Données projet'!$B$10,Paramètres!$A$1:$I$89,3,0)*0.475*44/12</f>
        <v>7.1767043351102968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32.505615217900974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2.2737367544323206E-13</v>
      </c>
      <c r="O82" s="14">
        <f>N82*VLOOKUP('Données projet'!$B$9,Paramètres!$A$1:$I$89,3,0)*VLOOKUP('Données projet'!$B$9,Paramètres!$A$1:$I$89,5,0)</f>
        <v>1.3596945791505279E-13</v>
      </c>
      <c r="P82" s="14">
        <f t="shared" si="87"/>
        <v>1.9708830566360721E-12</v>
      </c>
      <c r="Q82" s="22">
        <f t="shared" si="54"/>
        <v>3.669434796176543E-12</v>
      </c>
      <c r="R82" s="62">
        <f t="shared" si="55"/>
        <v>293.33333333333701</v>
      </c>
      <c r="S82" s="62">
        <f ca="1">AVERAGE(OFFSET($R$3,0,0,'Données projet'!$E$9+1,1))-AVERAGE(OFFSET($H$3,0,0,'Données projet'!$E$9+1,1))</f>
        <v>287.52077437571728</v>
      </c>
      <c r="T82" s="62">
        <f t="shared" si="88"/>
        <v>420.95891230839874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98.913397661364158</v>
      </c>
      <c r="AA82" s="23">
        <f>EXP(-LN(2)/25)*AA81+(1-EXP(-LN(2)/25))/(LN(2)/25)*Calculateur!V82*Calculateur!X82*VLOOKUP('Données projet'!$B$9,Paramètres!$A$1:$I$89,3,0)*0.475*44/12</f>
        <v>8.3339353794836253</v>
      </c>
      <c r="AB82" s="23">
        <f>EXP(-LN(2)/2)*AB81+(1-EXP(-LN(2)/2))/(LN(2)/2)*V82*Y82*VLOOKUP('Données projet'!$B$9,Paramètres!$A$1:$I$89,3,0)*0.475*44/12</f>
        <v>1.0457619376960596E-4</v>
      </c>
      <c r="AC82" s="24">
        <f t="shared" si="57"/>
        <v>107.24743761704154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>
        <f>AI82*VLOOKUP('Données projet'!$B$10,Paramètres!$A$1:$I$89,3,0)*VLOOKUP('Données projet'!$B$10,Paramètres!$A$1:$I$89,5,0)</f>
        <v>0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225.24357215754691</v>
      </c>
      <c r="AO82" s="62">
        <f t="shared" si="90"/>
        <v>569.2018208733989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24.832226389489321</v>
      </c>
      <c r="AV82" s="23">
        <f>EXP(-LN(2)/25)*AV81+(1-EXP(-LN(2)/25))/(LN(2)/25)*Calculateur!AQ82*Calculateur!AS82*VLOOKUP('Données projet'!$B$10,Paramètres!$A$1:$I$89,3,0)*0.475*44/12</f>
        <v>6.9804569776602277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31.81268336714955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2.2737367544323206E-13</v>
      </c>
      <c r="O83" s="14">
        <f>N83*VLOOKUP('Données projet'!$B$9,Paramètres!$A$1:$I$89,3,0)*VLOOKUP('Données projet'!$B$9,Paramètres!$A$1:$I$89,5,0)</f>
        <v>1.3596945791505279E-13</v>
      </c>
      <c r="P83" s="14">
        <f t="shared" si="87"/>
        <v>1.9708830566360721E-12</v>
      </c>
      <c r="Q83" s="22">
        <f t="shared" si="54"/>
        <v>3.669434796176543E-12</v>
      </c>
      <c r="R83" s="62">
        <f t="shared" si="55"/>
        <v>293.33333333333701</v>
      </c>
      <c r="S83" s="62">
        <f ca="1">AVERAGE(OFFSET($R$3,0,0,'Données projet'!$E$9+1,1))-AVERAGE(OFFSET($H$3,0,0,'Données projet'!$E$9+1,1))</f>
        <v>287.52077437571728</v>
      </c>
      <c r="T83" s="62">
        <f t="shared" si="88"/>
        <v>420.95891230839874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96.973766264440172</v>
      </c>
      <c r="AA83" s="23">
        <f>EXP(-LN(2)/25)*AA82+(1-EXP(-LN(2)/25))/(LN(2)/25)*Calculateur!V83*Calculateur!X83*VLOOKUP('Données projet'!$B$9,Paramètres!$A$1:$I$89,3,0)*0.475*44/12</f>
        <v>8.1060434782690312</v>
      </c>
      <c r="AB83" s="23">
        <f>EXP(-LN(2)/2)*AB82+(1-EXP(-LN(2)/2))/(LN(2)/2)*V83*Y83*VLOOKUP('Données projet'!$B$9,Paramètres!$A$1:$I$89,3,0)*0.475*44/12</f>
        <v>7.3946535765166755E-5</v>
      </c>
      <c r="AC83" s="24">
        <f t="shared" si="57"/>
        <v>105.07988368924497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>
        <f>AI83*VLOOKUP('Données projet'!$B$10,Paramètres!$A$1:$I$89,3,0)*VLOOKUP('Données projet'!$B$10,Paramètres!$A$1:$I$89,5,0)</f>
        <v>0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225.24357215754691</v>
      </c>
      <c r="AO83" s="62">
        <f t="shared" si="90"/>
        <v>569.2018208733989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24.345281576153972</v>
      </c>
      <c r="AV83" s="23">
        <f>EXP(-LN(2)/25)*AV82+(1-EXP(-LN(2)/25))/(LN(2)/25)*Calculateur!AQ83*Calculateur!AS83*VLOOKUP('Données projet'!$B$10,Paramètres!$A$1:$I$89,3,0)*0.475*44/12</f>
        <v>6.7895760145198301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31.134857590673803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2.2737367544323206E-13</v>
      </c>
      <c r="O84" s="14">
        <f>N84*VLOOKUP('Données projet'!$B$9,Paramètres!$A$1:$I$89,3,0)*VLOOKUP('Données projet'!$B$9,Paramètres!$A$1:$I$89,5,0)</f>
        <v>1.3596945791505279E-13</v>
      </c>
      <c r="P84" s="14">
        <f t="shared" si="87"/>
        <v>1.9708830566360721E-12</v>
      </c>
      <c r="Q84" s="22">
        <f t="shared" si="54"/>
        <v>3.669434796176543E-12</v>
      </c>
      <c r="R84" s="62">
        <f t="shared" si="55"/>
        <v>293.33333333333701</v>
      </c>
      <c r="S84" s="62">
        <f ca="1">AVERAGE(OFFSET($R$3,0,0,'Données projet'!$E$9+1,1))-AVERAGE(OFFSET($H$3,0,0,'Données projet'!$E$9+1,1))</f>
        <v>287.52077437571728</v>
      </c>
      <c r="T84" s="62">
        <f t="shared" si="88"/>
        <v>420.95891230839874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95.072169856151532</v>
      </c>
      <c r="AA84" s="23">
        <f>EXP(-LN(2)/25)*AA83+(1-EXP(-LN(2)/25))/(LN(2)/25)*Calculateur!V84*Calculateur!X84*VLOOKUP('Données projet'!$B$9,Paramètres!$A$1:$I$89,3,0)*0.475*44/12</f>
        <v>7.8843832930774642</v>
      </c>
      <c r="AB84" s="23">
        <f>EXP(-LN(2)/2)*AB83+(1-EXP(-LN(2)/2))/(LN(2)/2)*V84*Y84*VLOOKUP('Données projet'!$B$9,Paramètres!$A$1:$I$89,3,0)*0.475*44/12</f>
        <v>5.2288096884802981E-5</v>
      </c>
      <c r="AC84" s="24">
        <f t="shared" si="57"/>
        <v>102.95660543732588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>
        <f>AI84*VLOOKUP('Données projet'!$B$10,Paramètres!$A$1:$I$89,3,0)*VLOOKUP('Données projet'!$B$10,Paramètres!$A$1:$I$89,5,0)</f>
        <v>0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225.24357215754691</v>
      </c>
      <c r="AO84" s="62">
        <f t="shared" si="90"/>
        <v>569.2018208733989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23.867885453601122</v>
      </c>
      <c r="AV84" s="23">
        <f>EXP(-LN(2)/25)*AV83+(1-EXP(-LN(2)/25))/(LN(2)/25)*Calculateur!AQ84*Calculateur!AS84*VLOOKUP('Données projet'!$B$10,Paramètres!$A$1:$I$89,3,0)*0.475*44/12</f>
        <v>6.6039147013545003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30.471800154955623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2.2737367544323206E-13</v>
      </c>
      <c r="O85" s="14">
        <f>N85*VLOOKUP('Données projet'!$B$9,Paramètres!$A$1:$I$89,3,0)*VLOOKUP('Données projet'!$B$9,Paramètres!$A$1:$I$89,5,0)</f>
        <v>1.3596945791505279E-13</v>
      </c>
      <c r="P85" s="14">
        <f t="shared" si="87"/>
        <v>1.9708830566360721E-12</v>
      </c>
      <c r="Q85" s="22">
        <f t="shared" si="54"/>
        <v>3.669434796176543E-12</v>
      </c>
      <c r="R85" s="62">
        <f t="shared" si="55"/>
        <v>293.33333333333701</v>
      </c>
      <c r="S85" s="62">
        <f ca="1">AVERAGE(OFFSET($R$3,0,0,'Données projet'!$E$9+1,1))-AVERAGE(OFFSET($H$3,0,0,'Données projet'!$E$9+1,1))</f>
        <v>287.52077437571728</v>
      </c>
      <c r="T85" s="62">
        <f t="shared" si="88"/>
        <v>420.95891230839874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93.207862593570141</v>
      </c>
      <c r="AA85" s="23">
        <f>EXP(-LN(2)/25)*AA84+(1-EXP(-LN(2)/25))/(LN(2)/25)*Calculateur!V85*Calculateur!X85*VLOOKUP('Données projet'!$B$9,Paramètres!$A$1:$I$89,3,0)*0.475*44/12</f>
        <v>7.668784417306564</v>
      </c>
      <c r="AB85" s="23">
        <f>EXP(-LN(2)/2)*AB84+(1-EXP(-LN(2)/2))/(LN(2)/2)*V85*Y85*VLOOKUP('Données projet'!$B$9,Paramètres!$A$1:$I$89,3,0)*0.475*44/12</f>
        <v>3.6973267882583378E-5</v>
      </c>
      <c r="AC85" s="24">
        <f t="shared" si="57"/>
        <v>100.87668398414459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>
        <f>AI85*VLOOKUP('Données projet'!$B$10,Paramètres!$A$1:$I$89,3,0)*VLOOKUP('Données projet'!$B$10,Paramètres!$A$1:$I$89,5,0)</f>
        <v>0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225.24357215754691</v>
      </c>
      <c r="AO85" s="62">
        <f t="shared" si="90"/>
        <v>569.2018208733989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23.39985077782865</v>
      </c>
      <c r="AV85" s="23">
        <f>EXP(-LN(2)/25)*AV84+(1-EXP(-LN(2)/25))/(LN(2)/25)*Calculateur!AQ85*Calculateur!AS85*VLOOKUP('Données projet'!$B$10,Paramètres!$A$1:$I$89,3,0)*0.475*44/12</f>
        <v>6.4233303065611809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29.82318108438983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2.2737367544323206E-13</v>
      </c>
      <c r="O86" s="14">
        <f>N86*VLOOKUP('Données projet'!$B$9,Paramètres!$A$1:$I$89,3,0)*VLOOKUP('Données projet'!$B$9,Paramètres!$A$1:$I$89,5,0)</f>
        <v>1.3596945791505279E-13</v>
      </c>
      <c r="P86" s="14">
        <f t="shared" si="87"/>
        <v>1.9708830566360721E-12</v>
      </c>
      <c r="Q86" s="22">
        <f t="shared" si="54"/>
        <v>3.669434796176543E-12</v>
      </c>
      <c r="R86" s="62">
        <f t="shared" si="55"/>
        <v>293.33333333333701</v>
      </c>
      <c r="S86" s="62">
        <f ca="1">AVERAGE(OFFSET($R$3,0,0,'Données projet'!$E$9+1,1))-AVERAGE(OFFSET($H$3,0,0,'Données projet'!$E$9+1,1))</f>
        <v>287.52077437571728</v>
      </c>
      <c r="T86" s="62">
        <f t="shared" si="88"/>
        <v>420.95891230839874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91.380113259292827</v>
      </c>
      <c r="AA86" s="23">
        <f>EXP(-LN(2)/25)*AA85+(1-EXP(-LN(2)/25))/(LN(2)/25)*Calculateur!V86*Calculateur!X86*VLOOKUP('Données projet'!$B$9,Paramètres!$A$1:$I$89,3,0)*0.475*44/12</f>
        <v>7.4590811041314709</v>
      </c>
      <c r="AB86" s="23">
        <f>EXP(-LN(2)/2)*AB85+(1-EXP(-LN(2)/2))/(LN(2)/2)*V86*Y86*VLOOKUP('Données projet'!$B$9,Paramètres!$A$1:$I$89,3,0)*0.475*44/12</f>
        <v>2.614404844240149E-5</v>
      </c>
      <c r="AC86" s="24">
        <f t="shared" si="57"/>
        <v>98.839220507472746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>
        <f>AI86*VLOOKUP('Données projet'!$B$10,Paramètres!$A$1:$I$89,3,0)*VLOOKUP('Données projet'!$B$10,Paramètres!$A$1:$I$89,5,0)</f>
        <v>0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225.24357215754691</v>
      </c>
      <c r="AO86" s="62">
        <f t="shared" si="90"/>
        <v>569.2018208733989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22.940993976575111</v>
      </c>
      <c r="AV86" s="23">
        <f>EXP(-LN(2)/25)*AV85+(1-EXP(-LN(2)/25))/(LN(2)/25)*Calculateur!AQ86*Calculateur!AS86*VLOOKUP('Données projet'!$B$10,Paramètres!$A$1:$I$89,3,0)*0.475*44/12</f>
        <v>6.247684001540005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29.188677978115116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2.2737367544323206E-13</v>
      </c>
      <c r="O87" s="14">
        <f>N87*VLOOKUP('Données projet'!$B$9,Paramètres!$A$1:$I$89,3,0)*VLOOKUP('Données projet'!$B$9,Paramètres!$A$1:$I$89,5,0)</f>
        <v>1.3596945791505279E-13</v>
      </c>
      <c r="P87" s="14">
        <f t="shared" si="87"/>
        <v>1.9708830566360721E-12</v>
      </c>
      <c r="Q87" s="22">
        <f t="shared" si="54"/>
        <v>3.669434796176543E-12</v>
      </c>
      <c r="R87" s="62">
        <f t="shared" si="55"/>
        <v>293.33333333333701</v>
      </c>
      <c r="S87" s="62">
        <f ca="1">AVERAGE(OFFSET($R$3,0,0,'Données projet'!$E$9+1,1))-AVERAGE(OFFSET($H$3,0,0,'Données projet'!$E$9+1,1))</f>
        <v>287.52077437571728</v>
      </c>
      <c r="T87" s="62">
        <f t="shared" si="88"/>
        <v>420.95891230839874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89.588204974643673</v>
      </c>
      <c r="AA87" s="23">
        <f>EXP(-LN(2)/25)*AA86+(1-EXP(-LN(2)/25))/(LN(2)/25)*Calculateur!V87*Calculateur!X87*VLOOKUP('Données projet'!$B$9,Paramètres!$A$1:$I$89,3,0)*0.475*44/12</f>
        <v>7.2551121390829687</v>
      </c>
      <c r="AB87" s="23">
        <f>EXP(-LN(2)/2)*AB86+(1-EXP(-LN(2)/2))/(LN(2)/2)*V87*Y87*VLOOKUP('Données projet'!$B$9,Paramètres!$A$1:$I$89,3,0)*0.475*44/12</f>
        <v>1.8486633941291689E-5</v>
      </c>
      <c r="AC87" s="24">
        <f t="shared" si="57"/>
        <v>96.843335600360589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>
        <f>AI87*VLOOKUP('Données projet'!$B$10,Paramètres!$A$1:$I$89,3,0)*VLOOKUP('Données projet'!$B$10,Paramètres!$A$1:$I$89,5,0)</f>
        <v>0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225.24357215754691</v>
      </c>
      <c r="AO87" s="62">
        <f t="shared" si="90"/>
        <v>569.2018208733989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22.491135077319143</v>
      </c>
      <c r="AV87" s="23">
        <f>EXP(-LN(2)/25)*AV86+(1-EXP(-LN(2)/25))/(LN(2)/25)*Calculateur!AQ87*Calculateur!AS87*VLOOKUP('Données projet'!$B$10,Paramètres!$A$1:$I$89,3,0)*0.475*44/12</f>
        <v>6.0768407539664713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28.567975831285615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2.2737367544323206E-13</v>
      </c>
      <c r="O88" s="14">
        <f>N88*VLOOKUP('Données projet'!$B$9,Paramètres!$A$1:$I$89,3,0)*VLOOKUP('Données projet'!$B$9,Paramètres!$A$1:$I$89,5,0)</f>
        <v>1.3596945791505279E-13</v>
      </c>
      <c r="P88" s="14">
        <f t="shared" si="87"/>
        <v>1.9708830566360721E-12</v>
      </c>
      <c r="Q88" s="22">
        <f t="shared" si="54"/>
        <v>3.669434796176543E-12</v>
      </c>
      <c r="R88" s="62">
        <f t="shared" si="55"/>
        <v>293.33333333333701</v>
      </c>
      <c r="S88" s="62">
        <f ca="1">AVERAGE(OFFSET($R$3,0,0,'Données projet'!$E$9+1,1))-AVERAGE(OFFSET($H$3,0,0,'Données projet'!$E$9+1,1))</f>
        <v>287.52077437571728</v>
      </c>
      <c r="T88" s="62">
        <f t="shared" si="88"/>
        <v>420.95891230839874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87.831434918500364</v>
      </c>
      <c r="AA88" s="23">
        <f>EXP(-LN(2)/25)*AA87+(1-EXP(-LN(2)/25))/(LN(2)/25)*Calculateur!V88*Calculateur!X88*VLOOKUP('Données projet'!$B$9,Paramètres!$A$1:$I$89,3,0)*0.475*44/12</f>
        <v>7.0567207161099796</v>
      </c>
      <c r="AB88" s="23">
        <f>EXP(-LN(2)/2)*AB87+(1-EXP(-LN(2)/2))/(LN(2)/2)*V88*Y88*VLOOKUP('Données projet'!$B$9,Paramètres!$A$1:$I$89,3,0)*0.475*44/12</f>
        <v>1.3072024221200745E-5</v>
      </c>
      <c r="AC88" s="24">
        <f t="shared" si="57"/>
        <v>94.888168706634559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>
        <f>AI88*VLOOKUP('Données projet'!$B$10,Paramètres!$A$1:$I$89,3,0)*VLOOKUP('Données projet'!$B$10,Paramètres!$A$1:$I$89,5,0)</f>
        <v>0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225.24357215754691</v>
      </c>
      <c r="AO88" s="62">
        <f t="shared" si="90"/>
        <v>569.2018208733989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22.050097636690747</v>
      </c>
      <c r="AV88" s="23">
        <f>EXP(-LN(2)/25)*AV87+(1-EXP(-LN(2)/25))/(LN(2)/25)*Calculateur!AQ88*Calculateur!AS88*VLOOKUP('Données projet'!$B$10,Paramètres!$A$1:$I$89,3,0)*0.475*44/12</f>
        <v>5.9106692239820919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27.960766860672841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2.2737367544323206E-13</v>
      </c>
      <c r="O89" s="14">
        <f>N89*VLOOKUP('Données projet'!$B$9,Paramètres!$A$1:$I$89,3,0)*VLOOKUP('Données projet'!$B$9,Paramètres!$A$1:$I$89,5,0)</f>
        <v>1.3596945791505279E-13</v>
      </c>
      <c r="P89" s="14">
        <f t="shared" si="87"/>
        <v>1.9708830566360721E-12</v>
      </c>
      <c r="Q89" s="22">
        <f t="shared" si="54"/>
        <v>3.669434796176543E-12</v>
      </c>
      <c r="R89" s="62">
        <f t="shared" si="55"/>
        <v>293.33333333333701</v>
      </c>
      <c r="S89" s="62">
        <f ca="1">AVERAGE(OFFSET($R$3,0,0,'Données projet'!$E$9+1,1))-AVERAGE(OFFSET($H$3,0,0,'Données projet'!$E$9+1,1))</f>
        <v>287.52077437571728</v>
      </c>
      <c r="T89" s="62">
        <f t="shared" si="88"/>
        <v>420.95891230839874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86.109114051634094</v>
      </c>
      <c r="AA89" s="23">
        <f>EXP(-LN(2)/25)*AA88+(1-EXP(-LN(2)/25))/(LN(2)/25)*Calculateur!V89*Calculateur!X89*VLOOKUP('Données projet'!$B$9,Paramètres!$A$1:$I$89,3,0)*0.475*44/12</f>
        <v>6.8637543170311384</v>
      </c>
      <c r="AB89" s="23">
        <f>EXP(-LN(2)/2)*AB88+(1-EXP(-LN(2)/2))/(LN(2)/2)*V89*Y89*VLOOKUP('Données projet'!$B$9,Paramètres!$A$1:$I$89,3,0)*0.475*44/12</f>
        <v>9.2433169706458444E-6</v>
      </c>
      <c r="AC89" s="24">
        <f t="shared" si="57"/>
        <v>92.972877611982199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>
        <f>AI89*VLOOKUP('Données projet'!$B$10,Paramètres!$A$1:$I$89,3,0)*VLOOKUP('Données projet'!$B$10,Paramètres!$A$1:$I$89,5,0)</f>
        <v>0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225.24357215754691</v>
      </c>
      <c r="AO89" s="62">
        <f t="shared" si="90"/>
        <v>569.2018208733989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21.617708671266797</v>
      </c>
      <c r="AV89" s="23">
        <f>EXP(-LN(2)/25)*AV88+(1-EXP(-LN(2)/25))/(LN(2)/25)*Calculateur!AQ89*Calculateur!AS89*VLOOKUP('Données projet'!$B$10,Paramètres!$A$1:$I$89,3,0)*0.475*44/12</f>
        <v>5.749041663223716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27.366750334490511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2.2737367544323206E-13</v>
      </c>
      <c r="O90" s="14">
        <f>N90*VLOOKUP('Données projet'!$B$9,Paramètres!$A$1:$I$89,3,0)*VLOOKUP('Données projet'!$B$9,Paramètres!$A$1:$I$89,5,0)</f>
        <v>1.3596945791505279E-13</v>
      </c>
      <c r="P90" s="14">
        <f t="shared" si="87"/>
        <v>1.9708830566360721E-12</v>
      </c>
      <c r="Q90" s="22">
        <f t="shared" si="54"/>
        <v>3.669434796176543E-12</v>
      </c>
      <c r="R90" s="62">
        <f t="shared" si="55"/>
        <v>293.33333333333701</v>
      </c>
      <c r="S90" s="62">
        <f ca="1">AVERAGE(OFFSET($R$3,0,0,'Données projet'!$E$9+1,1))-AVERAGE(OFFSET($H$3,0,0,'Données projet'!$E$9+1,1))</f>
        <v>287.52077437571728</v>
      </c>
      <c r="T90" s="62">
        <f t="shared" si="88"/>
        <v>420.95891230839874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84.42056684645506</v>
      </c>
      <c r="AA90" s="23">
        <f>EXP(-LN(2)/25)*AA89+(1-EXP(-LN(2)/25))/(LN(2)/25)*Calculateur!V90*Calculateur!X90*VLOOKUP('Données projet'!$B$9,Paramètres!$A$1:$I$89,3,0)*0.475*44/12</f>
        <v>6.6760645942827699</v>
      </c>
      <c r="AB90" s="23">
        <f>EXP(-LN(2)/2)*AB89+(1-EXP(-LN(2)/2))/(LN(2)/2)*V90*Y90*VLOOKUP('Données projet'!$B$9,Paramètres!$A$1:$I$89,3,0)*0.475*44/12</f>
        <v>6.5360121106003726E-6</v>
      </c>
      <c r="AC90" s="24">
        <f t="shared" si="57"/>
        <v>91.096637976749932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>
        <f>AI90*VLOOKUP('Données projet'!$B$10,Paramètres!$A$1:$I$89,3,0)*VLOOKUP('Données projet'!$B$10,Paramètres!$A$1:$I$89,5,0)</f>
        <v>0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225.24357215754691</v>
      </c>
      <c r="AO90" s="62">
        <f t="shared" si="90"/>
        <v>569.2018208733989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21.193798589723585</v>
      </c>
      <c r="AV90" s="23">
        <f>EXP(-LN(2)/25)*AV89+(1-EXP(-LN(2)/25))/(LN(2)/25)*Calculateur!AQ90*Calculateur!AS90*VLOOKUP('Données projet'!$B$10,Paramètres!$A$1:$I$89,3,0)*0.475*44/12</f>
        <v>5.5918338166139021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26.785632406337488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2.2737367544323206E-13</v>
      </c>
      <c r="O91" s="14">
        <f>N91*VLOOKUP('Données projet'!$B$9,Paramètres!$A$1:$I$89,3,0)*VLOOKUP('Données projet'!$B$9,Paramètres!$A$1:$I$89,5,0)</f>
        <v>1.3596945791505279E-13</v>
      </c>
      <c r="P91" s="14">
        <f t="shared" si="87"/>
        <v>1.9708830566360721E-12</v>
      </c>
      <c r="Q91" s="22">
        <f t="shared" si="54"/>
        <v>3.669434796176543E-12</v>
      </c>
      <c r="R91" s="62">
        <f t="shared" si="55"/>
        <v>293.33333333333701</v>
      </c>
      <c r="S91" s="62">
        <f ca="1">AVERAGE(OFFSET($R$3,0,0,'Données projet'!$E$9+1,1))-AVERAGE(OFFSET($H$3,0,0,'Données projet'!$E$9+1,1))</f>
        <v>287.52077437571728</v>
      </c>
      <c r="T91" s="62">
        <f t="shared" si="88"/>
        <v>420.95891230839874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82.765131022057489</v>
      </c>
      <c r="AA91" s="23">
        <f>EXP(-LN(2)/25)*AA90+(1-EXP(-LN(2)/25))/(LN(2)/25)*Calculateur!V91*Calculateur!X91*VLOOKUP('Données projet'!$B$9,Paramètres!$A$1:$I$89,3,0)*0.475*44/12</f>
        <v>6.4935072568731291</v>
      </c>
      <c r="AB91" s="23">
        <f>EXP(-LN(2)/2)*AB90+(1-EXP(-LN(2)/2))/(LN(2)/2)*V91*Y91*VLOOKUP('Données projet'!$B$9,Paramètres!$A$1:$I$89,3,0)*0.475*44/12</f>
        <v>4.6216584853229222E-6</v>
      </c>
      <c r="AC91" s="24">
        <f t="shared" si="57"/>
        <v>89.258642900589109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>
        <f>AI91*VLOOKUP('Données projet'!$B$10,Paramètres!$A$1:$I$89,3,0)*VLOOKUP('Données projet'!$B$10,Paramètres!$A$1:$I$89,5,0)</f>
        <v>0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225.24357215754691</v>
      </c>
      <c r="AO91" s="62">
        <f t="shared" si="90"/>
        <v>569.2018208733989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20.778201126319814</v>
      </c>
      <c r="AV91" s="23">
        <f>EXP(-LN(2)/25)*AV90+(1-EXP(-LN(2)/25))/(LN(2)/25)*Calculateur!AQ91*Calculateur!AS91*VLOOKUP('Données projet'!$B$10,Paramètres!$A$1:$I$89,3,0)*0.475*44/12</f>
        <v>5.4389248268368346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26.21712595315665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2.2737367544323206E-13</v>
      </c>
      <c r="O92" s="14">
        <f>N92*VLOOKUP('Données projet'!$B$9,Paramètres!$A$1:$I$89,3,0)*VLOOKUP('Données projet'!$B$9,Paramètres!$A$1:$I$89,5,0)</f>
        <v>1.3596945791505279E-13</v>
      </c>
      <c r="P92" s="14">
        <f t="shared" si="87"/>
        <v>1.9708830566360721E-12</v>
      </c>
      <c r="Q92" s="22">
        <f t="shared" si="54"/>
        <v>3.669434796176543E-12</v>
      </c>
      <c r="R92" s="62">
        <f t="shared" si="55"/>
        <v>293.33333333333701</v>
      </c>
      <c r="S92" s="62">
        <f ca="1">AVERAGE(OFFSET($R$3,0,0,'Données projet'!$E$9+1,1))-AVERAGE(OFFSET($H$3,0,0,'Données projet'!$E$9+1,1))</f>
        <v>287.52077437571728</v>
      </c>
      <c r="T92" s="62">
        <f t="shared" si="88"/>
        <v>420.95891230839874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81.142157284460211</v>
      </c>
      <c r="AA92" s="23">
        <f>EXP(-LN(2)/25)*AA91+(1-EXP(-LN(2)/25))/(LN(2)/25)*Calculateur!V92*Calculateur!X92*VLOOKUP('Données projet'!$B$9,Paramètres!$A$1:$I$89,3,0)*0.475*44/12</f>
        <v>6.3159419594552277</v>
      </c>
      <c r="AB92" s="23">
        <f>EXP(-LN(2)/2)*AB91+(1-EXP(-LN(2)/2))/(LN(2)/2)*V92*Y92*VLOOKUP('Données projet'!$B$9,Paramètres!$A$1:$I$89,3,0)*0.475*44/12</f>
        <v>3.2680060553001863E-6</v>
      </c>
      <c r="AC92" s="24">
        <f t="shared" si="57"/>
        <v>87.458102511921496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>
        <f>AI92*VLOOKUP('Données projet'!$B$10,Paramètres!$A$1:$I$89,3,0)*VLOOKUP('Données projet'!$B$10,Paramètres!$A$1:$I$89,5,0)</f>
        <v>0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225.24357215754691</v>
      </c>
      <c r="AO92" s="62">
        <f t="shared" si="90"/>
        <v>569.2018208733989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20.37075327568397</v>
      </c>
      <c r="AV92" s="23">
        <f>EXP(-LN(2)/25)*AV91+(1-EXP(-LN(2)/25))/(LN(2)/25)*Calculateur!AQ92*Calculateur!AS92*VLOOKUP('Données projet'!$B$10,Paramètres!$A$1:$I$89,3,0)*0.475*44/12</f>
        <v>5.290197141426356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25.660950417110328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2.2737367544323206E-13</v>
      </c>
      <c r="O93" s="14">
        <f>N93*VLOOKUP('Données projet'!$B$9,Paramètres!$A$1:$I$89,3,0)*VLOOKUP('Données projet'!$B$9,Paramètres!$A$1:$I$89,5,0)</f>
        <v>1.3596945791505279E-13</v>
      </c>
      <c r="P93" s="14">
        <f t="shared" si="87"/>
        <v>1.9708830566360721E-12</v>
      </c>
      <c r="Q93" s="22">
        <f t="shared" si="54"/>
        <v>3.669434796176543E-12</v>
      </c>
      <c r="R93" s="62">
        <f t="shared" si="55"/>
        <v>293.33333333333701</v>
      </c>
      <c r="S93" s="62">
        <f ca="1">AVERAGE(OFFSET($R$3,0,0,'Données projet'!$E$9+1,1))-AVERAGE(OFFSET($H$3,0,0,'Données projet'!$E$9+1,1))</f>
        <v>287.52077437571728</v>
      </c>
      <c r="T93" s="62">
        <f t="shared" si="88"/>
        <v>420.95891230839874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79.551009071940982</v>
      </c>
      <c r="AA93" s="23">
        <f>EXP(-LN(2)/25)*AA92+(1-EXP(-LN(2)/25))/(LN(2)/25)*Calculateur!V93*Calculateur!X93*VLOOKUP('Données projet'!$B$9,Paramètres!$A$1:$I$89,3,0)*0.475*44/12</f>
        <v>6.1432321944329722</v>
      </c>
      <c r="AB93" s="23">
        <f>EXP(-LN(2)/2)*AB92+(1-EXP(-LN(2)/2))/(LN(2)/2)*V93*Y93*VLOOKUP('Données projet'!$B$9,Paramètres!$A$1:$I$89,3,0)*0.475*44/12</f>
        <v>2.3108292426614611E-6</v>
      </c>
      <c r="AC93" s="24">
        <f t="shared" si="57"/>
        <v>85.694243577203196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>
        <f>AI93*VLOOKUP('Données projet'!$B$10,Paramètres!$A$1:$I$89,3,0)*VLOOKUP('Données projet'!$B$10,Paramètres!$A$1:$I$89,5,0)</f>
        <v>0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225.24357215754691</v>
      </c>
      <c r="AO93" s="62">
        <f t="shared" si="90"/>
        <v>569.2018208733989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19.971295228880447</v>
      </c>
      <c r="AV93" s="23">
        <f>EXP(-LN(2)/25)*AV92+(1-EXP(-LN(2)/25))/(LN(2)/25)*Calculateur!AQ93*Calculateur!AS93*VLOOKUP('Données projet'!$B$10,Paramètres!$A$1:$I$89,3,0)*0.475*44/12</f>
        <v>5.1455364223946756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25.11683165127512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2.2737367544323206E-13</v>
      </c>
      <c r="O94" s="14">
        <f>N94*VLOOKUP('Données projet'!$B$9,Paramètres!$A$1:$I$89,3,0)*VLOOKUP('Données projet'!$B$9,Paramètres!$A$1:$I$89,5,0)</f>
        <v>1.3596945791505279E-13</v>
      </c>
      <c r="P94" s="14">
        <f t="shared" si="87"/>
        <v>1.9708830566360721E-12</v>
      </c>
      <c r="Q94" s="22">
        <f t="shared" si="54"/>
        <v>3.669434796176543E-12</v>
      </c>
      <c r="R94" s="62">
        <f t="shared" si="55"/>
        <v>293.33333333333701</v>
      </c>
      <c r="S94" s="62">
        <f ca="1">AVERAGE(OFFSET($R$3,0,0,'Données projet'!$E$9+1,1))-AVERAGE(OFFSET($H$3,0,0,'Données projet'!$E$9+1,1))</f>
        <v>287.52077437571728</v>
      </c>
      <c r="T94" s="62">
        <f t="shared" si="88"/>
        <v>420.95891230839874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77.991062305364665</v>
      </c>
      <c r="AA94" s="23">
        <f>EXP(-LN(2)/25)*AA93+(1-EXP(-LN(2)/25))/(LN(2)/25)*Calculateur!V94*Calculateur!X94*VLOOKUP('Données projet'!$B$9,Paramètres!$A$1:$I$89,3,0)*0.475*44/12</f>
        <v>5.9752451870176619</v>
      </c>
      <c r="AB94" s="23">
        <f>EXP(-LN(2)/2)*AB93+(1-EXP(-LN(2)/2))/(LN(2)/2)*V94*Y94*VLOOKUP('Données projet'!$B$9,Paramètres!$A$1:$I$89,3,0)*0.475*44/12</f>
        <v>1.6340030276500931E-6</v>
      </c>
      <c r="AC94" s="24">
        <f t="shared" si="57"/>
        <v>83.966309126385354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>
        <f>AI94*VLOOKUP('Données projet'!$B$10,Paramètres!$A$1:$I$89,3,0)*VLOOKUP('Données projet'!$B$10,Paramètres!$A$1:$I$89,5,0)</f>
        <v>0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225.24357215754691</v>
      </c>
      <c r="AO94" s="62">
        <f t="shared" si="90"/>
        <v>569.2018208733989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19.579670310729387</v>
      </c>
      <c r="AV94" s="23">
        <f>EXP(-LN(2)/25)*AV93+(1-EXP(-LN(2)/25))/(LN(2)/25)*Calculateur!AQ94*Calculateur!AS94*VLOOKUP('Données projet'!$B$10,Paramètres!$A$1:$I$89,3,0)*0.475*44/12</f>
        <v>5.0048314583322933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24.584501769061681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2.2737367544323206E-13</v>
      </c>
      <c r="O95" s="14">
        <f>N95*VLOOKUP('Données projet'!$B$9,Paramètres!$A$1:$I$89,3,0)*VLOOKUP('Données projet'!$B$9,Paramètres!$A$1:$I$89,5,0)</f>
        <v>1.3596945791505279E-13</v>
      </c>
      <c r="P95" s="14">
        <f t="shared" si="87"/>
        <v>1.9708830566360721E-12</v>
      </c>
      <c r="Q95" s="22">
        <f t="shared" si="54"/>
        <v>3.669434796176543E-12</v>
      </c>
      <c r="R95" s="62">
        <f t="shared" si="55"/>
        <v>293.33333333333701</v>
      </c>
      <c r="S95" s="62">
        <f ca="1">AVERAGE(OFFSET($R$3,0,0,'Données projet'!$E$9+1,1))-AVERAGE(OFFSET($H$3,0,0,'Données projet'!$E$9+1,1))</f>
        <v>287.52077437571728</v>
      </c>
      <c r="T95" s="62">
        <f t="shared" si="88"/>
        <v>420.95891230839874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76.461705143407343</v>
      </c>
      <c r="AA95" s="23">
        <f>EXP(-LN(2)/25)*AA94+(1-EXP(-LN(2)/25))/(LN(2)/25)*Calculateur!V95*Calculateur!X95*VLOOKUP('Données projet'!$B$9,Paramètres!$A$1:$I$89,3,0)*0.475*44/12</f>
        <v>5.811851793154176</v>
      </c>
      <c r="AB95" s="23">
        <f>EXP(-LN(2)/2)*AB94+(1-EXP(-LN(2)/2))/(LN(2)/2)*V95*Y95*VLOOKUP('Données projet'!$B$9,Paramètres!$A$1:$I$89,3,0)*0.475*44/12</f>
        <v>1.1554146213307306E-6</v>
      </c>
      <c r="AC95" s="24">
        <f t="shared" si="57"/>
        <v>82.273558091976142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>
        <f>AI95*VLOOKUP('Données projet'!$B$10,Paramètres!$A$1:$I$89,3,0)*VLOOKUP('Données projet'!$B$10,Paramètres!$A$1:$I$89,5,0)</f>
        <v>0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225.24357215754691</v>
      </c>
      <c r="AO95" s="62">
        <f t="shared" si="90"/>
        <v>569.2018208733989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19.195724918355658</v>
      </c>
      <c r="AV95" s="23">
        <f>EXP(-LN(2)/25)*AV94+(1-EXP(-LN(2)/25))/(LN(2)/25)*Calculateur!AQ95*Calculateur!AS95*VLOOKUP('Données projet'!$B$10,Paramètres!$A$1:$I$89,3,0)*0.475*44/12</f>
        <v>4.8679740789115487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24.063698997267206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2.2737367544323206E-13</v>
      </c>
      <c r="O96" s="14">
        <f>N96*VLOOKUP('Données projet'!$B$9,Paramètres!$A$1:$I$89,3,0)*VLOOKUP('Données projet'!$B$9,Paramètres!$A$1:$I$89,5,0)</f>
        <v>1.3596945791505279E-13</v>
      </c>
      <c r="P96" s="14">
        <f t="shared" si="87"/>
        <v>1.9708830566360721E-12</v>
      </c>
      <c r="Q96" s="22">
        <f t="shared" si="54"/>
        <v>3.669434796176543E-12</v>
      </c>
      <c r="R96" s="62">
        <f t="shared" si="55"/>
        <v>293.33333333333701</v>
      </c>
      <c r="S96" s="62">
        <f ca="1">AVERAGE(OFFSET($R$3,0,0,'Données projet'!$E$9+1,1))-AVERAGE(OFFSET($H$3,0,0,'Données projet'!$E$9+1,1))</f>
        <v>287.52077437571728</v>
      </c>
      <c r="T96" s="62">
        <f t="shared" si="88"/>
        <v>420.95891230839874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74.962337742580232</v>
      </c>
      <c r="AA96" s="23">
        <f>EXP(-LN(2)/25)*AA95+(1-EXP(-LN(2)/25))/(LN(2)/25)*Calculateur!V96*Calculateur!X96*VLOOKUP('Données projet'!$B$9,Paramètres!$A$1:$I$89,3,0)*0.475*44/12</f>
        <v>5.6529264002383721</v>
      </c>
      <c r="AB96" s="23">
        <f>EXP(-LN(2)/2)*AB95+(1-EXP(-LN(2)/2))/(LN(2)/2)*V96*Y96*VLOOKUP('Données projet'!$B$9,Paramètres!$A$1:$I$89,3,0)*0.475*44/12</f>
        <v>8.1700151382504657E-7</v>
      </c>
      <c r="AC96" s="24">
        <f t="shared" si="57"/>
        <v>80.615264959820124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>
        <f>AI96*VLOOKUP('Données projet'!$B$10,Paramètres!$A$1:$I$89,3,0)*VLOOKUP('Données projet'!$B$10,Paramètres!$A$1:$I$89,5,0)</f>
        <v>0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225.24357215754691</v>
      </c>
      <c r="AO96" s="62">
        <f t="shared" si="90"/>
        <v>569.2018208733989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18.819308460942811</v>
      </c>
      <c r="AV96" s="23">
        <f>EXP(-LN(2)/25)*AV95+(1-EXP(-LN(2)/25))/(LN(2)/25)*Calculateur!AQ96*Calculateur!AS96*VLOOKUP('Données projet'!$B$10,Paramètres!$A$1:$I$89,3,0)*0.475*44/12</f>
        <v>4.7348590717280814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23.554167532670892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2.2737367544323206E-13</v>
      </c>
      <c r="O97" s="14">
        <f>N97*VLOOKUP('Données projet'!$B$9,Paramètres!$A$1:$I$89,3,0)*VLOOKUP('Données projet'!$B$9,Paramètres!$A$1:$I$89,5,0)</f>
        <v>1.3596945791505279E-13</v>
      </c>
      <c r="P97" s="14">
        <f t="shared" si="87"/>
        <v>1.9708830566360721E-12</v>
      </c>
      <c r="Q97" s="22">
        <f t="shared" si="54"/>
        <v>3.669434796176543E-12</v>
      </c>
      <c r="R97" s="62">
        <f t="shared" si="55"/>
        <v>293.33333333333701</v>
      </c>
      <c r="S97" s="62">
        <f ca="1">AVERAGE(OFFSET($R$3,0,0,'Données projet'!$E$9+1,1))-AVERAGE(OFFSET($H$3,0,0,'Données projet'!$E$9+1,1))</f>
        <v>287.52077437571728</v>
      </c>
      <c r="T97" s="62">
        <f t="shared" si="88"/>
        <v>420.95891230839874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73.49237202195954</v>
      </c>
      <c r="AA97" s="23">
        <f>EXP(-LN(2)/25)*AA96+(1-EXP(-LN(2)/25))/(LN(2)/25)*Calculateur!V97*Calculateur!X97*VLOOKUP('Données projet'!$B$9,Paramètres!$A$1:$I$89,3,0)*0.475*44/12</f>
        <v>5.4983468305493748</v>
      </c>
      <c r="AB97" s="23">
        <f>EXP(-LN(2)/2)*AB96+(1-EXP(-LN(2)/2))/(LN(2)/2)*V97*Y97*VLOOKUP('Données projet'!$B$9,Paramètres!$A$1:$I$89,3,0)*0.475*44/12</f>
        <v>5.7770731066536528E-7</v>
      </c>
      <c r="AC97" s="24">
        <f t="shared" si="57"/>
        <v>78.990719430216231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>
        <f>AI97*VLOOKUP('Données projet'!$B$10,Paramètres!$A$1:$I$89,3,0)*VLOOKUP('Données projet'!$B$10,Paramètres!$A$1:$I$89,5,0)</f>
        <v>0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225.24357215754691</v>
      </c>
      <c r="AO97" s="62">
        <f t="shared" si="90"/>
        <v>569.2018208733989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18.45027330066846</v>
      </c>
      <c r="AV97" s="23">
        <f>EXP(-LN(2)/25)*AV96+(1-EXP(-LN(2)/25))/(LN(2)/25)*Calculateur!AQ97*Calculateur!AS97*VLOOKUP('Données projet'!$B$10,Paramètres!$A$1:$I$89,3,0)*0.475*44/12</f>
        <v>4.6053841014162602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23.055657402084719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2.2737367544323206E-13</v>
      </c>
      <c r="O98" s="14">
        <f>N98*VLOOKUP('Données projet'!$B$9,Paramètres!$A$1:$I$89,3,0)*VLOOKUP('Données projet'!$B$9,Paramètres!$A$1:$I$89,5,0)</f>
        <v>1.3596945791505279E-13</v>
      </c>
      <c r="P98" s="14">
        <f t="shared" si="87"/>
        <v>1.9708830566360721E-12</v>
      </c>
      <c r="Q98" s="22">
        <f t="shared" si="54"/>
        <v>3.669434796176543E-12</v>
      </c>
      <c r="R98" s="62">
        <f t="shared" si="55"/>
        <v>293.33333333333701</v>
      </c>
      <c r="S98" s="62">
        <f ca="1">AVERAGE(OFFSET($R$3,0,0,'Données projet'!$E$9+1,1))-AVERAGE(OFFSET($H$3,0,0,'Données projet'!$E$9+1,1))</f>
        <v>287.52077437571728</v>
      </c>
      <c r="T98" s="62">
        <f t="shared" si="88"/>
        <v>420.95891230839874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72.051231432529647</v>
      </c>
      <c r="AA98" s="23">
        <f>EXP(-LN(2)/25)*AA97+(1-EXP(-LN(2)/25))/(LN(2)/25)*Calculateur!V98*Calculateur!X98*VLOOKUP('Données projet'!$B$9,Paramètres!$A$1:$I$89,3,0)*0.475*44/12</f>
        <v>5.3479942473225091</v>
      </c>
      <c r="AB98" s="23">
        <f>EXP(-LN(2)/2)*AB97+(1-EXP(-LN(2)/2))/(LN(2)/2)*V98*Y98*VLOOKUP('Données projet'!$B$9,Paramètres!$A$1:$I$89,3,0)*0.475*44/12</f>
        <v>4.0850075691252329E-7</v>
      </c>
      <c r="AC98" s="24">
        <f t="shared" si="57"/>
        <v>77.399226088352904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>
        <f>AI98*VLOOKUP('Données projet'!$B$10,Paramètres!$A$1:$I$89,3,0)*VLOOKUP('Données projet'!$B$10,Paramètres!$A$1:$I$89,5,0)</f>
        <v>0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225.24357215754691</v>
      </c>
      <c r="AO98" s="62">
        <f t="shared" si="90"/>
        <v>569.2018208733989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18.088474694797867</v>
      </c>
      <c r="AV98" s="23">
        <f>EXP(-LN(2)/25)*AV97+(1-EXP(-LN(2)/25))/(LN(2)/25)*Calculateur!AQ98*Calculateur!AS98*VLOOKUP('Données projet'!$B$10,Paramètres!$A$1:$I$89,3,0)*0.475*44/12</f>
        <v>4.4794496309764087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22.567924325774275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2.2737367544323206E-13</v>
      </c>
      <c r="O99" s="14">
        <f>N99*VLOOKUP('Données projet'!$B$9,Paramètres!$A$1:$I$89,3,0)*VLOOKUP('Données projet'!$B$9,Paramètres!$A$1:$I$89,5,0)</f>
        <v>1.3596945791505279E-13</v>
      </c>
      <c r="P99" s="14">
        <f t="shared" si="87"/>
        <v>1.9708830566360721E-12</v>
      </c>
      <c r="Q99" s="22">
        <f t="shared" ref="Q99:Q130" si="107">(O99+P99)*0.475*44/12</f>
        <v>3.669434796176543E-12</v>
      </c>
      <c r="R99" s="62">
        <f t="shared" si="55"/>
        <v>293.33333333333701</v>
      </c>
      <c r="S99" s="62">
        <f ca="1">AVERAGE(OFFSET($R$3,0,0,'Données projet'!$E$9+1,1))-AVERAGE(OFFSET($H$3,0,0,'Données projet'!$E$9+1,1))</f>
        <v>287.52077437571728</v>
      </c>
      <c r="T99" s="62">
        <f t="shared" si="88"/>
        <v>420.95891230839874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70.638350731049513</v>
      </c>
      <c r="AA99" s="23">
        <f>EXP(-LN(2)/25)*AA98+(1-EXP(-LN(2)/25))/(LN(2)/25)*Calculateur!V99*Calculateur!X99*VLOOKUP('Données projet'!$B$9,Paramètres!$A$1:$I$89,3,0)*0.475*44/12</f>
        <v>5.2017530633906803</v>
      </c>
      <c r="AB99" s="23">
        <f>EXP(-LN(2)/2)*AB98+(1-EXP(-LN(2)/2))/(LN(2)/2)*V99*Y99*VLOOKUP('Données projet'!$B$9,Paramètres!$A$1:$I$89,3,0)*0.475*44/12</f>
        <v>2.8885365533268264E-7</v>
      </c>
      <c r="AC99" s="24">
        <f t="shared" si="57"/>
        <v>75.840104083293852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>
        <f>AI99*VLOOKUP('Données projet'!$B$10,Paramètres!$A$1:$I$89,3,0)*VLOOKUP('Données projet'!$B$10,Paramètres!$A$1:$I$89,5,0)</f>
        <v>0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225.24357215754691</v>
      </c>
      <c r="AO99" s="62">
        <f t="shared" si="90"/>
        <v>569.2018208733989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17.733770738913037</v>
      </c>
      <c r="AV99" s="23">
        <f>EXP(-LN(2)/25)*AV98+(1-EXP(-LN(2)/25))/(LN(2)/25)*Calculateur!AQ99*Calculateur!AS99*VLOOKUP('Données projet'!$B$10,Paramètres!$A$1:$I$89,3,0)*0.475*44/12</f>
        <v>4.3569588452533408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22.090729584166379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2.2737367544323206E-13</v>
      </c>
      <c r="O100" s="14">
        <f>N100*VLOOKUP('Données projet'!$B$9,Paramètres!$A$1:$I$89,3,0)*VLOOKUP('Données projet'!$B$9,Paramètres!$A$1:$I$89,5,0)</f>
        <v>1.3596945791505279E-13</v>
      </c>
      <c r="P100" s="14">
        <f t="shared" si="87"/>
        <v>1.9708830566360721E-12</v>
      </c>
      <c r="Q100" s="22">
        <f t="shared" si="107"/>
        <v>3.669434796176543E-12</v>
      </c>
      <c r="R100" s="62">
        <f t="shared" si="55"/>
        <v>293.33333333333701</v>
      </c>
      <c r="S100" s="62">
        <f ca="1">AVERAGE(OFFSET($R$3,0,0,'Données projet'!$E$9+1,1))-AVERAGE(OFFSET($H$3,0,0,'Données projet'!$E$9+1,1))</f>
        <v>287.52077437571728</v>
      </c>
      <c r="T100" s="62">
        <f t="shared" si="88"/>
        <v>420.95891230839874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69.253175758353279</v>
      </c>
      <c r="AA100" s="23">
        <f>EXP(-LN(2)/25)*AA99+(1-EXP(-LN(2)/25))/(LN(2)/25)*Calculateur!V100*Calculateur!X100*VLOOKUP('Données projet'!$B$9,Paramètres!$A$1:$I$89,3,0)*0.475*44/12</f>
        <v>5.0595108523239576</v>
      </c>
      <c r="AB100" s="23">
        <f>EXP(-LN(2)/2)*AB99+(1-EXP(-LN(2)/2))/(LN(2)/2)*V100*Y100*VLOOKUP('Données projet'!$B$9,Paramètres!$A$1:$I$89,3,0)*0.475*44/12</f>
        <v>2.0425037845626164E-7</v>
      </c>
      <c r="AC100" s="24">
        <f t="shared" si="57"/>
        <v>74.312686814927616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>
        <f>AI100*VLOOKUP('Données projet'!$B$10,Paramètres!$A$1:$I$89,3,0)*VLOOKUP('Données projet'!$B$10,Paramètres!$A$1:$I$89,5,0)</f>
        <v>0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225.24357215754691</v>
      </c>
      <c r="AO100" s="62">
        <f t="shared" si="90"/>
        <v>569.2018208733989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17.386022311255058</v>
      </c>
      <c r="AV100" s="23">
        <f>EXP(-LN(2)/25)*AV99+(1-EXP(-LN(2)/25))/(LN(2)/25)*Calculateur!AQ100*Calculateur!AS100*VLOOKUP('Données projet'!$B$10,Paramètres!$A$1:$I$89,3,0)*0.475*44/12</f>
        <v>4.2378175765073802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21.623839887762436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2.2737367544323206E-13</v>
      </c>
      <c r="O101" s="14">
        <f>N101*VLOOKUP('Données projet'!$B$9,Paramètres!$A$1:$I$89,3,0)*VLOOKUP('Données projet'!$B$9,Paramètres!$A$1:$I$89,5,0)</f>
        <v>1.3596945791505279E-13</v>
      </c>
      <c r="P101" s="14">
        <f t="shared" si="87"/>
        <v>1.9708830566360721E-12</v>
      </c>
      <c r="Q101" s="22">
        <f t="shared" si="107"/>
        <v>3.669434796176543E-12</v>
      </c>
      <c r="R101" s="62">
        <f t="shared" si="55"/>
        <v>293.33333333333701</v>
      </c>
      <c r="S101" s="62">
        <f ca="1">AVERAGE(OFFSET($R$3,0,0,'Données projet'!$E$9+1,1))-AVERAGE(OFFSET($H$3,0,0,'Données projet'!$E$9+1,1))</f>
        <v>287.52077437571728</v>
      </c>
      <c r="T101" s="62">
        <f t="shared" si="88"/>
        <v>420.95891230839874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67.895163221998303</v>
      </c>
      <c r="AA101" s="23">
        <f>EXP(-LN(2)/25)*AA100+(1-EXP(-LN(2)/25))/(LN(2)/25)*Calculateur!V101*Calculateur!X101*VLOOKUP('Données projet'!$B$9,Paramètres!$A$1:$I$89,3,0)*0.475*44/12</f>
        <v>4.9211582619990466</v>
      </c>
      <c r="AB101" s="23">
        <f>EXP(-LN(2)/2)*AB100+(1-EXP(-LN(2)/2))/(LN(2)/2)*V101*Y101*VLOOKUP('Données projet'!$B$9,Paramètres!$A$1:$I$89,3,0)*0.475*44/12</f>
        <v>1.4442682766634132E-7</v>
      </c>
      <c r="AC101" s="24">
        <f t="shared" si="57"/>
        <v>72.816321628424163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>
        <f>AI101*VLOOKUP('Données projet'!$B$10,Paramètres!$A$1:$I$89,3,0)*VLOOKUP('Données projet'!$B$10,Paramètres!$A$1:$I$89,5,0)</f>
        <v>0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225.24357215754691</v>
      </c>
      <c r="AO101" s="62">
        <f t="shared" si="90"/>
        <v>569.2018208733989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17.045093018157857</v>
      </c>
      <c r="AV101" s="23">
        <f>EXP(-LN(2)/25)*AV100+(1-EXP(-LN(2)/25))/(LN(2)/25)*Calculateur!AQ101*Calculateur!AS101*VLOOKUP('Données projet'!$B$10,Paramètres!$A$1:$I$89,3,0)*0.475*44/12</f>
        <v>4.1219342320206449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21.167027250178503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2.2737367544323206E-13</v>
      </c>
      <c r="O102" s="14">
        <f>N102*VLOOKUP('Données projet'!$B$9,Paramètres!$A$1:$I$89,3,0)*VLOOKUP('Données projet'!$B$9,Paramètres!$A$1:$I$89,5,0)</f>
        <v>1.3596945791505279E-13</v>
      </c>
      <c r="P102" s="14">
        <f t="shared" si="87"/>
        <v>1.9708830566360721E-12</v>
      </c>
      <c r="Q102" s="22">
        <f t="shared" si="107"/>
        <v>3.669434796176543E-12</v>
      </c>
      <c r="R102" s="62">
        <f t="shared" si="55"/>
        <v>293.33333333333701</v>
      </c>
      <c r="S102" s="62">
        <f ca="1">AVERAGE(OFFSET($R$3,0,0,'Données projet'!$E$9+1,1))-AVERAGE(OFFSET($H$3,0,0,'Données projet'!$E$9+1,1))</f>
        <v>287.52077437571728</v>
      </c>
      <c r="T102" s="62">
        <f t="shared" si="88"/>
        <v>420.95891230839874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66.563780483175393</v>
      </c>
      <c r="AA102" s="23">
        <f>EXP(-LN(2)/25)*AA101+(1-EXP(-LN(2)/25))/(LN(2)/25)*Calculateur!V102*Calculateur!X102*VLOOKUP('Données projet'!$B$9,Paramètres!$A$1:$I$89,3,0)*0.475*44/12</f>
        <v>4.7865889305322176</v>
      </c>
      <c r="AB102" s="23">
        <f>EXP(-LN(2)/2)*AB101+(1-EXP(-LN(2)/2))/(LN(2)/2)*V102*Y102*VLOOKUP('Données projet'!$B$9,Paramètres!$A$1:$I$89,3,0)*0.475*44/12</f>
        <v>1.0212518922813082E-7</v>
      </c>
      <c r="AC102" s="24">
        <f t="shared" si="57"/>
        <v>71.350369515832796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>
        <f>AI102*VLOOKUP('Données projet'!$B$10,Paramètres!$A$1:$I$89,3,0)*VLOOKUP('Données projet'!$B$10,Paramètres!$A$1:$I$89,5,0)</f>
        <v>0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225.24357215754691</v>
      </c>
      <c r="AO102" s="62">
        <f t="shared" si="90"/>
        <v>569.2018208733989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16.710849140551954</v>
      </c>
      <c r="AV102" s="23">
        <f>EXP(-LN(2)/25)*AV101+(1-EXP(-LN(2)/25))/(LN(2)/25)*Calculateur!AQ102*Calculateur!AS102*VLOOKUP('Données projet'!$B$10,Paramètres!$A$1:$I$89,3,0)*0.475*44/12</f>
        <v>4.0092197236829401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20.720068864234893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2.2737367544323206E-13</v>
      </c>
      <c r="O103" s="14">
        <f>N103*VLOOKUP('Données projet'!$B$9,Paramètres!$A$1:$I$89,3,0)*VLOOKUP('Données projet'!$B$9,Paramètres!$A$1:$I$89,5,0)</f>
        <v>1.3596945791505279E-13</v>
      </c>
      <c r="P103" s="14">
        <f t="shared" si="87"/>
        <v>1.9708830566360721E-12</v>
      </c>
      <c r="Q103" s="22">
        <f t="shared" si="107"/>
        <v>3.669434796176543E-12</v>
      </c>
      <c r="R103" s="62">
        <f t="shared" si="55"/>
        <v>293.33333333333701</v>
      </c>
      <c r="S103" s="62">
        <f ca="1">AVERAGE(OFFSET($R$3,0,0,'Données projet'!$E$9+1,1))-AVERAGE(OFFSET($H$3,0,0,'Données projet'!$E$9+1,1))</f>
        <v>287.52077437571728</v>
      </c>
      <c r="T103" s="62">
        <f t="shared" si="88"/>
        <v>420.95891230839874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65.258505347797509</v>
      </c>
      <c r="AA103" s="23">
        <f>EXP(-LN(2)/25)*AA102+(1-EXP(-LN(2)/25))/(LN(2)/25)*Calculateur!V103*Calculateur!X103*VLOOKUP('Données projet'!$B$9,Paramètres!$A$1:$I$89,3,0)*0.475*44/12</f>
        <v>4.6556994045110418</v>
      </c>
      <c r="AB103" s="23">
        <f>EXP(-LN(2)/2)*AB102+(1-EXP(-LN(2)/2))/(LN(2)/2)*V103*Y103*VLOOKUP('Données projet'!$B$9,Paramètres!$A$1:$I$89,3,0)*0.475*44/12</f>
        <v>7.221341383317066E-8</v>
      </c>
      <c r="AC103" s="24">
        <f t="shared" si="57"/>
        <v>69.91420482452196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>
        <f>AI103*VLOOKUP('Données projet'!$B$10,Paramètres!$A$1:$I$89,3,0)*VLOOKUP('Données projet'!$B$10,Paramètres!$A$1:$I$89,5,0)</f>
        <v>0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225.24357215754691</v>
      </c>
      <c r="AO103" s="62">
        <f t="shared" si="90"/>
        <v>569.2018208733989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16.383159581517269</v>
      </c>
      <c r="AV103" s="23">
        <f>EXP(-LN(2)/25)*AV102+(1-EXP(-LN(2)/25))/(LN(2)/25)*Calculateur!AQ103*Calculateur!AS103*VLOOKUP('Données projet'!$B$10,Paramètres!$A$1:$I$89,3,0)*0.475*44/12</f>
        <v>3.8995873995031278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20.282746981020395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2.2737367544323206E-13</v>
      </c>
      <c r="O104" s="14">
        <f>N104*VLOOKUP('Données projet'!$B$9,Paramètres!$A$1:$I$89,3,0)*VLOOKUP('Données projet'!$B$9,Paramètres!$A$1:$I$89,5,0)</f>
        <v>1.3596945791505279E-13</v>
      </c>
      <c r="P104" s="14">
        <f t="shared" si="87"/>
        <v>1.9708830566360721E-12</v>
      </c>
      <c r="Q104" s="22">
        <f t="shared" si="107"/>
        <v>3.669434796176543E-12</v>
      </c>
      <c r="R104" s="62">
        <f t="shared" si="55"/>
        <v>293.33333333333701</v>
      </c>
      <c r="S104" s="62">
        <f ca="1">AVERAGE(OFFSET($R$3,0,0,'Données projet'!$E$9+1,1))-AVERAGE(OFFSET($H$3,0,0,'Données projet'!$E$9+1,1))</f>
        <v>287.52077437571728</v>
      </c>
      <c r="T104" s="62">
        <f t="shared" si="88"/>
        <v>420.95891230839874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63.978825861685166</v>
      </c>
      <c r="AA104" s="23">
        <f>EXP(-LN(2)/25)*AA103+(1-EXP(-LN(2)/25))/(LN(2)/25)*Calculateur!V104*Calculateur!X104*VLOOKUP('Données projet'!$B$9,Paramètres!$A$1:$I$89,3,0)*0.475*44/12</f>
        <v>4.5283890594620964</v>
      </c>
      <c r="AB104" s="23">
        <f>EXP(-LN(2)/2)*AB103+(1-EXP(-LN(2)/2))/(LN(2)/2)*V104*Y104*VLOOKUP('Données projet'!$B$9,Paramètres!$A$1:$I$89,3,0)*0.475*44/12</f>
        <v>5.1062594614065411E-8</v>
      </c>
      <c r="AC104" s="24">
        <f t="shared" si="57"/>
        <v>68.507214972209866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>
        <f>AI104*VLOOKUP('Données projet'!$B$10,Paramètres!$A$1:$I$89,3,0)*VLOOKUP('Données projet'!$B$10,Paramètres!$A$1:$I$89,5,0)</f>
        <v>0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225.24357215754691</v>
      </c>
      <c r="AO104" s="62">
        <f t="shared" si="90"/>
        <v>569.2018208733989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16.061895814864361</v>
      </c>
      <c r="AV104" s="23">
        <f>EXP(-LN(2)/25)*AV103+(1-EXP(-LN(2)/25))/(LN(2)/25)*Calculateur!AQ104*Calculateur!AS104*VLOOKUP('Données projet'!$B$10,Paramètres!$A$1:$I$89,3,0)*0.475*44/12</f>
        <v>3.7929529769933259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19.854848791857687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2.2737367544323206E-13</v>
      </c>
      <c r="O105" s="14">
        <f>N105*VLOOKUP('Données projet'!$B$9,Paramètres!$A$1:$I$89,3,0)*VLOOKUP('Données projet'!$B$9,Paramètres!$A$1:$I$89,5,0)</f>
        <v>1.3596945791505279E-13</v>
      </c>
      <c r="P105" s="14">
        <f t="shared" si="87"/>
        <v>1.9708830566360721E-12</v>
      </c>
      <c r="Q105" s="22">
        <f t="shared" si="107"/>
        <v>3.669434796176543E-12</v>
      </c>
      <c r="R105" s="62">
        <f t="shared" si="55"/>
        <v>293.33333333333701</v>
      </c>
      <c r="S105" s="62">
        <f ca="1">AVERAGE(OFFSET($R$3,0,0,'Données projet'!$E$9+1,1))-AVERAGE(OFFSET($H$3,0,0,'Données projet'!$E$9+1,1))</f>
        <v>287.52077437571728</v>
      </c>
      <c r="T105" s="62">
        <f t="shared" si="88"/>
        <v>420.95891230839874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62.724240109768068</v>
      </c>
      <c r="AA105" s="23">
        <f>EXP(-LN(2)/25)*AA104+(1-EXP(-LN(2)/25))/(LN(2)/25)*Calculateur!V105*Calculateur!X105*VLOOKUP('Données projet'!$B$9,Paramètres!$A$1:$I$89,3,0)*0.475*44/12</f>
        <v>4.4045600224934747</v>
      </c>
      <c r="AB105" s="23">
        <f>EXP(-LN(2)/2)*AB104+(1-EXP(-LN(2)/2))/(LN(2)/2)*V105*Y105*VLOOKUP('Données projet'!$B$9,Paramètres!$A$1:$I$89,3,0)*0.475*44/12</f>
        <v>3.610670691658533E-8</v>
      </c>
      <c r="AC105" s="24">
        <f t="shared" si="57"/>
        <v>67.128800168368258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>
        <f>AI105*VLOOKUP('Données projet'!$B$10,Paramètres!$A$1:$I$89,3,0)*VLOOKUP('Données projet'!$B$10,Paramètres!$A$1:$I$89,5,0)</f>
        <v>0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225.24357215754691</v>
      </c>
      <c r="AO105" s="62">
        <f t="shared" si="90"/>
        <v>569.2018208733989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15.746931834723965</v>
      </c>
      <c r="AV105" s="23">
        <f>EXP(-LN(2)/25)*AV104+(1-EXP(-LN(2)/25))/(LN(2)/25)*Calculateur!AQ105*Calculateur!AS105*VLOOKUP('Données projet'!$B$10,Paramètres!$A$1:$I$89,3,0)*0.475*44/12</f>
        <v>3.6892344783747153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19.436166313098681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2.2737367544323206E-13</v>
      </c>
      <c r="O106" s="14">
        <f>N106*VLOOKUP('Données projet'!$B$9,Paramètres!$A$1:$I$89,3,0)*VLOOKUP('Données projet'!$B$9,Paramètres!$A$1:$I$89,5,0)</f>
        <v>1.3596945791505279E-13</v>
      </c>
      <c r="P106" s="14">
        <f t="shared" si="87"/>
        <v>1.9708830566360721E-12</v>
      </c>
      <c r="Q106" s="22">
        <f t="shared" si="107"/>
        <v>3.669434796176543E-12</v>
      </c>
      <c r="R106" s="62">
        <f t="shared" si="55"/>
        <v>293.33333333333701</v>
      </c>
      <c r="S106" s="62">
        <f ca="1">AVERAGE(OFFSET($R$3,0,0,'Données projet'!$E$9+1,1))-AVERAGE(OFFSET($H$3,0,0,'Données projet'!$E$9+1,1))</f>
        <v>287.52077437571728</v>
      </c>
      <c r="T106" s="62">
        <f t="shared" si="88"/>
        <v>420.95891230839874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61.494256019224316</v>
      </c>
      <c r="AA106" s="23">
        <f>EXP(-LN(2)/25)*AA105+(1-EXP(-LN(2)/25))/(LN(2)/25)*Calculateur!V106*Calculateur!X106*VLOOKUP('Données projet'!$B$9,Paramètres!$A$1:$I$89,3,0)*0.475*44/12</f>
        <v>4.2841170970526461</v>
      </c>
      <c r="AB106" s="23">
        <f>EXP(-LN(2)/2)*AB105+(1-EXP(-LN(2)/2))/(LN(2)/2)*V106*Y106*VLOOKUP('Données projet'!$B$9,Paramètres!$A$1:$I$89,3,0)*0.475*44/12</f>
        <v>2.5531297307032705E-8</v>
      </c>
      <c r="AC106" s="24">
        <f t="shared" si="57"/>
        <v>65.77837314180826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>
        <f>AI106*VLOOKUP('Données projet'!$B$10,Paramètres!$A$1:$I$89,3,0)*VLOOKUP('Données projet'!$B$10,Paramètres!$A$1:$I$89,5,0)</f>
        <v>0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225.24357215754691</v>
      </c>
      <c r="AO106" s="62">
        <f t="shared" si="90"/>
        <v>569.2018208733989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15.438144106125064</v>
      </c>
      <c r="AV106" s="23">
        <f>EXP(-LN(2)/25)*AV105+(1-EXP(-LN(2)/25))/(LN(2)/25)*Calculateur!AQ106*Calculateur!AS106*VLOOKUP('Données projet'!$B$10,Paramètres!$A$1:$I$89,3,0)*0.475*44/12</f>
        <v>3.5883521675551493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19.026496273680213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2.2737367544323206E-13</v>
      </c>
      <c r="O107" s="14">
        <f>N107*VLOOKUP('Données projet'!$B$9,Paramètres!$A$1:$I$89,3,0)*VLOOKUP('Données projet'!$B$9,Paramètres!$A$1:$I$89,5,0)</f>
        <v>1.3596945791505279E-13</v>
      </c>
      <c r="P107" s="14">
        <f t="shared" si="87"/>
        <v>1.9708830566360721E-12</v>
      </c>
      <c r="Q107" s="22">
        <f t="shared" si="107"/>
        <v>3.669434796176543E-12</v>
      </c>
      <c r="R107" s="62">
        <f t="shared" si="55"/>
        <v>293.33333333333701</v>
      </c>
      <c r="S107" s="62">
        <f ca="1">AVERAGE(OFFSET($R$3,0,0,'Données projet'!$E$9+1,1))-AVERAGE(OFFSET($H$3,0,0,'Données projet'!$E$9+1,1))</f>
        <v>287.52077437571728</v>
      </c>
      <c r="T107" s="62">
        <f t="shared" si="88"/>
        <v>420.95891230839874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60.288391166479911</v>
      </c>
      <c r="AA107" s="23">
        <f>EXP(-LN(2)/25)*AA106+(1-EXP(-LN(2)/25))/(LN(2)/25)*Calculateur!V107*Calculateur!X107*VLOOKUP('Données projet'!$B$9,Paramètres!$A$1:$I$89,3,0)*0.475*44/12</f>
        <v>4.1669676897418144</v>
      </c>
      <c r="AB107" s="23">
        <f>EXP(-LN(2)/2)*AB106+(1-EXP(-LN(2)/2))/(LN(2)/2)*V107*Y107*VLOOKUP('Données projet'!$B$9,Paramètres!$A$1:$I$89,3,0)*0.475*44/12</f>
        <v>1.8053353458292665E-8</v>
      </c>
      <c r="AC107" s="24">
        <f t="shared" si="57"/>
        <v>64.455358874275078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>
        <f>AI107*VLOOKUP('Données projet'!$B$10,Paramètres!$A$1:$I$89,3,0)*VLOOKUP('Données projet'!$B$10,Paramètres!$A$1:$I$89,5,0)</f>
        <v>0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225.24357215754691</v>
      </c>
      <c r="AO107" s="62">
        <f t="shared" si="90"/>
        <v>569.2018208733989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15.135411516542069</v>
      </c>
      <c r="AV107" s="23">
        <f>EXP(-LN(2)/25)*AV106+(1-EXP(-LN(2)/25))/(LN(2)/25)*Calculateur!AQ107*Calculateur!AS107*VLOOKUP('Données projet'!$B$10,Paramètres!$A$1:$I$89,3,0)*0.475*44/12</f>
        <v>3.4902284888301147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18.625640005372183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2.2737367544323206E-13</v>
      </c>
      <c r="O108" s="14">
        <f>N108*VLOOKUP('Données projet'!$B$9,Paramètres!$A$1:$I$89,3,0)*VLOOKUP('Données projet'!$B$9,Paramètres!$A$1:$I$89,5,0)</f>
        <v>1.3596945791505279E-13</v>
      </c>
      <c r="P108" s="14">
        <f t="shared" si="87"/>
        <v>1.9708830566360721E-12</v>
      </c>
      <c r="Q108" s="22">
        <f t="shared" si="107"/>
        <v>3.669434796176543E-12</v>
      </c>
      <c r="R108" s="62">
        <f t="shared" si="55"/>
        <v>293.33333333333701</v>
      </c>
      <c r="S108" s="62">
        <f ca="1">AVERAGE(OFFSET($R$3,0,0,'Données projet'!$E$9+1,1))-AVERAGE(OFFSET($H$3,0,0,'Données projet'!$E$9+1,1))</f>
        <v>287.52077437571728</v>
      </c>
      <c r="T108" s="62">
        <f t="shared" si="88"/>
        <v>420.95891230839874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59.106172587992887</v>
      </c>
      <c r="AA108" s="23">
        <f>EXP(-LN(2)/25)*AA107+(1-EXP(-LN(2)/25))/(LN(2)/25)*Calculateur!V108*Calculateur!X108*VLOOKUP('Données projet'!$B$9,Paramètres!$A$1:$I$89,3,0)*0.475*44/12</f>
        <v>4.0530217391345174</v>
      </c>
      <c r="AB108" s="23">
        <f>EXP(-LN(2)/2)*AB107+(1-EXP(-LN(2)/2))/(LN(2)/2)*V108*Y108*VLOOKUP('Données projet'!$B$9,Paramètres!$A$1:$I$89,3,0)*0.475*44/12</f>
        <v>1.2765648653516353E-8</v>
      </c>
      <c r="AC108" s="24">
        <f t="shared" si="57"/>
        <v>63.159194339893048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>
        <f>AI108*VLOOKUP('Données projet'!$B$10,Paramètres!$A$1:$I$89,3,0)*VLOOKUP('Données projet'!$B$10,Paramètres!$A$1:$I$89,5,0)</f>
        <v>0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225.24357215754691</v>
      </c>
      <c r="AO108" s="62">
        <f t="shared" si="90"/>
        <v>569.2018208733989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14.83861532839215</v>
      </c>
      <c r="AV108" s="23">
        <f>EXP(-LN(2)/25)*AV107+(1-EXP(-LN(2)/25))/(LN(2)/25)*Calculateur!AQ108*Calculateur!AS108*VLOOKUP('Données projet'!$B$10,Paramètres!$A$1:$I$89,3,0)*0.475*44/12</f>
        <v>3.3947880072599159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18.233403335652067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2.2737367544323206E-13</v>
      </c>
      <c r="O109" s="14">
        <f>N109*VLOOKUP('Données projet'!$B$9,Paramètres!$A$1:$I$89,3,0)*VLOOKUP('Données projet'!$B$9,Paramètres!$A$1:$I$89,5,0)</f>
        <v>1.3596945791505279E-13</v>
      </c>
      <c r="P109" s="14">
        <f t="shared" si="87"/>
        <v>1.9708830566360721E-12</v>
      </c>
      <c r="Q109" s="22">
        <f t="shared" si="107"/>
        <v>3.669434796176543E-12</v>
      </c>
      <c r="R109" s="62">
        <f t="shared" si="55"/>
        <v>293.33333333333701</v>
      </c>
      <c r="S109" s="62">
        <f ca="1">AVERAGE(OFFSET($R$3,0,0,'Données projet'!$E$9+1,1))-AVERAGE(OFFSET($H$3,0,0,'Données projet'!$E$9+1,1))</f>
        <v>287.52077437571728</v>
      </c>
      <c r="T109" s="62">
        <f t="shared" si="88"/>
        <v>420.95891230839874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57.947136594747867</v>
      </c>
      <c r="AA109" s="23">
        <f>EXP(-LN(2)/25)*AA108+(1-EXP(-LN(2)/25))/(LN(2)/25)*Calculateur!V109*Calculateur!X109*VLOOKUP('Données projet'!$B$9,Paramètres!$A$1:$I$89,3,0)*0.475*44/12</f>
        <v>3.9421916465387339</v>
      </c>
      <c r="AB109" s="23">
        <f>EXP(-LN(2)/2)*AB108+(1-EXP(-LN(2)/2))/(LN(2)/2)*V109*Y109*VLOOKUP('Données projet'!$B$9,Paramètres!$A$1:$I$89,3,0)*0.475*44/12</f>
        <v>9.0266767291463325E-9</v>
      </c>
      <c r="AC109" s="24">
        <f t="shared" si="57"/>
        <v>61.889328250313277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>
        <f>AI109*VLOOKUP('Données projet'!$B$10,Paramètres!$A$1:$I$89,3,0)*VLOOKUP('Données projet'!$B$10,Paramètres!$A$1:$I$89,5,0)</f>
        <v>0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225.24357215754691</v>
      </c>
      <c r="AO109" s="62">
        <f t="shared" si="90"/>
        <v>569.2018208733989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14.547639132464051</v>
      </c>
      <c r="AV109" s="23">
        <f>EXP(-LN(2)/25)*AV108+(1-EXP(-LN(2)/25))/(LN(2)/25)*Calculateur!AQ109*Calculateur!AS109*VLOOKUP('Données projet'!$B$10,Paramètres!$A$1:$I$89,3,0)*0.475*44/12</f>
        <v>3.301957350677251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17.849596483141301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2.2737367544323206E-13</v>
      </c>
      <c r="O110" s="14">
        <f>N110*VLOOKUP('Données projet'!$B$9,Paramètres!$A$1:$I$89,3,0)*VLOOKUP('Données projet'!$B$9,Paramètres!$A$1:$I$89,5,0)</f>
        <v>1.3596945791505279E-13</v>
      </c>
      <c r="P110" s="14">
        <f t="shared" si="87"/>
        <v>1.9708830566360721E-12</v>
      </c>
      <c r="Q110" s="22">
        <f t="shared" si="107"/>
        <v>3.669434796176543E-12</v>
      </c>
      <c r="R110" s="62">
        <f t="shared" si="55"/>
        <v>293.33333333333701</v>
      </c>
      <c r="S110" s="62">
        <f ca="1">AVERAGE(OFFSET($R$3,0,0,'Données projet'!$E$9+1,1))-AVERAGE(OFFSET($H$3,0,0,'Données projet'!$E$9+1,1))</f>
        <v>287.52077437571728</v>
      </c>
      <c r="T110" s="62">
        <f t="shared" si="88"/>
        <v>420.95891230839874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56.810828590388226</v>
      </c>
      <c r="AA110" s="23">
        <f>EXP(-LN(2)/25)*AA109+(1-EXP(-LN(2)/25))/(LN(2)/25)*Calculateur!V110*Calculateur!X110*VLOOKUP('Données projet'!$B$9,Paramètres!$A$1:$I$89,3,0)*0.475*44/12</f>
        <v>3.8343922086532833</v>
      </c>
      <c r="AB110" s="23">
        <f>EXP(-LN(2)/2)*AB109+(1-EXP(-LN(2)/2))/(LN(2)/2)*V110*Y110*VLOOKUP('Données projet'!$B$9,Paramètres!$A$1:$I$89,3,0)*0.475*44/12</f>
        <v>6.3828243267581763E-9</v>
      </c>
      <c r="AC110" s="24">
        <f t="shared" si="57"/>
        <v>60.645220805424337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>
        <f>AI110*VLOOKUP('Données projet'!$B$10,Paramètres!$A$1:$I$89,3,0)*VLOOKUP('Données projet'!$B$10,Paramètres!$A$1:$I$89,5,0)</f>
        <v>0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225.24357215754691</v>
      </c>
      <c r="AO110" s="62">
        <f t="shared" si="90"/>
        <v>569.2018208733989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14.262368802260147</v>
      </c>
      <c r="AV110" s="23">
        <f>EXP(-LN(2)/25)*AV109+(1-EXP(-LN(2)/25))/(LN(2)/25)*Calculateur!AQ110*Calculateur!AS110*VLOOKUP('Données projet'!$B$10,Paramètres!$A$1:$I$89,3,0)*0.475*44/12</f>
        <v>3.2116651532805913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17.474033955540737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2.2737367544323206E-13</v>
      </c>
      <c r="O111" s="14">
        <f>N111*VLOOKUP('Données projet'!$B$9,Paramètres!$A$1:$I$89,3,0)*VLOOKUP('Données projet'!$B$9,Paramètres!$A$1:$I$89,5,0)</f>
        <v>1.3596945791505279E-13</v>
      </c>
      <c r="P111" s="14">
        <f t="shared" si="87"/>
        <v>1.9708830566360721E-12</v>
      </c>
      <c r="Q111" s="22">
        <f t="shared" si="107"/>
        <v>3.669434796176543E-12</v>
      </c>
      <c r="R111" s="62">
        <f t="shared" si="55"/>
        <v>293.33333333333701</v>
      </c>
      <c r="S111" s="62">
        <f ca="1">AVERAGE(OFFSET($R$3,0,0,'Données projet'!$E$9+1,1))-AVERAGE(OFFSET($H$3,0,0,'Données projet'!$E$9+1,1))</f>
        <v>287.52077437571728</v>
      </c>
      <c r="T111" s="62">
        <f t="shared" si="88"/>
        <v>420.95891230839874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55.696802892914633</v>
      </c>
      <c r="AA111" s="23">
        <f>EXP(-LN(2)/25)*AA110+(1-EXP(-LN(2)/25))/(LN(2)/25)*Calculateur!V111*Calculateur!X111*VLOOKUP('Données projet'!$B$9,Paramètres!$A$1:$I$89,3,0)*0.475*44/12</f>
        <v>3.7295405520657368</v>
      </c>
      <c r="AB111" s="23">
        <f>EXP(-LN(2)/2)*AB110+(1-EXP(-LN(2)/2))/(LN(2)/2)*V111*Y111*VLOOKUP('Données projet'!$B$9,Paramètres!$A$1:$I$89,3,0)*0.475*44/12</f>
        <v>4.5133383645731662E-9</v>
      </c>
      <c r="AC111" s="24">
        <f t="shared" si="57"/>
        <v>59.426343449493707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>
        <f>AI111*VLOOKUP('Données projet'!$B$10,Paramètres!$A$1:$I$89,3,0)*VLOOKUP('Données projet'!$B$10,Paramètres!$A$1:$I$89,5,0)</f>
        <v>0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225.24357215754691</v>
      </c>
      <c r="AO111" s="62">
        <f t="shared" si="90"/>
        <v>569.2018208733989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13.982692449233822</v>
      </c>
      <c r="AV111" s="23">
        <f>EXP(-LN(2)/25)*AV110+(1-EXP(-LN(2)/25))/(LN(2)/25)*Calculateur!AQ111*Calculateur!AS111*VLOOKUP('Données projet'!$B$10,Paramètres!$A$1:$I$89,3,0)*0.475*44/12</f>
        <v>3.1238420007700034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17.106534450003824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2.2737367544323206E-13</v>
      </c>
      <c r="O112" s="14">
        <f>N112*VLOOKUP('Données projet'!$B$9,Paramètres!$A$1:$I$89,3,0)*VLOOKUP('Données projet'!$B$9,Paramètres!$A$1:$I$89,5,0)</f>
        <v>1.3596945791505279E-13</v>
      </c>
      <c r="P112" s="14">
        <f t="shared" si="87"/>
        <v>1.9708830566360721E-12</v>
      </c>
      <c r="Q112" s="22">
        <f t="shared" si="107"/>
        <v>3.669434796176543E-12</v>
      </c>
      <c r="R112" s="62">
        <f t="shared" si="55"/>
        <v>293.33333333333701</v>
      </c>
      <c r="S112" s="62">
        <f ca="1">AVERAGE(OFFSET($R$3,0,0,'Données projet'!$E$9+1,1))-AVERAGE(OFFSET($H$3,0,0,'Données projet'!$E$9+1,1))</f>
        <v>287.52077437571728</v>
      </c>
      <c r="T112" s="62">
        <f t="shared" si="88"/>
        <v>420.95891230839874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54.604622559879914</v>
      </c>
      <c r="AA112" s="23">
        <f>EXP(-LN(2)/25)*AA111+(1-EXP(-LN(2)/25))/(LN(2)/25)*Calculateur!V112*Calculateur!X112*VLOOKUP('Données projet'!$B$9,Paramètres!$A$1:$I$89,3,0)*0.475*44/12</f>
        <v>3.6275560695414857</v>
      </c>
      <c r="AB112" s="23">
        <f>EXP(-LN(2)/2)*AB111+(1-EXP(-LN(2)/2))/(LN(2)/2)*V112*Y112*VLOOKUP('Données projet'!$B$9,Paramètres!$A$1:$I$89,3,0)*0.475*44/12</f>
        <v>3.1914121633790882E-9</v>
      </c>
      <c r="AC112" s="24">
        <f t="shared" si="57"/>
        <v>58.232178632612808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>
        <f>AI112*VLOOKUP('Données projet'!$B$10,Paramètres!$A$1:$I$89,3,0)*VLOOKUP('Données projet'!$B$10,Paramètres!$A$1:$I$89,5,0)</f>
        <v>0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225.24357215754691</v>
      </c>
      <c r="AO112" s="62">
        <f t="shared" si="90"/>
        <v>569.2018208733989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13.708500378904612</v>
      </c>
      <c r="AV112" s="23">
        <f>EXP(-LN(2)/25)*AV111+(1-EXP(-LN(2)/25))/(LN(2)/25)*Calculateur!AQ112*Calculateur!AS112*VLOOKUP('Données projet'!$B$10,Paramètres!$A$1:$I$89,3,0)*0.475*44/12</f>
        <v>3.0384203769832365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16.746920755887849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2.2737367544323206E-13</v>
      </c>
      <c r="O113" s="14">
        <f>N113*VLOOKUP('Données projet'!$B$9,Paramètres!$A$1:$I$89,3,0)*VLOOKUP('Données projet'!$B$9,Paramètres!$A$1:$I$89,5,0)</f>
        <v>1.3596945791505279E-13</v>
      </c>
      <c r="P113" s="14">
        <f t="shared" si="87"/>
        <v>1.9708830566360721E-12</v>
      </c>
      <c r="Q113" s="22">
        <f t="shared" si="107"/>
        <v>3.669434796176543E-12</v>
      </c>
      <c r="R113" s="62">
        <f t="shared" si="55"/>
        <v>293.33333333333701</v>
      </c>
      <c r="S113" s="62">
        <f ca="1">AVERAGE(OFFSET($R$3,0,0,'Données projet'!$E$9+1,1))-AVERAGE(OFFSET($H$3,0,0,'Données projet'!$E$9+1,1))</f>
        <v>287.52077437571728</v>
      </c>
      <c r="T113" s="62">
        <f t="shared" si="88"/>
        <v>420.95891230839874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53.533859217011781</v>
      </c>
      <c r="AA113" s="23">
        <f>EXP(-LN(2)/25)*AA112+(1-EXP(-LN(2)/25))/(LN(2)/25)*Calculateur!V113*Calculateur!X113*VLOOKUP('Données projet'!$B$9,Paramètres!$A$1:$I$89,3,0)*0.475*44/12</f>
        <v>3.5283603580549912</v>
      </c>
      <c r="AB113" s="23">
        <f>EXP(-LN(2)/2)*AB112+(1-EXP(-LN(2)/2))/(LN(2)/2)*V113*Y113*VLOOKUP('Données projet'!$B$9,Paramètres!$A$1:$I$89,3,0)*0.475*44/12</f>
        <v>2.2566691822865831E-9</v>
      </c>
      <c r="AC113" s="24">
        <f t="shared" si="57"/>
        <v>57.06221957732344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>
        <f>AI113*VLOOKUP('Données projet'!$B$10,Paramètres!$A$1:$I$89,3,0)*VLOOKUP('Données projet'!$B$10,Paramètres!$A$1:$I$89,5,0)</f>
        <v>0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225.24357215754691</v>
      </c>
      <c r="AO113" s="62">
        <f t="shared" si="90"/>
        <v>569.2018208733989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13.439685047833908</v>
      </c>
      <c r="AV113" s="23">
        <f>EXP(-LN(2)/25)*AV112+(1-EXP(-LN(2)/25))/(LN(2)/25)*Calculateur!AQ113*Calculateur!AS113*VLOOKUP('Données projet'!$B$10,Paramètres!$A$1:$I$89,3,0)*0.475*44/12</f>
        <v>2.9553346119910469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16.395019659824953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2.2737367544323206E-13</v>
      </c>
      <c r="O114" s="14">
        <f>N114*VLOOKUP('Données projet'!$B$9,Paramètres!$A$1:$I$89,3,0)*VLOOKUP('Données projet'!$B$9,Paramètres!$A$1:$I$89,5,0)</f>
        <v>1.3596945791505279E-13</v>
      </c>
      <c r="P114" s="14">
        <f t="shared" si="87"/>
        <v>1.9708830566360721E-12</v>
      </c>
      <c r="Q114" s="22">
        <f t="shared" si="107"/>
        <v>3.669434796176543E-12</v>
      </c>
      <c r="R114" s="62">
        <f t="shared" si="55"/>
        <v>293.33333333333701</v>
      </c>
      <c r="S114" s="62">
        <f ca="1">AVERAGE(OFFSET($R$3,0,0,'Données projet'!$E$9+1,1))-AVERAGE(OFFSET($H$3,0,0,'Données projet'!$E$9+1,1))</f>
        <v>287.52077437571728</v>
      </c>
      <c r="T114" s="62">
        <f t="shared" si="88"/>
        <v>420.95891230839874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52.484092890196145</v>
      </c>
      <c r="AA114" s="23">
        <f>EXP(-LN(2)/25)*AA113+(1-EXP(-LN(2)/25))/(LN(2)/25)*Calculateur!V114*Calculateur!X114*VLOOKUP('Données projet'!$B$9,Paramètres!$A$1:$I$89,3,0)*0.475*44/12</f>
        <v>3.4318771585155705</v>
      </c>
      <c r="AB114" s="23">
        <f>EXP(-LN(2)/2)*AB113+(1-EXP(-LN(2)/2))/(LN(2)/2)*V114*Y114*VLOOKUP('Données projet'!$B$9,Paramètres!$A$1:$I$89,3,0)*0.475*44/12</f>
        <v>1.5957060816895441E-9</v>
      </c>
      <c r="AC114" s="24">
        <f t="shared" si="57"/>
        <v>55.915970050307422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>
        <f>AI114*VLOOKUP('Données projet'!$B$10,Paramètres!$A$1:$I$89,3,0)*VLOOKUP('Données projet'!$B$10,Paramètres!$A$1:$I$89,5,0)</f>
        <v>0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225.24357215754691</v>
      </c>
      <c r="AO114" s="62">
        <f t="shared" si="90"/>
        <v>569.2018208733989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13.176141021444339</v>
      </c>
      <c r="AV114" s="23">
        <f>EXP(-LN(2)/25)*AV113+(1-EXP(-LN(2)/25))/(LN(2)/25)*Calculateur!AQ114*Calculateur!AS114*VLOOKUP('Données projet'!$B$10,Paramètres!$A$1:$I$89,3,0)*0.475*44/12</f>
        <v>2.8745208316118589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16.050661853056198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2.2737367544323206E-13</v>
      </c>
      <c r="O115" s="14">
        <f>N115*VLOOKUP('Données projet'!$B$9,Paramètres!$A$1:$I$89,3,0)*VLOOKUP('Données projet'!$B$9,Paramètres!$A$1:$I$89,5,0)</f>
        <v>1.3596945791505279E-13</v>
      </c>
      <c r="P115" s="14">
        <f t="shared" si="87"/>
        <v>1.9708830566360721E-12</v>
      </c>
      <c r="Q115" s="22">
        <f t="shared" si="107"/>
        <v>3.669434796176543E-12</v>
      </c>
      <c r="R115" s="62">
        <f t="shared" si="55"/>
        <v>293.33333333333701</v>
      </c>
      <c r="S115" s="62">
        <f ca="1">AVERAGE(OFFSET($R$3,0,0,'Données projet'!$E$9+1,1))-AVERAGE(OFFSET($H$3,0,0,'Données projet'!$E$9+1,1))</f>
        <v>287.52077437571728</v>
      </c>
      <c r="T115" s="62">
        <f t="shared" si="88"/>
        <v>420.95891230839874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51.454911840755123</v>
      </c>
      <c r="AA115" s="23">
        <f>EXP(-LN(2)/25)*AA114+(1-EXP(-LN(2)/25))/(LN(2)/25)*Calculateur!V115*Calculateur!X115*VLOOKUP('Données projet'!$B$9,Paramètres!$A$1:$I$89,3,0)*0.475*44/12</f>
        <v>3.3380322971413863</v>
      </c>
      <c r="AB115" s="23">
        <f>EXP(-LN(2)/2)*AB114+(1-EXP(-LN(2)/2))/(LN(2)/2)*V115*Y115*VLOOKUP('Données projet'!$B$9,Paramètres!$A$1:$I$89,3,0)*0.475*44/12</f>
        <v>1.1283345911432916E-9</v>
      </c>
      <c r="AC115" s="24">
        <f t="shared" si="57"/>
        <v>54.792944139024847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>
        <f>AI115*VLOOKUP('Données projet'!$B$10,Paramètres!$A$1:$I$89,3,0)*VLOOKUP('Données projet'!$B$10,Paramètres!$A$1:$I$89,5,0)</f>
        <v>0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225.24357215754691</v>
      </c>
      <c r="AO115" s="62">
        <f t="shared" si="90"/>
        <v>569.2018208733989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12.917764932666286</v>
      </c>
      <c r="AV115" s="23">
        <f>EXP(-LN(2)/25)*AV114+(1-EXP(-LN(2)/25))/(LN(2)/25)*Calculateur!AQ115*Calculateur!AS115*VLOOKUP('Données projet'!$B$10,Paramètres!$A$1:$I$89,3,0)*0.475*44/12</f>
        <v>2.7959169083069519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15.713681840973237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2.2737367544323206E-13</v>
      </c>
      <c r="O116" s="14">
        <f>N116*VLOOKUP('Données projet'!$B$9,Paramètres!$A$1:$I$89,3,0)*VLOOKUP('Données projet'!$B$9,Paramètres!$A$1:$I$89,5,0)</f>
        <v>1.3596945791505279E-13</v>
      </c>
      <c r="P116" s="14">
        <f t="shared" si="87"/>
        <v>1.9708830566360721E-12</v>
      </c>
      <c r="Q116" s="22">
        <f t="shared" si="107"/>
        <v>3.669434796176543E-12</v>
      </c>
      <c r="R116" s="62">
        <f t="shared" si="55"/>
        <v>293.33333333333701</v>
      </c>
      <c r="S116" s="62">
        <f ca="1">AVERAGE(OFFSET($R$3,0,0,'Données projet'!$E$9+1,1))-AVERAGE(OFFSET($H$3,0,0,'Données projet'!$E$9+1,1))</f>
        <v>287.52077437571728</v>
      </c>
      <c r="T116" s="62">
        <f t="shared" si="88"/>
        <v>420.95891230839874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50.445912403955184</v>
      </c>
      <c r="AA116" s="23">
        <f>EXP(-LN(2)/25)*AA115+(1-EXP(-LN(2)/25))/(LN(2)/25)*Calculateur!V116*Calculateur!X116*VLOOKUP('Données projet'!$B$9,Paramètres!$A$1:$I$89,3,0)*0.475*44/12</f>
        <v>3.2467536284365659</v>
      </c>
      <c r="AB116" s="23">
        <f>EXP(-LN(2)/2)*AB115+(1-EXP(-LN(2)/2))/(LN(2)/2)*V116*Y116*VLOOKUP('Données projet'!$B$9,Paramètres!$A$1:$I$89,3,0)*0.475*44/12</f>
        <v>7.9785304084477204E-10</v>
      </c>
      <c r="AC116" s="24">
        <f t="shared" si="57"/>
        <v>53.692666033189603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>
        <f>AI116*VLOOKUP('Données projet'!$B$10,Paramètres!$A$1:$I$89,3,0)*VLOOKUP('Données projet'!$B$10,Paramètres!$A$1:$I$89,5,0)</f>
        <v>0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225.24357215754691</v>
      </c>
      <c r="AO116" s="62">
        <f t="shared" si="90"/>
        <v>569.2018208733989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12.664455441395317</v>
      </c>
      <c r="AV116" s="23">
        <f>EXP(-LN(2)/25)*AV115+(1-EXP(-LN(2)/25))/(LN(2)/25)*Calculateur!AQ116*Calculateur!AS116*VLOOKUP('Données projet'!$B$10,Paramètres!$A$1:$I$89,3,0)*0.475*44/12</f>
        <v>2.7194624134184182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15.383917854813735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2.2737367544323206E-13</v>
      </c>
      <c r="O117" s="14">
        <f>N117*VLOOKUP('Données projet'!$B$9,Paramètres!$A$1:$I$89,3,0)*VLOOKUP('Données projet'!$B$9,Paramètres!$A$1:$I$89,5,0)</f>
        <v>1.3596945791505279E-13</v>
      </c>
      <c r="P117" s="14">
        <f t="shared" si="87"/>
        <v>1.9708830566360721E-12</v>
      </c>
      <c r="Q117" s="22">
        <f t="shared" si="107"/>
        <v>3.669434796176543E-12</v>
      </c>
      <c r="R117" s="62">
        <f t="shared" si="55"/>
        <v>293.33333333333701</v>
      </c>
      <c r="S117" s="62">
        <f ca="1">AVERAGE(OFFSET($R$3,0,0,'Données projet'!$E$9+1,1))-AVERAGE(OFFSET($H$3,0,0,'Données projet'!$E$9+1,1))</f>
        <v>287.52077437571728</v>
      </c>
      <c r="T117" s="62">
        <f t="shared" si="88"/>
        <v>420.95891230839874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49.456698830682008</v>
      </c>
      <c r="AA117" s="23">
        <f>EXP(-LN(2)/25)*AA116+(1-EXP(-LN(2)/25))/(LN(2)/25)*Calculateur!V117*Calculateur!X117*VLOOKUP('Données projet'!$B$9,Paramètres!$A$1:$I$89,3,0)*0.475*44/12</f>
        <v>3.1579709797276152</v>
      </c>
      <c r="AB117" s="23">
        <f>EXP(-LN(2)/2)*AB116+(1-EXP(-LN(2)/2))/(LN(2)/2)*V117*Y117*VLOOKUP('Données projet'!$B$9,Paramètres!$A$1:$I$89,3,0)*0.475*44/12</f>
        <v>5.6416729557164578E-10</v>
      </c>
      <c r="AC117" s="24">
        <f t="shared" si="57"/>
        <v>52.614669810973787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>
        <f>AI117*VLOOKUP('Données projet'!$B$10,Paramètres!$A$1:$I$89,3,0)*VLOOKUP('Données projet'!$B$10,Paramètres!$A$1:$I$89,5,0)</f>
        <v>0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225.24357215754691</v>
      </c>
      <c r="AO117" s="62">
        <f t="shared" si="90"/>
        <v>569.2018208733989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12.416113194744637</v>
      </c>
      <c r="AV117" s="23">
        <f>EXP(-LN(2)/25)*AV116+(1-EXP(-LN(2)/25))/(LN(2)/25)*Calculateur!AQ117*Calculateur!AS117*VLOOKUP('Données projet'!$B$10,Paramètres!$A$1:$I$89,3,0)*0.475*44/12</f>
        <v>2.6450985707131784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15.061211765457816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2.2737367544323206E-13</v>
      </c>
      <c r="O118" s="14">
        <f>N118*VLOOKUP('Données projet'!$B$9,Paramètres!$A$1:$I$89,3,0)*VLOOKUP('Données projet'!$B$9,Paramètres!$A$1:$I$89,5,0)</f>
        <v>1.3596945791505279E-13</v>
      </c>
      <c r="P118" s="14">
        <f t="shared" si="87"/>
        <v>1.9708830566360721E-12</v>
      </c>
      <c r="Q118" s="22">
        <f t="shared" si="107"/>
        <v>3.669434796176543E-12</v>
      </c>
      <c r="R118" s="62">
        <f t="shared" si="55"/>
        <v>293.33333333333701</v>
      </c>
      <c r="S118" s="62">
        <f ca="1">AVERAGE(OFFSET($R$3,0,0,'Données projet'!$E$9+1,1))-AVERAGE(OFFSET($H$3,0,0,'Données projet'!$E$9+1,1))</f>
        <v>287.52077437571728</v>
      </c>
      <c r="T118" s="62">
        <f t="shared" si="88"/>
        <v>420.95891230839874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48.486883132220015</v>
      </c>
      <c r="AA118" s="23">
        <f>EXP(-LN(2)/25)*AA117+(1-EXP(-LN(2)/25))/(LN(2)/25)*Calculateur!V118*Calculateur!X118*VLOOKUP('Données projet'!$B$9,Paramètres!$A$1:$I$89,3,0)*0.475*44/12</f>
        <v>3.0716160972164874</v>
      </c>
      <c r="AB118" s="23">
        <f>EXP(-LN(2)/2)*AB117+(1-EXP(-LN(2)/2))/(LN(2)/2)*V118*Y118*VLOOKUP('Données projet'!$B$9,Paramètres!$A$1:$I$89,3,0)*0.475*44/12</f>
        <v>3.9892652042238602E-10</v>
      </c>
      <c r="AC118" s="24">
        <f t="shared" si="57"/>
        <v>51.558499229835427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>
        <f>AI118*VLOOKUP('Données projet'!$B$10,Paramètres!$A$1:$I$89,3,0)*VLOOKUP('Données projet'!$B$10,Paramètres!$A$1:$I$89,5,0)</f>
        <v>0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225.24357215754691</v>
      </c>
      <c r="AO118" s="62">
        <f t="shared" si="90"/>
        <v>569.2018208733989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12.172640788076965</v>
      </c>
      <c r="AV118" s="23">
        <f>EXP(-LN(2)/25)*AV117+(1-EXP(-LN(2)/25))/(LN(2)/25)*Calculateur!AQ118*Calculateur!AS118*VLOOKUP('Données projet'!$B$10,Paramètres!$A$1:$I$89,3,0)*0.475*44/12</f>
        <v>2.5727682111973382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14.745408999274304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2.2737367544323206E-13</v>
      </c>
      <c r="O119" s="14">
        <f>N119*VLOOKUP('Données projet'!$B$9,Paramètres!$A$1:$I$89,3,0)*VLOOKUP('Données projet'!$B$9,Paramètres!$A$1:$I$89,5,0)</f>
        <v>1.3596945791505279E-13</v>
      </c>
      <c r="P119" s="14">
        <f t="shared" si="87"/>
        <v>1.9708830566360721E-12</v>
      </c>
      <c r="Q119" s="22">
        <f t="shared" si="107"/>
        <v>3.669434796176543E-12</v>
      </c>
      <c r="R119" s="62">
        <f t="shared" si="55"/>
        <v>293.33333333333701</v>
      </c>
      <c r="S119" s="62">
        <f ca="1">AVERAGE(OFFSET($R$3,0,0,'Données projet'!$E$9+1,1))-AVERAGE(OFFSET($H$3,0,0,'Données projet'!$E$9+1,1))</f>
        <v>287.52077437571728</v>
      </c>
      <c r="T119" s="62">
        <f t="shared" si="88"/>
        <v>420.95891230839874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47.536084928075695</v>
      </c>
      <c r="AA119" s="23">
        <f>EXP(-LN(2)/25)*AA118+(1-EXP(-LN(2)/25))/(LN(2)/25)*Calculateur!V119*Calculateur!X119*VLOOKUP('Données projet'!$B$9,Paramètres!$A$1:$I$89,3,0)*0.475*44/12</f>
        <v>2.9876225935088323</v>
      </c>
      <c r="AB119" s="23">
        <f>EXP(-LN(2)/2)*AB118+(1-EXP(-LN(2)/2))/(LN(2)/2)*V119*Y119*VLOOKUP('Données projet'!$B$9,Paramètres!$A$1:$I$89,3,0)*0.475*44/12</f>
        <v>2.8208364778582289E-10</v>
      </c>
      <c r="AC119" s="24">
        <f t="shared" si="57"/>
        <v>50.523707521866612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225.24357215754691</v>
      </c>
      <c r="AO119" s="62">
        <f t="shared" si="90"/>
        <v>569.2018208733989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11.93394272680054</v>
      </c>
      <c r="AV119" s="23">
        <f>EXP(-LN(2)/25)*AV118+(1-EXP(-LN(2)/25))/(LN(2)/25)*Calculateur!AQ119*Calculateur!AS119*VLOOKUP('Données projet'!$B$10,Paramètres!$A$1:$I$89,3,0)*0.475*44/12</f>
        <v>2.5024157291661471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14.436358455966687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2.2737367544323206E-13</v>
      </c>
      <c r="O120" s="14">
        <f>N120*VLOOKUP('Données projet'!$B$9,Paramètres!$A$1:$I$89,3,0)*VLOOKUP('Données projet'!$B$9,Paramètres!$A$1:$I$89,5,0)</f>
        <v>1.3596945791505279E-13</v>
      </c>
      <c r="P120" s="14">
        <f t="shared" si="87"/>
        <v>1.9708830566360721E-12</v>
      </c>
      <c r="Q120" s="22">
        <f t="shared" si="107"/>
        <v>3.669434796176543E-12</v>
      </c>
      <c r="R120" s="62">
        <f t="shared" si="55"/>
        <v>293.33333333333701</v>
      </c>
      <c r="S120" s="62">
        <f ca="1">AVERAGE(OFFSET($R$3,0,0,'Données projet'!$E$9+1,1))-AVERAGE(OFFSET($H$3,0,0,'Données projet'!$E$9+1,1))</f>
        <v>287.52077437571728</v>
      </c>
      <c r="T120" s="62">
        <f t="shared" si="88"/>
        <v>420.95891230839874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46.603931296784999</v>
      </c>
      <c r="AA120" s="23">
        <f>EXP(-LN(2)/25)*AA119+(1-EXP(-LN(2)/25))/(LN(2)/25)*Calculateur!V120*Calculateur!X120*VLOOKUP('Données projet'!$B$9,Paramètres!$A$1:$I$89,3,0)*0.475*44/12</f>
        <v>2.9059258965770893</v>
      </c>
      <c r="AB120" s="23">
        <f>EXP(-LN(2)/2)*AB119+(1-EXP(-LN(2)/2))/(LN(2)/2)*V120*Y120*VLOOKUP('Données projet'!$B$9,Paramètres!$A$1:$I$89,3,0)*0.475*44/12</f>
        <v>1.9946326021119301E-10</v>
      </c>
      <c r="AC120" s="24">
        <f t="shared" si="57"/>
        <v>49.509857193561551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225.24357215754691</v>
      </c>
      <c r="AO120" s="62">
        <f t="shared" si="90"/>
        <v>569.2018208733989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11.699925388914304</v>
      </c>
      <c r="AV120" s="23">
        <f>EXP(-LN(2)/25)*AV119+(1-EXP(-LN(2)/25))/(LN(2)/25)*Calculateur!AQ120*Calculateur!AS120*VLOOKUP('Données projet'!$B$10,Paramètres!$A$1:$I$89,3,0)*0.475*44/12</f>
        <v>2.4339870394557748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14.133912428370078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2.2737367544323206E-13</v>
      </c>
      <c r="O121" s="14">
        <f>N121*VLOOKUP('Données projet'!$B$9,Paramètres!$A$1:$I$89,3,0)*VLOOKUP('Données projet'!$B$9,Paramètres!$A$1:$I$89,5,0)</f>
        <v>1.3596945791505279E-13</v>
      </c>
      <c r="P121" s="14">
        <f t="shared" si="87"/>
        <v>1.9708830566360721E-12</v>
      </c>
      <c r="Q121" s="22">
        <f t="shared" si="107"/>
        <v>3.669434796176543E-12</v>
      </c>
      <c r="R121" s="62">
        <f t="shared" si="55"/>
        <v>293.33333333333701</v>
      </c>
      <c r="S121" s="62">
        <f ca="1">AVERAGE(OFFSET($R$3,0,0,'Données projet'!$E$9+1,1))-AVERAGE(OFFSET($H$3,0,0,'Données projet'!$E$9+1,1))</f>
        <v>287.52077437571728</v>
      </c>
      <c r="T121" s="62">
        <f t="shared" si="88"/>
        <v>420.95891230839874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45.690056629646342</v>
      </c>
      <c r="AA121" s="23">
        <f>EXP(-LN(2)/25)*AA120+(1-EXP(-LN(2)/25))/(LN(2)/25)*Calculateur!V121*Calculateur!X121*VLOOKUP('Données projet'!$B$9,Paramètres!$A$1:$I$89,3,0)*0.475*44/12</f>
        <v>2.8264632001191874</v>
      </c>
      <c r="AB121" s="23">
        <f>EXP(-LN(2)/2)*AB120+(1-EXP(-LN(2)/2))/(LN(2)/2)*V121*Y121*VLOOKUP('Données projet'!$B$9,Paramètres!$A$1:$I$89,3,0)*0.475*44/12</f>
        <v>1.4104182389291144E-10</v>
      </c>
      <c r="AC121" s="24">
        <f t="shared" si="57"/>
        <v>48.516519829906571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225.24357215754691</v>
      </c>
      <c r="AO121" s="62">
        <f t="shared" si="90"/>
        <v>569.2018208733989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11.470496988287536</v>
      </c>
      <c r="AV121" s="23">
        <f>EXP(-LN(2)/25)*AV120+(1-EXP(-LN(2)/25))/(LN(2)/25)*Calculateur!AQ121*Calculateur!AS121*VLOOKUP('Données projet'!$B$10,Paramètres!$A$1:$I$89,3,0)*0.475*44/12</f>
        <v>2.3674295358640411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13.837926524151577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2.2737367544323206E-13</v>
      </c>
      <c r="O122" s="14">
        <f>N122*VLOOKUP('Données projet'!$B$9,Paramètres!$A$1:$I$89,3,0)*VLOOKUP('Données projet'!$B$9,Paramètres!$A$1:$I$89,5,0)</f>
        <v>1.3596945791505279E-13</v>
      </c>
      <c r="P122" s="14">
        <f t="shared" si="87"/>
        <v>1.9708830566360721E-12</v>
      </c>
      <c r="Q122" s="22">
        <f t="shared" si="107"/>
        <v>3.669434796176543E-12</v>
      </c>
      <c r="R122" s="62">
        <f t="shared" si="55"/>
        <v>293.33333333333701</v>
      </c>
      <c r="S122" s="62">
        <f ca="1">AVERAGE(OFFSET($R$3,0,0,'Données projet'!$E$9+1,1))-AVERAGE(OFFSET($H$3,0,0,'Données projet'!$E$9+1,1))</f>
        <v>287.52077437571728</v>
      </c>
      <c r="T122" s="62">
        <f t="shared" si="88"/>
        <v>420.95891230839874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44.794102487321766</v>
      </c>
      <c r="AA122" s="23">
        <f>EXP(-LN(2)/25)*AA121+(1-EXP(-LN(2)/25))/(LN(2)/25)*Calculateur!V122*Calculateur!X122*VLOOKUP('Données projet'!$B$9,Paramètres!$A$1:$I$89,3,0)*0.475*44/12</f>
        <v>2.7491734152746883</v>
      </c>
      <c r="AB122" s="23">
        <f>EXP(-LN(2)/2)*AB121+(1-EXP(-LN(2)/2))/(LN(2)/2)*V122*Y122*VLOOKUP('Données projet'!$B$9,Paramètres!$A$1:$I$89,3,0)*0.475*44/12</f>
        <v>9.9731630105596505E-11</v>
      </c>
      <c r="AC122" s="24">
        <f t="shared" si="57"/>
        <v>47.543275902696188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225.24357215754691</v>
      </c>
      <c r="AO122" s="62">
        <f t="shared" si="90"/>
        <v>569.2018208733989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11.245567538659552</v>
      </c>
      <c r="AV122" s="23">
        <f>EXP(-LN(2)/25)*AV121+(1-EXP(-LN(2)/25))/(LN(2)/25)*Calculateur!AQ122*Calculateur!AS122*VLOOKUP('Données projet'!$B$10,Paramètres!$A$1:$I$89,3,0)*0.475*44/12</f>
        <v>2.3026920507081305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13.548259589367682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2.2737367544323206E-13</v>
      </c>
      <c r="O123" s="14">
        <f>N123*VLOOKUP('Données projet'!$B$9,Paramètres!$A$1:$I$89,3,0)*VLOOKUP('Données projet'!$B$9,Paramètres!$A$1:$I$89,5,0)</f>
        <v>1.3596945791505279E-13</v>
      </c>
      <c r="P123" s="14">
        <f t="shared" si="87"/>
        <v>1.9708830566360721E-12</v>
      </c>
      <c r="Q123" s="22">
        <f t="shared" si="107"/>
        <v>3.669434796176543E-12</v>
      </c>
      <c r="R123" s="62">
        <f t="shared" si="55"/>
        <v>293.33333333333701</v>
      </c>
      <c r="S123" s="62">
        <f ca="1">AVERAGE(OFFSET($R$3,0,0,'Données projet'!$E$9+1,1))-AVERAGE(OFFSET($H$3,0,0,'Données projet'!$E$9+1,1))</f>
        <v>287.52077437571728</v>
      </c>
      <c r="T123" s="62">
        <f t="shared" si="88"/>
        <v>420.95891230839874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43.915717459250111</v>
      </c>
      <c r="AA123" s="23">
        <f>EXP(-LN(2)/25)*AA122+(1-EXP(-LN(2)/25))/(LN(2)/25)*Calculateur!V123*Calculateur!X123*VLOOKUP('Données projet'!$B$9,Paramètres!$A$1:$I$89,3,0)*0.475*44/12</f>
        <v>2.6739971236612554</v>
      </c>
      <c r="AB123" s="23">
        <f>EXP(-LN(2)/2)*AB122+(1-EXP(-LN(2)/2))/(LN(2)/2)*V123*Y123*VLOOKUP('Données projet'!$B$9,Paramètres!$A$1:$I$89,3,0)*0.475*44/12</f>
        <v>7.0520911946455722E-11</v>
      </c>
      <c r="AC123" s="24">
        <f t="shared" si="57"/>
        <v>46.589714582981891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225.24357215754691</v>
      </c>
      <c r="AO123" s="62">
        <f t="shared" si="90"/>
        <v>569.2018208733989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11.025048818345354</v>
      </c>
      <c r="AV123" s="23">
        <f>EXP(-LN(2)/25)*AV122+(1-EXP(-LN(2)/25))/(LN(2)/25)*Calculateur!AQ123*Calculateur!AS123*VLOOKUP('Données projet'!$B$10,Paramètres!$A$1:$I$89,3,0)*0.475*44/12</f>
        <v>2.2397248154882048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13.26477363383356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2.2737367544323206E-13</v>
      </c>
      <c r="O124" s="14">
        <f>N124*VLOOKUP('Données projet'!$B$9,Paramètres!$A$1:$I$89,3,0)*VLOOKUP('Données projet'!$B$9,Paramètres!$A$1:$I$89,5,0)</f>
        <v>1.3596945791505279E-13</v>
      </c>
      <c r="P124" s="14">
        <f t="shared" si="87"/>
        <v>1.9708830566360721E-12</v>
      </c>
      <c r="Q124" s="22">
        <f t="shared" si="107"/>
        <v>3.669434796176543E-12</v>
      </c>
      <c r="R124" s="62">
        <f t="shared" si="55"/>
        <v>293.33333333333701</v>
      </c>
      <c r="S124" s="62">
        <f ca="1">AVERAGE(OFFSET($R$3,0,0,'Données projet'!$E$9+1,1))-AVERAGE(OFFSET($H$3,0,0,'Données projet'!$E$9+1,1))</f>
        <v>287.52077437571728</v>
      </c>
      <c r="T124" s="62">
        <f t="shared" si="88"/>
        <v>420.95891230839874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43.054557025816976</v>
      </c>
      <c r="AA124" s="23">
        <f>EXP(-LN(2)/25)*AA123+(1-EXP(-LN(2)/25))/(LN(2)/25)*Calculateur!V124*Calculateur!X124*VLOOKUP('Données projet'!$B$9,Paramètres!$A$1:$I$89,3,0)*0.475*44/12</f>
        <v>2.6008765316953411</v>
      </c>
      <c r="AB124" s="23">
        <f>EXP(-LN(2)/2)*AB123+(1-EXP(-LN(2)/2))/(LN(2)/2)*V124*Y124*VLOOKUP('Données projet'!$B$9,Paramètres!$A$1:$I$89,3,0)*0.475*44/12</f>
        <v>4.9865815052798253E-11</v>
      </c>
      <c r="AC124" s="24">
        <f t="shared" si="57"/>
        <v>45.655433557562183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225.24357215754691</v>
      </c>
      <c r="AO124" s="62">
        <f t="shared" si="90"/>
        <v>569.2018208733989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10.808854335633381</v>
      </c>
      <c r="AV124" s="23">
        <f>EXP(-LN(2)/25)*AV123+(1-EXP(-LN(2)/25))/(LN(2)/25)*Calculateur!AQ124*Calculateur!AS124*VLOOKUP('Données projet'!$B$10,Paramètres!$A$1:$I$89,3,0)*0.475*44/12</f>
        <v>2.1784794226266708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12.987333758260052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2.2737367544323206E-13</v>
      </c>
      <c r="O125" s="14">
        <f>N125*VLOOKUP('Données projet'!$B$9,Paramètres!$A$1:$I$89,3,0)*VLOOKUP('Données projet'!$B$9,Paramètres!$A$1:$I$89,5,0)</f>
        <v>1.3596945791505279E-13</v>
      </c>
      <c r="P125" s="14">
        <f t="shared" si="87"/>
        <v>1.9708830566360721E-12</v>
      </c>
      <c r="Q125" s="22">
        <f t="shared" si="107"/>
        <v>3.669434796176543E-12</v>
      </c>
      <c r="R125" s="62">
        <f t="shared" si="55"/>
        <v>293.33333333333701</v>
      </c>
      <c r="S125" s="62">
        <f ca="1">AVERAGE(OFFSET($R$3,0,0,'Données projet'!$E$9+1,1))-AVERAGE(OFFSET($H$3,0,0,'Données projet'!$E$9+1,1))</f>
        <v>287.52077437571728</v>
      </c>
      <c r="T125" s="62">
        <f t="shared" si="88"/>
        <v>420.95891230839874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42.210283423227466</v>
      </c>
      <c r="AA125" s="23">
        <f>EXP(-LN(2)/25)*AA124+(1-EXP(-LN(2)/25))/(LN(2)/25)*Calculateur!V125*Calculateur!X125*VLOOKUP('Données projet'!$B$9,Paramètres!$A$1:$I$89,3,0)*0.475*44/12</f>
        <v>2.5297554261619797</v>
      </c>
      <c r="AB125" s="23">
        <f>EXP(-LN(2)/2)*AB124+(1-EXP(-LN(2)/2))/(LN(2)/2)*V125*Y125*VLOOKUP('Données projet'!$B$9,Paramètres!$A$1:$I$89,3,0)*0.475*44/12</f>
        <v>3.5260455973227861E-11</v>
      </c>
      <c r="AC125" s="24">
        <f t="shared" si="57"/>
        <v>44.7400388494247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225.24357215754691</v>
      </c>
      <c r="AO125" s="62">
        <f t="shared" si="90"/>
        <v>569.2018208733989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10.596899294861775</v>
      </c>
      <c r="AV125" s="23">
        <f>EXP(-LN(2)/25)*AV124+(1-EXP(-LN(2)/25))/(LN(2)/25)*Calculateur!AQ125*Calculateur!AS125*VLOOKUP('Données projet'!$B$10,Paramètres!$A$1:$I$89,3,0)*0.475*44/12</f>
        <v>2.1189087882536906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12.715808083115466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2.2737367544323206E-13</v>
      </c>
      <c r="O126" s="14">
        <f>N126*VLOOKUP('Données projet'!$B$9,Paramètres!$A$1:$I$89,3,0)*VLOOKUP('Données projet'!$B$9,Paramètres!$A$1:$I$89,5,0)</f>
        <v>1.3596945791505279E-13</v>
      </c>
      <c r="P126" s="14">
        <f t="shared" si="87"/>
        <v>1.9708830566360721E-12</v>
      </c>
      <c r="Q126" s="22">
        <f t="shared" si="107"/>
        <v>3.669434796176543E-12</v>
      </c>
      <c r="R126" s="62">
        <f t="shared" si="55"/>
        <v>293.33333333333701</v>
      </c>
      <c r="S126" s="62">
        <f ca="1">AVERAGE(OFFSET($R$3,0,0,'Données projet'!$E$9+1,1))-AVERAGE(OFFSET($H$3,0,0,'Données projet'!$E$9+1,1))</f>
        <v>287.52077437571728</v>
      </c>
      <c r="T126" s="62">
        <f t="shared" si="88"/>
        <v>420.95891230839874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41.38256551102868</v>
      </c>
      <c r="AA126" s="23">
        <f>EXP(-LN(2)/25)*AA125+(1-EXP(-LN(2)/25))/(LN(2)/25)*Calculateur!V126*Calculateur!X126*VLOOKUP('Données projet'!$B$9,Paramètres!$A$1:$I$89,3,0)*0.475*44/12</f>
        <v>2.4605791309995242</v>
      </c>
      <c r="AB126" s="23">
        <f>EXP(-LN(2)/2)*AB125+(1-EXP(-LN(2)/2))/(LN(2)/2)*V126*Y126*VLOOKUP('Données projet'!$B$9,Paramètres!$A$1:$I$89,3,0)*0.475*44/12</f>
        <v>2.4932907526399126E-11</v>
      </c>
      <c r="AC126" s="24">
        <f t="shared" si="57"/>
        <v>43.84314464205314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225.24357215754691</v>
      </c>
      <c r="AO126" s="62">
        <f t="shared" si="90"/>
        <v>569.2018208733989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10.389100563159891</v>
      </c>
      <c r="AV126" s="23">
        <f>EXP(-LN(2)/25)*AV125+(1-EXP(-LN(2)/25))/(LN(2)/25)*Calculateur!AQ126*Calculateur!AS126*VLOOKUP('Données projet'!$B$10,Paramètres!$A$1:$I$89,3,0)*0.475*44/12</f>
        <v>2.0609671160103229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12.450067679170214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2.2737367544323206E-13</v>
      </c>
      <c r="O127" s="14">
        <f>N127*VLOOKUP('Données projet'!$B$9,Paramètres!$A$1:$I$89,3,0)*VLOOKUP('Données projet'!$B$9,Paramètres!$A$1:$I$89,5,0)</f>
        <v>1.3596945791505279E-13</v>
      </c>
      <c r="P127" s="14">
        <f t="shared" si="87"/>
        <v>1.9708830566360721E-12</v>
      </c>
      <c r="Q127" s="22">
        <f t="shared" si="107"/>
        <v>3.669434796176543E-12</v>
      </c>
      <c r="R127" s="62">
        <f t="shared" si="55"/>
        <v>293.33333333333701</v>
      </c>
      <c r="S127" s="62">
        <f ca="1">AVERAGE(OFFSET($R$3,0,0,'Données projet'!$E$9+1,1))-AVERAGE(OFFSET($H$3,0,0,'Données projet'!$E$9+1,1))</f>
        <v>287.52077437571728</v>
      </c>
      <c r="T127" s="62">
        <f t="shared" si="88"/>
        <v>420.95891230839874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40.571078642230042</v>
      </c>
      <c r="AA127" s="23">
        <f>EXP(-LN(2)/25)*AA126+(1-EXP(-LN(2)/25))/(LN(2)/25)*Calculateur!V127*Calculateur!X127*VLOOKUP('Données projet'!$B$9,Paramètres!$A$1:$I$89,3,0)*0.475*44/12</f>
        <v>2.3932944652661092</v>
      </c>
      <c r="AB127" s="23">
        <f>EXP(-LN(2)/2)*AB126+(1-EXP(-LN(2)/2))/(LN(2)/2)*V127*Y127*VLOOKUP('Données projet'!$B$9,Paramètres!$A$1:$I$89,3,0)*0.475*44/12</f>
        <v>1.7630227986613931E-11</v>
      </c>
      <c r="AC127" s="24">
        <f t="shared" si="57"/>
        <v>42.964373107513779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225.24357215754691</v>
      </c>
      <c r="AO127" s="62">
        <f t="shared" si="90"/>
        <v>569.2018208733989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10.185376637841969</v>
      </c>
      <c r="AV127" s="23">
        <f>EXP(-LN(2)/25)*AV126+(1-EXP(-LN(2)/25))/(LN(2)/25)*Calculateur!AQ127*Calculateur!AS127*VLOOKUP('Données projet'!$B$10,Paramètres!$A$1:$I$89,3,0)*0.475*44/12</f>
        <v>2.0046098618414705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12.189986499683439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2.2737367544323206E-13</v>
      </c>
      <c r="O128" s="14">
        <f>N128*VLOOKUP('Données projet'!$B$9,Paramètres!$A$1:$I$89,3,0)*VLOOKUP('Données projet'!$B$9,Paramètres!$A$1:$I$89,5,0)</f>
        <v>1.3596945791505279E-13</v>
      </c>
      <c r="P128" s="14">
        <f t="shared" si="87"/>
        <v>1.9708830566360721E-12</v>
      </c>
      <c r="Q128" s="22">
        <f t="shared" si="107"/>
        <v>3.669434796176543E-12</v>
      </c>
      <c r="R128" s="62">
        <f t="shared" si="55"/>
        <v>293.33333333333701</v>
      </c>
      <c r="S128" s="62">
        <f ca="1">AVERAGE(OFFSET($R$3,0,0,'Données projet'!$E$9+1,1))-AVERAGE(OFFSET($H$3,0,0,'Données projet'!$E$9+1,1))</f>
        <v>287.52077437571728</v>
      </c>
      <c r="T128" s="62">
        <f t="shared" si="88"/>
        <v>420.95891230839874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39.775504535970427</v>
      </c>
      <c r="AA128" s="23">
        <f>EXP(-LN(2)/25)*AA127+(1-EXP(-LN(2)/25))/(LN(2)/25)*Calculateur!V128*Calculateur!X128*VLOOKUP('Données projet'!$B$9,Paramètres!$A$1:$I$89,3,0)*0.475*44/12</f>
        <v>2.3278497022555213</v>
      </c>
      <c r="AB128" s="23">
        <f>EXP(-LN(2)/2)*AB127+(1-EXP(-LN(2)/2))/(LN(2)/2)*V128*Y128*VLOOKUP('Données projet'!$B$9,Paramètres!$A$1:$I$89,3,0)*0.475*44/12</f>
        <v>1.2466453763199563E-11</v>
      </c>
      <c r="AC128" s="24">
        <f t="shared" si="57"/>
        <v>42.10335423823841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225.24357215754691</v>
      </c>
      <c r="AO128" s="62">
        <f t="shared" si="90"/>
        <v>569.2018208733989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9.9856476144402073</v>
      </c>
      <c r="AV128" s="23">
        <f>EXP(-LN(2)/25)*AV127+(1-EXP(-LN(2)/25))/(LN(2)/25)*Calculateur!AQ128*Calculateur!AS128*VLOOKUP('Données projet'!$B$10,Paramètres!$A$1:$I$89,3,0)*0.475*44/12</f>
        <v>1.9497936997515644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11.935441314191772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2.2737367544323206E-13</v>
      </c>
      <c r="O129" s="14">
        <f>N129*VLOOKUP('Données projet'!$B$9,Paramètres!$A$1:$I$89,3,0)*VLOOKUP('Données projet'!$B$9,Paramètres!$A$1:$I$89,5,0)</f>
        <v>1.3596945791505279E-13</v>
      </c>
      <c r="P129" s="14">
        <f t="shared" si="87"/>
        <v>1.9708830566360721E-12</v>
      </c>
      <c r="Q129" s="22">
        <f t="shared" si="107"/>
        <v>3.669434796176543E-12</v>
      </c>
      <c r="R129" s="62">
        <f t="shared" si="55"/>
        <v>293.33333333333701</v>
      </c>
      <c r="S129" s="62">
        <f ca="1">AVERAGE(OFFSET($R$3,0,0,'Données projet'!$E$9+1,1))-AVERAGE(OFFSET($H$3,0,0,'Données projet'!$E$9+1,1))</f>
        <v>287.52077437571728</v>
      </c>
      <c r="T129" s="62">
        <f t="shared" si="88"/>
        <v>420.95891230839874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38.995531152682275</v>
      </c>
      <c r="AA129" s="23">
        <f>EXP(-LN(2)/25)*AA128+(1-EXP(-LN(2)/25))/(LN(2)/25)*Calculateur!V129*Calculateur!X129*VLOOKUP('Données projet'!$B$9,Paramètres!$A$1:$I$89,3,0)*0.475*44/12</f>
        <v>2.2641945297310486</v>
      </c>
      <c r="AB129" s="23">
        <f>EXP(-LN(2)/2)*AB128+(1-EXP(-LN(2)/2))/(LN(2)/2)*V129*Y129*VLOOKUP('Données projet'!$B$9,Paramètres!$A$1:$I$89,3,0)*0.475*44/12</f>
        <v>8.8151139933069653E-12</v>
      </c>
      <c r="AC129" s="24">
        <f t="shared" si="57"/>
        <v>41.259725682422143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225.24357215754691</v>
      </c>
      <c r="AO129" s="62">
        <f t="shared" si="90"/>
        <v>569.2018208733989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9.7898351553646794</v>
      </c>
      <c r="AV129" s="23">
        <f>EXP(-LN(2)/25)*AV128+(1-EXP(-LN(2)/25))/(LN(2)/25)*Calculateur!AQ129*Calculateur!AS129*VLOOKUP('Données projet'!$B$10,Paramètres!$A$1:$I$89,3,0)*0.475*44/12</f>
        <v>1.8964764884966634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11.686311643861343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2.2737367544323206E-13</v>
      </c>
      <c r="O130" s="14">
        <f>N130*VLOOKUP('Données projet'!$B$9,Paramètres!$A$1:$I$89,3,0)*VLOOKUP('Données projet'!$B$9,Paramètres!$A$1:$I$89,5,0)</f>
        <v>1.3596945791505279E-13</v>
      </c>
      <c r="P130" s="14">
        <f t="shared" si="87"/>
        <v>1.9708830566360721E-12</v>
      </c>
      <c r="Q130" s="22">
        <f t="shared" si="107"/>
        <v>3.669434796176543E-12</v>
      </c>
      <c r="R130" s="62">
        <f t="shared" si="55"/>
        <v>293.33333333333701</v>
      </c>
      <c r="S130" s="62">
        <f ca="1">AVERAGE(OFFSET($R$3,0,0,'Données projet'!$E$9+1,1))-AVERAGE(OFFSET($H$3,0,0,'Données projet'!$E$9+1,1))</f>
        <v>287.52077437571728</v>
      </c>
      <c r="T130" s="62">
        <f t="shared" si="88"/>
        <v>420.95891230839874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38.230852571703615</v>
      </c>
      <c r="AA130" s="23">
        <f>EXP(-LN(2)/25)*AA129+(1-EXP(-LN(2)/25))/(LN(2)/25)*Calculateur!V130*Calculateur!X130*VLOOKUP('Données projet'!$B$9,Paramètres!$A$1:$I$89,3,0)*0.475*44/12</f>
        <v>2.2022800112467378</v>
      </c>
      <c r="AB130" s="23">
        <f>EXP(-LN(2)/2)*AB129+(1-EXP(-LN(2)/2))/(LN(2)/2)*V130*Y130*VLOOKUP('Données projet'!$B$9,Paramètres!$A$1:$I$89,3,0)*0.475*44/12</f>
        <v>6.2332268815997816E-12</v>
      </c>
      <c r="AC130" s="24">
        <f t="shared" si="57"/>
        <v>40.433132582956581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225.24357215754691</v>
      </c>
      <c r="AO130" s="62">
        <f t="shared" si="90"/>
        <v>569.2018208733989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9.597862459177815</v>
      </c>
      <c r="AV130" s="23">
        <f>EXP(-LN(2)/25)*AV129+(1-EXP(-LN(2)/25))/(LN(2)/25)*Calculateur!AQ130*Calculateur!AS130*VLOOKUP('Données projet'!$B$10,Paramètres!$A$1:$I$89,3,0)*0.475*44/12</f>
        <v>1.8446172391873581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11.442479698365172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2.2737367544323206E-13</v>
      </c>
      <c r="O131" s="14">
        <f>N131*VLOOKUP('Données projet'!$B$9,Paramètres!$A$1:$I$89,3,0)*VLOOKUP('Données projet'!$B$9,Paramètres!$A$1:$I$89,5,0)</f>
        <v>1.3596945791505279E-13</v>
      </c>
      <c r="P131" s="14">
        <f t="shared" si="87"/>
        <v>1.9708830566360721E-12</v>
      </c>
      <c r="Q131" s="22">
        <f t="shared" ref="Q131:Q153" si="108">(O131+P131)*0.475*44/12</f>
        <v>3.669434796176543E-12</v>
      </c>
      <c r="R131" s="62">
        <f t="shared" ref="R131:R194" si="109">Q131+(I131+J131)*44/12</f>
        <v>293.33333333333701</v>
      </c>
      <c r="S131" s="62">
        <f ca="1">AVERAGE(OFFSET($R$3,0,0,'Données projet'!$E$9+1,1))-AVERAGE(OFFSET($H$3,0,0,'Données projet'!$E$9+1,1))</f>
        <v>287.52077437571728</v>
      </c>
      <c r="T131" s="62">
        <f t="shared" si="88"/>
        <v>420.95891230839874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37.481168871290066</v>
      </c>
      <c r="AA131" s="23">
        <f>EXP(-LN(2)/25)*AA130+(1-EXP(-LN(2)/25))/(LN(2)/25)*Calculateur!V131*Calculateur!X131*VLOOKUP('Données projet'!$B$9,Paramètres!$A$1:$I$89,3,0)*0.475*44/12</f>
        <v>2.1420585485263235</v>
      </c>
      <c r="AB131" s="23">
        <f>EXP(-LN(2)/2)*AB130+(1-EXP(-LN(2)/2))/(LN(2)/2)*V131*Y131*VLOOKUP('Données projet'!$B$9,Paramètres!$A$1:$I$89,3,0)*0.475*44/12</f>
        <v>4.4075569966534826E-12</v>
      </c>
      <c r="AC131" s="24">
        <f t="shared" si="57"/>
        <v>39.623227419820793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225.24357215754691</v>
      </c>
      <c r="AO131" s="62">
        <f t="shared" si="90"/>
        <v>569.2018208733989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9.4096542304713928</v>
      </c>
      <c r="AV131" s="23">
        <f>EXP(-LN(2)/25)*AV130+(1-EXP(-LN(2)/25))/(LN(2)/25)*Calculateur!AQ131*Calculateur!AS131*VLOOKUP('Données projet'!$B$10,Paramètres!$A$1:$I$89,3,0)*0.475*44/12</f>
        <v>1.7941760837775751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11.203830314248968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2.2737367544323206E-13</v>
      </c>
      <c r="O132" s="14">
        <f>N132*VLOOKUP('Données projet'!$B$9,Paramètres!$A$1:$I$89,3,0)*VLOOKUP('Données projet'!$B$9,Paramètres!$A$1:$I$89,5,0)</f>
        <v>1.3596945791505279E-13</v>
      </c>
      <c r="P132" s="14">
        <f t="shared" si="87"/>
        <v>1.9708830566360721E-12</v>
      </c>
      <c r="Q132" s="22">
        <f t="shared" si="108"/>
        <v>3.669434796176543E-12</v>
      </c>
      <c r="R132" s="62">
        <f t="shared" si="109"/>
        <v>293.33333333333701</v>
      </c>
      <c r="S132" s="62">
        <f ca="1">AVERAGE(OFFSET($R$3,0,0,'Données projet'!$E$9+1,1))-AVERAGE(OFFSET($H$3,0,0,'Données projet'!$E$9+1,1))</f>
        <v>287.52077437571728</v>
      </c>
      <c r="T132" s="62">
        <f t="shared" si="88"/>
        <v>420.95891230839874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36.74618601097972</v>
      </c>
      <c r="AA132" s="23">
        <f>EXP(-LN(2)/25)*AA131+(1-EXP(-LN(2)/25))/(LN(2)/25)*Calculateur!V132*Calculateur!X132*VLOOKUP('Données projet'!$B$9,Paramètres!$A$1:$I$89,3,0)*0.475*44/12</f>
        <v>2.0834838448709077</v>
      </c>
      <c r="AB132" s="23">
        <f>EXP(-LN(2)/2)*AB131+(1-EXP(-LN(2)/2))/(LN(2)/2)*V132*Y132*VLOOKUP('Données projet'!$B$9,Paramètres!$A$1:$I$89,3,0)*0.475*44/12</f>
        <v>3.1166134407998908E-12</v>
      </c>
      <c r="AC132" s="24">
        <f t="shared" ref="AC132:AC153" si="111">SUM(Z132:AB132)</f>
        <v>38.829669855853744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225.24357215754691</v>
      </c>
      <c r="AO132" s="62">
        <f t="shared" si="90"/>
        <v>569.2018208733989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9.2251366503342176</v>
      </c>
      <c r="AV132" s="23">
        <f>EXP(-LN(2)/25)*AV131+(1-EXP(-LN(2)/25))/(LN(2)/25)*Calculateur!AQ132*Calculateur!AS132*VLOOKUP('Données projet'!$B$10,Paramètres!$A$1:$I$89,3,0)*0.475*44/12</f>
        <v>1.7451142444150578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10.970250894749276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2.2737367544323206E-13</v>
      </c>
      <c r="O133" s="14">
        <f>N133*VLOOKUP('Données projet'!$B$9,Paramètres!$A$1:$I$89,3,0)*VLOOKUP('Données projet'!$B$9,Paramètres!$A$1:$I$89,5,0)</f>
        <v>1.3596945791505279E-13</v>
      </c>
      <c r="P133" s="14">
        <f t="shared" ref="P133:P196" si="141">EXP(-1.0587+0.8836*LN(O133)+0.284)</f>
        <v>1.9708830566360721E-12</v>
      </c>
      <c r="Q133" s="22">
        <f t="shared" si="108"/>
        <v>3.669434796176543E-12</v>
      </c>
      <c r="R133" s="62">
        <f t="shared" si="109"/>
        <v>293.33333333333701</v>
      </c>
      <c r="S133" s="62">
        <f ca="1">AVERAGE(OFFSET($R$3,0,0,'Données projet'!$E$9+1,1))-AVERAGE(OFFSET($H$3,0,0,'Données projet'!$E$9+1,1))</f>
        <v>287.52077437571728</v>
      </c>
      <c r="T133" s="62">
        <f t="shared" ref="T133:T196" si="142">$T$3</f>
        <v>420.95891230839874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36.025615716264781</v>
      </c>
      <c r="AA133" s="23">
        <f>EXP(-LN(2)/25)*AA132+(1-EXP(-LN(2)/25))/(LN(2)/25)*Calculateur!V133*Calculateur!X133*VLOOKUP('Données projet'!$B$9,Paramètres!$A$1:$I$89,3,0)*0.475*44/12</f>
        <v>2.0265108695672591</v>
      </c>
      <c r="AB133" s="23">
        <f>EXP(-LN(2)/2)*AB132+(1-EXP(-LN(2)/2))/(LN(2)/2)*V133*Y133*VLOOKUP('Données projet'!$B$9,Paramètres!$A$1:$I$89,3,0)*0.475*44/12</f>
        <v>2.2037784983267413E-12</v>
      </c>
      <c r="AC133" s="24">
        <f t="shared" si="111"/>
        <v>38.052126585834245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225.24357215754691</v>
      </c>
      <c r="AO133" s="62">
        <f t="shared" ref="AO133:AO196" si="144">$AO$3</f>
        <v>569.2018208733989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9.0442373473989228</v>
      </c>
      <c r="AV133" s="23">
        <f>EXP(-LN(2)/25)*AV132+(1-EXP(-LN(2)/25))/(LN(2)/25)*Calculateur!AQ133*Calculateur!AS133*VLOOKUP('Données projet'!$B$10,Paramètres!$A$1:$I$89,3,0)*0.475*44/12</f>
        <v>1.6973940036299584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10.741631351028881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2.2737367544323206E-13</v>
      </c>
      <c r="O134" s="14">
        <f>N134*VLOOKUP('Données projet'!$B$9,Paramètres!$A$1:$I$89,3,0)*VLOOKUP('Données projet'!$B$9,Paramètres!$A$1:$I$89,5,0)</f>
        <v>1.3596945791505279E-13</v>
      </c>
      <c r="P134" s="14">
        <f t="shared" si="141"/>
        <v>1.9708830566360721E-12</v>
      </c>
      <c r="Q134" s="22">
        <f t="shared" si="108"/>
        <v>3.669434796176543E-12</v>
      </c>
      <c r="R134" s="62">
        <f t="shared" si="109"/>
        <v>293.33333333333701</v>
      </c>
      <c r="S134" s="62">
        <f ca="1">AVERAGE(OFFSET($R$3,0,0,'Données projet'!$E$9+1,1))-AVERAGE(OFFSET($H$3,0,0,'Données projet'!$E$9+1,1))</f>
        <v>287.52077437571728</v>
      </c>
      <c r="T134" s="62">
        <f t="shared" si="142"/>
        <v>420.95891230839874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35.319175365524714</v>
      </c>
      <c r="AA134" s="23">
        <f>EXP(-LN(2)/25)*AA133+(1-EXP(-LN(2)/25))/(LN(2)/25)*Calculateur!V134*Calculateur!X134*VLOOKUP('Données projet'!$B$9,Paramètres!$A$1:$I$89,3,0)*0.475*44/12</f>
        <v>1.9710958232693674</v>
      </c>
      <c r="AB134" s="23">
        <f>EXP(-LN(2)/2)*AB133+(1-EXP(-LN(2)/2))/(LN(2)/2)*V134*Y134*VLOOKUP('Données projet'!$B$9,Paramètres!$A$1:$I$89,3,0)*0.475*44/12</f>
        <v>1.5583067203999454E-12</v>
      </c>
      <c r="AC134" s="24">
        <f t="shared" si="111"/>
        <v>37.290271188795636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225.24357215754691</v>
      </c>
      <c r="AO134" s="62">
        <f t="shared" si="144"/>
        <v>569.2018208733989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8.866885369456508</v>
      </c>
      <c r="AV134" s="23">
        <f>EXP(-LN(2)/25)*AV133+(1-EXP(-LN(2)/25))/(LN(2)/25)*Calculateur!AQ134*Calculateur!AS134*VLOOKUP('Données projet'!$B$10,Paramètres!$A$1:$I$89,3,0)*0.475*44/12</f>
        <v>1.650978675338626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10.517864044795134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2.2737367544323206E-13</v>
      </c>
      <c r="O135" s="14">
        <f>N135*VLOOKUP('Données projet'!$B$9,Paramètres!$A$1:$I$89,3,0)*VLOOKUP('Données projet'!$B$9,Paramètres!$A$1:$I$89,5,0)</f>
        <v>1.3596945791505279E-13</v>
      </c>
      <c r="P135" s="14">
        <f t="shared" si="141"/>
        <v>1.9708830566360721E-12</v>
      </c>
      <c r="Q135" s="22">
        <f t="shared" si="108"/>
        <v>3.669434796176543E-12</v>
      </c>
      <c r="R135" s="62">
        <f t="shared" si="109"/>
        <v>293.33333333333701</v>
      </c>
      <c r="S135" s="62">
        <f ca="1">AVERAGE(OFFSET($R$3,0,0,'Données projet'!$E$9+1,1))-AVERAGE(OFFSET($H$3,0,0,'Données projet'!$E$9+1,1))</f>
        <v>287.52077437571728</v>
      </c>
      <c r="T135" s="62">
        <f t="shared" si="142"/>
        <v>420.95891230839874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34.626587879176597</v>
      </c>
      <c r="AA135" s="23">
        <f>EXP(-LN(2)/25)*AA134+(1-EXP(-LN(2)/25))/(LN(2)/25)*Calculateur!V135*Calculateur!X135*VLOOKUP('Données projet'!$B$9,Paramètres!$A$1:$I$89,3,0)*0.475*44/12</f>
        <v>1.9171961043266421</v>
      </c>
      <c r="AB135" s="23">
        <f>EXP(-LN(2)/2)*AB134+(1-EXP(-LN(2)/2))/(LN(2)/2)*V135*Y135*VLOOKUP('Données projet'!$B$9,Paramètres!$A$1:$I$89,3,0)*0.475*44/12</f>
        <v>1.1018892491633707E-12</v>
      </c>
      <c r="AC135" s="24">
        <f t="shared" si="111"/>
        <v>36.543783983504341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225.24357215754691</v>
      </c>
      <c r="AO135" s="62">
        <f t="shared" si="144"/>
        <v>569.2018208733989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8.69301115562752</v>
      </c>
      <c r="AV135" s="23">
        <f>EXP(-LN(2)/25)*AV134+(1-EXP(-LN(2)/25))/(LN(2)/25)*Calculateur!AQ135*Calculateur!AS135*VLOOKUP('Données projet'!$B$10,Paramètres!$A$1:$I$89,3,0)*0.475*44/12</f>
        <v>1.6058325766402961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10.298843732267816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2.2737367544323206E-13</v>
      </c>
      <c r="O136" s="14">
        <f>N136*VLOOKUP('Données projet'!$B$9,Paramètres!$A$1:$I$89,3,0)*VLOOKUP('Données projet'!$B$9,Paramètres!$A$1:$I$89,5,0)</f>
        <v>1.3596945791505279E-13</v>
      </c>
      <c r="P136" s="14">
        <f t="shared" si="141"/>
        <v>1.9708830566360721E-12</v>
      </c>
      <c r="Q136" s="22">
        <f t="shared" si="108"/>
        <v>3.669434796176543E-12</v>
      </c>
      <c r="R136" s="62">
        <f t="shared" si="109"/>
        <v>293.33333333333701</v>
      </c>
      <c r="S136" s="62">
        <f ca="1">AVERAGE(OFFSET($R$3,0,0,'Données projet'!$E$9+1,1))-AVERAGE(OFFSET($H$3,0,0,'Données projet'!$E$9+1,1))</f>
        <v>287.52077437571728</v>
      </c>
      <c r="T136" s="62">
        <f t="shared" si="142"/>
        <v>420.95891230839874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33.947581610999109</v>
      </c>
      <c r="AA136" s="23">
        <f>EXP(-LN(2)/25)*AA135+(1-EXP(-LN(2)/25))/(LN(2)/25)*Calculateur!V136*Calculateur!X136*VLOOKUP('Données projet'!$B$9,Paramètres!$A$1:$I$89,3,0)*0.475*44/12</f>
        <v>1.8647702760328688</v>
      </c>
      <c r="AB136" s="23">
        <f>EXP(-LN(2)/2)*AB135+(1-EXP(-LN(2)/2))/(LN(2)/2)*V136*Y136*VLOOKUP('Données projet'!$B$9,Paramètres!$A$1:$I$89,3,0)*0.475*44/12</f>
        <v>7.791533601999727E-13</v>
      </c>
      <c r="AC136" s="24">
        <f t="shared" si="111"/>
        <v>35.812351887032762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225.24357215754691</v>
      </c>
      <c r="AO136" s="62">
        <f t="shared" si="144"/>
        <v>569.2018208733989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8.5225465090789196</v>
      </c>
      <c r="AV136" s="23">
        <f>EXP(-LN(2)/25)*AV135+(1-EXP(-LN(2)/25))/(LN(2)/25)*Calculateur!AQ136*Calculateur!AS136*VLOOKUP('Données projet'!$B$10,Paramètres!$A$1:$I$89,3,0)*0.475*44/12</f>
        <v>1.5619210003850021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10.084467509463922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2.2737367544323206E-13</v>
      </c>
      <c r="O137" s="14">
        <f>N137*VLOOKUP('Données projet'!$B$9,Paramètres!$A$1:$I$89,3,0)*VLOOKUP('Données projet'!$B$9,Paramètres!$A$1:$I$89,5,0)</f>
        <v>1.3596945791505279E-13</v>
      </c>
      <c r="P137" s="14">
        <f t="shared" si="141"/>
        <v>1.9708830566360721E-12</v>
      </c>
      <c r="Q137" s="22">
        <f t="shared" si="108"/>
        <v>3.669434796176543E-12</v>
      </c>
      <c r="R137" s="62">
        <f t="shared" si="109"/>
        <v>293.33333333333701</v>
      </c>
      <c r="S137" s="62">
        <f ca="1">AVERAGE(OFFSET($R$3,0,0,'Données projet'!$E$9+1,1))-AVERAGE(OFFSET($H$3,0,0,'Données projet'!$E$9+1,1))</f>
        <v>287.52077437571728</v>
      </c>
      <c r="T137" s="62">
        <f t="shared" si="142"/>
        <v>420.95891230839874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33.281890241587654</v>
      </c>
      <c r="AA137" s="23">
        <f>EXP(-LN(2)/25)*AA136+(1-EXP(-LN(2)/25))/(LN(2)/25)*Calculateur!V137*Calculateur!X137*VLOOKUP('Données projet'!$B$9,Paramètres!$A$1:$I$89,3,0)*0.475*44/12</f>
        <v>1.8137780347707433</v>
      </c>
      <c r="AB137" s="23">
        <f>EXP(-LN(2)/2)*AB136+(1-EXP(-LN(2)/2))/(LN(2)/2)*V137*Y137*VLOOKUP('Données projet'!$B$9,Paramètres!$A$1:$I$89,3,0)*0.475*44/12</f>
        <v>5.5094462458168533E-13</v>
      </c>
      <c r="AC137" s="24">
        <f t="shared" si="111"/>
        <v>35.09566827635895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225.24357215754691</v>
      </c>
      <c r="AO137" s="62">
        <f t="shared" si="144"/>
        <v>569.2018208733989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8.3554245702759697</v>
      </c>
      <c r="AV137" s="23">
        <f>EXP(-LN(2)/25)*AV136+(1-EXP(-LN(2)/25))/(LN(2)/25)*Calculateur!AQ137*Calculateur!AS137*VLOOKUP('Données projet'!$B$10,Paramètres!$A$1:$I$89,3,0)*0.475*44/12</f>
        <v>1.5192101884916187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9.8746347587675878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2.2737367544323206E-13</v>
      </c>
      <c r="O138" s="14">
        <f>N138*VLOOKUP('Données projet'!$B$9,Paramètres!$A$1:$I$89,3,0)*VLOOKUP('Données projet'!$B$9,Paramètres!$A$1:$I$89,5,0)</f>
        <v>1.3596945791505279E-13</v>
      </c>
      <c r="P138" s="14">
        <f t="shared" si="141"/>
        <v>1.9708830566360721E-12</v>
      </c>
      <c r="Q138" s="22">
        <f t="shared" si="108"/>
        <v>3.669434796176543E-12</v>
      </c>
      <c r="R138" s="62">
        <f t="shared" si="109"/>
        <v>293.33333333333701</v>
      </c>
      <c r="S138" s="62">
        <f ca="1">AVERAGE(OFFSET($R$3,0,0,'Données projet'!$E$9+1,1))-AVERAGE(OFFSET($H$3,0,0,'Données projet'!$E$9+1,1))</f>
        <v>287.52077437571728</v>
      </c>
      <c r="T138" s="62">
        <f t="shared" si="142"/>
        <v>420.95891230839874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32.629252673898712</v>
      </c>
      <c r="AA138" s="23">
        <f>EXP(-LN(2)/25)*AA137+(1-EXP(-LN(2)/25))/(LN(2)/25)*Calculateur!V138*Calculateur!X138*VLOOKUP('Données projet'!$B$9,Paramètres!$A$1:$I$89,3,0)*0.475*44/12</f>
        <v>1.7641801790274958</v>
      </c>
      <c r="AB138" s="23">
        <f>EXP(-LN(2)/2)*AB137+(1-EXP(-LN(2)/2))/(LN(2)/2)*V138*Y138*VLOOKUP('Données projet'!$B$9,Paramètres!$A$1:$I$89,3,0)*0.475*44/12</f>
        <v>3.8957668009998635E-13</v>
      </c>
      <c r="AC138" s="24">
        <f t="shared" si="111"/>
        <v>34.393432852926601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225.24357215754691</v>
      </c>
      <c r="AO138" s="62">
        <f t="shared" si="144"/>
        <v>569.2018208733989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8.1915797907586274</v>
      </c>
      <c r="AV138" s="23">
        <f>EXP(-LN(2)/25)*AV137+(1-EXP(-LN(2)/25))/(LN(2)/25)*Calculateur!AQ138*Calculateur!AS138*VLOOKUP('Données projet'!$B$10,Paramètres!$A$1:$I$89,3,0)*0.475*44/12</f>
        <v>1.4776673059955239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9.6692470967541517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2.2737367544323206E-13</v>
      </c>
      <c r="O139" s="14">
        <f>N139*VLOOKUP('Données projet'!$B$9,Paramètres!$A$1:$I$89,3,0)*VLOOKUP('Données projet'!$B$9,Paramètres!$A$1:$I$89,5,0)</f>
        <v>1.3596945791505279E-13</v>
      </c>
      <c r="P139" s="14">
        <f t="shared" si="141"/>
        <v>1.9708830566360721E-12</v>
      </c>
      <c r="Q139" s="22">
        <f t="shared" si="108"/>
        <v>3.669434796176543E-12</v>
      </c>
      <c r="R139" s="62">
        <f t="shared" si="109"/>
        <v>293.33333333333701</v>
      </c>
      <c r="S139" s="62">
        <f ca="1">AVERAGE(OFFSET($R$3,0,0,'Données projet'!$E$9+1,1))-AVERAGE(OFFSET($H$3,0,0,'Données projet'!$E$9+1,1))</f>
        <v>287.52077437571728</v>
      </c>
      <c r="T139" s="62">
        <f t="shared" si="142"/>
        <v>420.95891230839874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31.989412930842541</v>
      </c>
      <c r="AA139" s="23">
        <f>EXP(-LN(2)/25)*AA138+(1-EXP(-LN(2)/25))/(LN(2)/25)*Calculateur!V139*Calculateur!X139*VLOOKUP('Données projet'!$B$9,Paramètres!$A$1:$I$89,3,0)*0.475*44/12</f>
        <v>1.7159385792577855</v>
      </c>
      <c r="AB139" s="23">
        <f>EXP(-LN(2)/2)*AB138+(1-EXP(-LN(2)/2))/(LN(2)/2)*V139*Y139*VLOOKUP('Données projet'!$B$9,Paramètres!$A$1:$I$89,3,0)*0.475*44/12</f>
        <v>2.7547231229084267E-13</v>
      </c>
      <c r="AC139" s="24">
        <f t="shared" si="111"/>
        <v>33.705351510100606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225.24357215754691</v>
      </c>
      <c r="AO139" s="62">
        <f t="shared" si="144"/>
        <v>569.2018208733989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8.0309479074321732</v>
      </c>
      <c r="AV139" s="23">
        <f>EXP(-LN(2)/25)*AV138+(1-EXP(-LN(2)/25))/(LN(2)/25)*Calculateur!AQ139*Calculateur!AS139*VLOOKUP('Données projet'!$B$10,Paramètres!$A$1:$I$89,3,0)*0.475*44/12</f>
        <v>1.4372604158059299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9.4682083232381036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2.2737367544323206E-13</v>
      </c>
      <c r="O140" s="14">
        <f>N140*VLOOKUP('Données projet'!$B$9,Paramètres!$A$1:$I$89,3,0)*VLOOKUP('Données projet'!$B$9,Paramètres!$A$1:$I$89,5,0)</f>
        <v>1.3596945791505279E-13</v>
      </c>
      <c r="P140" s="14">
        <f t="shared" si="141"/>
        <v>1.9708830566360721E-12</v>
      </c>
      <c r="Q140" s="22">
        <f t="shared" si="108"/>
        <v>3.669434796176543E-12</v>
      </c>
      <c r="R140" s="62">
        <f t="shared" si="109"/>
        <v>293.33333333333701</v>
      </c>
      <c r="S140" s="62">
        <f ca="1">AVERAGE(OFFSET($R$3,0,0,'Données projet'!$E$9+1,1))-AVERAGE(OFFSET($H$3,0,0,'Données projet'!$E$9+1,1))</f>
        <v>287.52077437571728</v>
      </c>
      <c r="T140" s="62">
        <f t="shared" si="142"/>
        <v>420.95891230839874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31.362120054883995</v>
      </c>
      <c r="AA140" s="23">
        <f>EXP(-LN(2)/25)*AA139+(1-EXP(-LN(2)/25))/(LN(2)/25)*Calculateur!V140*Calculateur!X140*VLOOKUP('Données projet'!$B$9,Paramètres!$A$1:$I$89,3,0)*0.475*44/12</f>
        <v>1.6690161485706934</v>
      </c>
      <c r="AB140" s="23">
        <f>EXP(-LN(2)/2)*AB139+(1-EXP(-LN(2)/2))/(LN(2)/2)*V140*Y140*VLOOKUP('Données projet'!$B$9,Paramètres!$A$1:$I$89,3,0)*0.475*44/12</f>
        <v>1.9478834004999317E-13</v>
      </c>
      <c r="AC140" s="24">
        <f t="shared" si="111"/>
        <v>33.031136203454878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225.24357215754691</v>
      </c>
      <c r="AO140" s="62">
        <f t="shared" si="144"/>
        <v>569.2018208733989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7.8734659173619752</v>
      </c>
      <c r="AV140" s="23">
        <f>EXP(-LN(2)/25)*AV139+(1-EXP(-LN(2)/25))/(LN(2)/25)*Calculateur!AQ140*Calculateur!AS140*VLOOKUP('Données projet'!$B$10,Paramètres!$A$1:$I$89,3,0)*0.475*44/12</f>
        <v>1.3979584541534764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9.271424371515451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2.2737367544323206E-13</v>
      </c>
      <c r="O141" s="14">
        <f>N141*VLOOKUP('Données projet'!$B$9,Paramètres!$A$1:$I$89,3,0)*VLOOKUP('Données projet'!$B$9,Paramètres!$A$1:$I$89,5,0)</f>
        <v>1.3596945791505279E-13</v>
      </c>
      <c r="P141" s="14">
        <f t="shared" si="141"/>
        <v>1.9708830566360721E-12</v>
      </c>
      <c r="Q141" s="22">
        <f t="shared" si="108"/>
        <v>3.669434796176543E-12</v>
      </c>
      <c r="R141" s="62">
        <f t="shared" si="109"/>
        <v>293.33333333333701</v>
      </c>
      <c r="S141" s="62">
        <f ca="1">AVERAGE(OFFSET($R$3,0,0,'Données projet'!$E$9+1,1))-AVERAGE(OFFSET($H$3,0,0,'Données projet'!$E$9+1,1))</f>
        <v>287.52077437571728</v>
      </c>
      <c r="T141" s="62">
        <f t="shared" si="142"/>
        <v>420.95891230839874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30.747128009612123</v>
      </c>
      <c r="AA141" s="23">
        <f>EXP(-LN(2)/25)*AA140+(1-EXP(-LN(2)/25))/(LN(2)/25)*Calculateur!V141*Calculateur!X141*VLOOKUP('Données projet'!$B$9,Paramètres!$A$1:$I$89,3,0)*0.475*44/12</f>
        <v>1.6233768142182832</v>
      </c>
      <c r="AB141" s="23">
        <f>EXP(-LN(2)/2)*AB140+(1-EXP(-LN(2)/2))/(LN(2)/2)*V141*Y141*VLOOKUP('Données projet'!$B$9,Paramètres!$A$1:$I$89,3,0)*0.475*44/12</f>
        <v>1.3773615614542133E-13</v>
      </c>
      <c r="AC141" s="24">
        <f t="shared" si="111"/>
        <v>32.370504823830544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225.24357215754691</v>
      </c>
      <c r="AO141" s="62">
        <f t="shared" si="144"/>
        <v>569.2018208733989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7.7190720530625248</v>
      </c>
      <c r="AV141" s="23">
        <f>EXP(-LN(2)/25)*AV140+(1-EXP(-LN(2)/25))/(LN(2)/25)*Calculateur!AQ141*Calculateur!AS141*VLOOKUP('Données projet'!$B$10,Paramètres!$A$1:$I$89,3,0)*0.475*44/12</f>
        <v>1.3597312067092095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9.0788032597717336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2.2737367544323206E-13</v>
      </c>
      <c r="O142" s="14">
        <f>N142*VLOOKUP('Données projet'!$B$9,Paramètres!$A$1:$I$89,3,0)*VLOOKUP('Données projet'!$B$9,Paramètres!$A$1:$I$89,5,0)</f>
        <v>1.3596945791505279E-13</v>
      </c>
      <c r="P142" s="14">
        <f t="shared" si="141"/>
        <v>1.9708830566360721E-12</v>
      </c>
      <c r="Q142" s="22">
        <f t="shared" si="108"/>
        <v>3.669434796176543E-12</v>
      </c>
      <c r="R142" s="62">
        <f t="shared" si="109"/>
        <v>293.33333333333701</v>
      </c>
      <c r="S142" s="62">
        <f ca="1">AVERAGE(OFFSET($R$3,0,0,'Données projet'!$E$9+1,1))-AVERAGE(OFFSET($H$3,0,0,'Données projet'!$E$9+1,1))</f>
        <v>287.52077437571728</v>
      </c>
      <c r="T142" s="62">
        <f t="shared" si="142"/>
        <v>420.95891230839874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30.14419558323992</v>
      </c>
      <c r="AA142" s="23">
        <f>EXP(-LN(2)/25)*AA141+(1-EXP(-LN(2)/25))/(LN(2)/25)*Calculateur!V142*Calculateur!X142*VLOOKUP('Données projet'!$B$9,Paramètres!$A$1:$I$89,3,0)*0.475*44/12</f>
        <v>1.5789854898638078</v>
      </c>
      <c r="AB142" s="23">
        <f>EXP(-LN(2)/2)*AB141+(1-EXP(-LN(2)/2))/(LN(2)/2)*V142*Y142*VLOOKUP('Données projet'!$B$9,Paramètres!$A$1:$I$89,3,0)*0.475*44/12</f>
        <v>9.7394170024996587E-14</v>
      </c>
      <c r="AC142" s="24">
        <f t="shared" si="111"/>
        <v>31.723181073103824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225.24357215754691</v>
      </c>
      <c r="AO142" s="62">
        <f t="shared" si="144"/>
        <v>569.2018208733989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7.5677057582710283</v>
      </c>
      <c r="AV142" s="23">
        <f>EXP(-LN(2)/25)*AV141+(1-EXP(-LN(2)/25))/(LN(2)/25)*Calculateur!AQ142*Calculateur!AS142*VLOOKUP('Données projet'!$B$10,Paramètres!$A$1:$I$89,3,0)*0.475*44/12</f>
        <v>1.3225492853565897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8.8902550436276186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2.2737367544323206E-13</v>
      </c>
      <c r="O143" s="14">
        <f>N143*VLOOKUP('Données projet'!$B$9,Paramètres!$A$1:$I$89,3,0)*VLOOKUP('Données projet'!$B$9,Paramètres!$A$1:$I$89,5,0)</f>
        <v>1.3596945791505279E-13</v>
      </c>
      <c r="P143" s="14">
        <f t="shared" si="141"/>
        <v>1.9708830566360721E-12</v>
      </c>
      <c r="Q143" s="22">
        <f t="shared" si="108"/>
        <v>3.669434796176543E-12</v>
      </c>
      <c r="R143" s="62">
        <f t="shared" si="109"/>
        <v>293.33333333333701</v>
      </c>
      <c r="S143" s="62">
        <f ca="1">AVERAGE(OFFSET($R$3,0,0,'Données projet'!$E$9+1,1))-AVERAGE(OFFSET($H$3,0,0,'Données projet'!$E$9+1,1))</f>
        <v>287.52077437571728</v>
      </c>
      <c r="T143" s="62">
        <f t="shared" si="142"/>
        <v>420.95891230839874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29.553086293996412</v>
      </c>
      <c r="AA143" s="23">
        <f>EXP(-LN(2)/25)*AA142+(1-EXP(-LN(2)/25))/(LN(2)/25)*Calculateur!V143*Calculateur!X143*VLOOKUP('Données projet'!$B$9,Paramètres!$A$1:$I$89,3,0)*0.475*44/12</f>
        <v>1.5358080486082439</v>
      </c>
      <c r="AB143" s="23">
        <f>EXP(-LN(2)/2)*AB142+(1-EXP(-LN(2)/2))/(LN(2)/2)*V143*Y143*VLOOKUP('Données projet'!$B$9,Paramètres!$A$1:$I$89,3,0)*0.475*44/12</f>
        <v>6.8868078072710666E-14</v>
      </c>
      <c r="AC143" s="24">
        <f t="shared" si="111"/>
        <v>31.088894342604721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225.24357215754691</v>
      </c>
      <c r="AO143" s="62">
        <f t="shared" si="144"/>
        <v>569.2018208733989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7.4193076641960696</v>
      </c>
      <c r="AV143" s="23">
        <f>EXP(-LN(2)/25)*AV142+(1-EXP(-LN(2)/25))/(LN(2)/25)*Calculateur!AQ143*Calculateur!AS143*VLOOKUP('Données projet'!$B$10,Paramètres!$A$1:$I$89,3,0)*0.475*44/12</f>
        <v>1.2863841055986696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8.7056917697947398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2.2737367544323206E-13</v>
      </c>
      <c r="O144" s="14">
        <f>N144*VLOOKUP('Données projet'!$B$9,Paramètres!$A$1:$I$89,3,0)*VLOOKUP('Données projet'!$B$9,Paramètres!$A$1:$I$89,5,0)</f>
        <v>1.3596945791505279E-13</v>
      </c>
      <c r="P144" s="14">
        <f t="shared" si="141"/>
        <v>1.9708830566360721E-12</v>
      </c>
      <c r="Q144" s="22">
        <f t="shared" si="108"/>
        <v>3.669434796176543E-12</v>
      </c>
      <c r="R144" s="62">
        <f t="shared" si="109"/>
        <v>293.33333333333701</v>
      </c>
      <c r="S144" s="62">
        <f ca="1">AVERAGE(OFFSET($R$3,0,0,'Données projet'!$E$9+1,1))-AVERAGE(OFFSET($H$3,0,0,'Données projet'!$E$9+1,1))</f>
        <v>287.52077437571728</v>
      </c>
      <c r="T144" s="62">
        <f t="shared" si="142"/>
        <v>420.95891230839874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28.973568297373902</v>
      </c>
      <c r="AA144" s="23">
        <f>EXP(-LN(2)/25)*AA143+(1-EXP(-LN(2)/25))/(LN(2)/25)*Calculateur!V144*Calculateur!X144*VLOOKUP('Données projet'!$B$9,Paramètres!$A$1:$I$89,3,0)*0.475*44/12</f>
        <v>1.4938112967544164</v>
      </c>
      <c r="AB144" s="23">
        <f>EXP(-LN(2)/2)*AB143+(1-EXP(-LN(2)/2))/(LN(2)/2)*V144*Y144*VLOOKUP('Données projet'!$B$9,Paramètres!$A$1:$I$89,3,0)*0.475*44/12</f>
        <v>4.8697085012498294E-14</v>
      </c>
      <c r="AC144" s="24">
        <f t="shared" si="111"/>
        <v>30.467379594128367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225.24357215754691</v>
      </c>
      <c r="AO144" s="62">
        <f t="shared" si="144"/>
        <v>569.2018208733989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7.2738195662320209</v>
      </c>
      <c r="AV144" s="23">
        <f>EXP(-LN(2)/25)*AV143+(1-EXP(-LN(2)/25))/(LN(2)/25)*Calculateur!AQ144*Calculateur!AS144*VLOOKUP('Données projet'!$B$10,Paramètres!$A$1:$I$89,3,0)*0.475*44/12</f>
        <v>1.251207864583074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8.5250274308150953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2.2737367544323206E-13</v>
      </c>
      <c r="O145" s="14">
        <f>N145*VLOOKUP('Données projet'!$B$9,Paramètres!$A$1:$I$89,3,0)*VLOOKUP('Données projet'!$B$9,Paramètres!$A$1:$I$89,5,0)</f>
        <v>1.3596945791505279E-13</v>
      </c>
      <c r="P145" s="14">
        <f t="shared" si="141"/>
        <v>1.9708830566360721E-12</v>
      </c>
      <c r="Q145" s="22">
        <f t="shared" si="108"/>
        <v>3.669434796176543E-12</v>
      </c>
      <c r="R145" s="62">
        <f t="shared" si="109"/>
        <v>293.33333333333701</v>
      </c>
      <c r="S145" s="62">
        <f ca="1">AVERAGE(OFFSET($R$3,0,0,'Données projet'!$E$9+1,1))-AVERAGE(OFFSET($H$3,0,0,'Données projet'!$E$9+1,1))</f>
        <v>287.52077437571728</v>
      </c>
      <c r="T145" s="62">
        <f t="shared" si="142"/>
        <v>420.95891230839874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28.405414295194081</v>
      </c>
      <c r="AA145" s="23">
        <f>EXP(-LN(2)/25)*AA144+(1-EXP(-LN(2)/25))/(LN(2)/25)*Calculateur!V145*Calculateur!X145*VLOOKUP('Données projet'!$B$9,Paramètres!$A$1:$I$89,3,0)*0.475*44/12</f>
        <v>1.4529629482885449</v>
      </c>
      <c r="AB145" s="23">
        <f>EXP(-LN(2)/2)*AB144+(1-EXP(-LN(2)/2))/(LN(2)/2)*V145*Y145*VLOOKUP('Données projet'!$B$9,Paramètres!$A$1:$I$89,3,0)*0.475*44/12</f>
        <v>3.4434039036355333E-14</v>
      </c>
      <c r="AC145" s="24">
        <f t="shared" si="111"/>
        <v>29.858377243482661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225.24357215754691</v>
      </c>
      <c r="AO145" s="62">
        <f t="shared" si="144"/>
        <v>569.2018208733989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7.1311844011300689</v>
      </c>
      <c r="AV145" s="23">
        <f>EXP(-LN(2)/25)*AV144+(1-EXP(-LN(2)/25))/(LN(2)/25)*Calculateur!AQ145*Calculateur!AS145*VLOOKUP('Données projet'!$B$10,Paramètres!$A$1:$I$89,3,0)*0.475*44/12</f>
        <v>1.2169935197278878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8.3481779208579567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2.2737367544323206E-13</v>
      </c>
      <c r="O146" s="14">
        <f>N146*VLOOKUP('Données projet'!$B$9,Paramètres!$A$1:$I$89,3,0)*VLOOKUP('Données projet'!$B$9,Paramètres!$A$1:$I$89,5,0)</f>
        <v>1.3596945791505279E-13</v>
      </c>
      <c r="P146" s="14">
        <f t="shared" si="141"/>
        <v>1.9708830566360721E-12</v>
      </c>
      <c r="Q146" s="22">
        <f t="shared" si="108"/>
        <v>3.669434796176543E-12</v>
      </c>
      <c r="R146" s="62">
        <f t="shared" si="109"/>
        <v>293.33333333333701</v>
      </c>
      <c r="S146" s="62">
        <f ca="1">AVERAGE(OFFSET($R$3,0,0,'Données projet'!$E$9+1,1))-AVERAGE(OFFSET($H$3,0,0,'Données projet'!$E$9+1,1))</f>
        <v>287.52077437571728</v>
      </c>
      <c r="T146" s="62">
        <f t="shared" si="142"/>
        <v>420.95891230839874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27.848401446457284</v>
      </c>
      <c r="AA146" s="23">
        <f>EXP(-LN(2)/25)*AA145+(1-EXP(-LN(2)/25))/(LN(2)/25)*Calculateur!V146*Calculateur!X146*VLOOKUP('Données projet'!$B$9,Paramètres!$A$1:$I$89,3,0)*0.475*44/12</f>
        <v>1.4132316000595939</v>
      </c>
      <c r="AB146" s="23">
        <f>EXP(-LN(2)/2)*AB145+(1-EXP(-LN(2)/2))/(LN(2)/2)*V146*Y146*VLOOKUP('Données projet'!$B$9,Paramètres!$A$1:$I$89,3,0)*0.475*44/12</f>
        <v>2.4348542506249147E-14</v>
      </c>
      <c r="AC146" s="24">
        <f t="shared" si="111"/>
        <v>29.261633046516902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225.24357215754691</v>
      </c>
      <c r="AO146" s="62">
        <f t="shared" si="144"/>
        <v>569.2018208733989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6.9913462246169065</v>
      </c>
      <c r="AV146" s="23">
        <f>EXP(-LN(2)/25)*AV145+(1-EXP(-LN(2)/25))/(LN(2)/25)*Calculateur!AQ146*Calculateur!AS146*VLOOKUP('Données projet'!$B$10,Paramètres!$A$1:$I$89,3,0)*0.475*44/12</f>
        <v>1.183714767932021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8.1750609925489268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2.2737367544323206E-13</v>
      </c>
      <c r="O147" s="14">
        <f>N147*VLOOKUP('Données projet'!$B$9,Paramètres!$A$1:$I$89,3,0)*VLOOKUP('Données projet'!$B$9,Paramètres!$A$1:$I$89,5,0)</f>
        <v>1.3596945791505279E-13</v>
      </c>
      <c r="P147" s="14">
        <f t="shared" si="141"/>
        <v>1.9708830566360721E-12</v>
      </c>
      <c r="Q147" s="22">
        <f t="shared" si="108"/>
        <v>3.669434796176543E-12</v>
      </c>
      <c r="R147" s="62">
        <f t="shared" si="109"/>
        <v>293.33333333333701</v>
      </c>
      <c r="S147" s="62">
        <f ca="1">AVERAGE(OFFSET($R$3,0,0,'Données projet'!$E$9+1,1))-AVERAGE(OFFSET($H$3,0,0,'Données projet'!$E$9+1,1))</f>
        <v>287.52077437571728</v>
      </c>
      <c r="T147" s="62">
        <f t="shared" si="142"/>
        <v>420.95891230839874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27.302311279939925</v>
      </c>
      <c r="AA147" s="23">
        <f>EXP(-LN(2)/25)*AA146+(1-EXP(-LN(2)/25))/(LN(2)/25)*Calculateur!V147*Calculateur!X147*VLOOKUP('Données projet'!$B$9,Paramètres!$A$1:$I$89,3,0)*0.475*44/12</f>
        <v>1.3745867076373444</v>
      </c>
      <c r="AB147" s="23">
        <f>EXP(-LN(2)/2)*AB146+(1-EXP(-LN(2)/2))/(LN(2)/2)*V147*Y147*VLOOKUP('Données projet'!$B$9,Paramètres!$A$1:$I$89,3,0)*0.475*44/12</f>
        <v>1.7217019518177667E-14</v>
      </c>
      <c r="AC147" s="24">
        <f t="shared" si="111"/>
        <v>28.676897987577288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225.24357215754691</v>
      </c>
      <c r="AO147" s="62">
        <f t="shared" si="144"/>
        <v>569.2018208733989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6.8542501894523014</v>
      </c>
      <c r="AV147" s="23">
        <f>EXP(-LN(2)/25)*AV146+(1-EXP(-LN(2)/25))/(LN(2)/25)*Calculateur!AQ147*Calculateur!AS147*VLOOKUP('Données projet'!$B$10,Paramètres!$A$1:$I$89,3,0)*0.475*44/12</f>
        <v>1.1513460253540657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8.0055962148063671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2.2737367544323206E-13</v>
      </c>
      <c r="O148" s="14">
        <f>N148*VLOOKUP('Données projet'!$B$9,Paramètres!$A$1:$I$89,3,0)*VLOOKUP('Données projet'!$B$9,Paramètres!$A$1:$I$89,5,0)</f>
        <v>1.3596945791505279E-13</v>
      </c>
      <c r="P148" s="14">
        <f t="shared" si="141"/>
        <v>1.9708830566360721E-12</v>
      </c>
      <c r="Q148" s="22">
        <f t="shared" si="108"/>
        <v>3.669434796176543E-12</v>
      </c>
      <c r="R148" s="62">
        <f t="shared" si="109"/>
        <v>293.33333333333701</v>
      </c>
      <c r="S148" s="62">
        <f ca="1">AVERAGE(OFFSET($R$3,0,0,'Données projet'!$E$9+1,1))-AVERAGE(OFFSET($H$3,0,0,'Données projet'!$E$9+1,1))</f>
        <v>287.52077437571728</v>
      </c>
      <c r="T148" s="62">
        <f t="shared" si="142"/>
        <v>420.95891230839874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26.766929608505858</v>
      </c>
      <c r="AA148" s="23">
        <f>EXP(-LN(2)/25)*AA147+(1-EXP(-LN(2)/25))/(LN(2)/25)*Calculateur!V148*Calculateur!X148*VLOOKUP('Données projet'!$B$9,Paramètres!$A$1:$I$89,3,0)*0.475*44/12</f>
        <v>1.3369985618306279</v>
      </c>
      <c r="AB148" s="23">
        <f>EXP(-LN(2)/2)*AB147+(1-EXP(-LN(2)/2))/(LN(2)/2)*V148*Y148*VLOOKUP('Données projet'!$B$9,Paramètres!$A$1:$I$89,3,0)*0.475*44/12</f>
        <v>1.2174271253124573E-14</v>
      </c>
      <c r="AC148" s="24">
        <f t="shared" si="111"/>
        <v>28.103928170336498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225.24357215754691</v>
      </c>
      <c r="AO148" s="62">
        <f t="shared" si="144"/>
        <v>569.2018208733989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6.7198425239169497</v>
      </c>
      <c r="AV148" s="23">
        <f>EXP(-LN(2)/25)*AV147+(1-EXP(-LN(2)/25))/(LN(2)/25)*Calculateur!AQ148*Calculateur!AS148*VLOOKUP('Données projet'!$B$10,Paramètres!$A$1:$I$89,3,0)*0.475*44/12</f>
        <v>1.1198624077441028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7.8397049316610525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2.2737367544323206E-13</v>
      </c>
      <c r="O149" s="14">
        <f>N149*VLOOKUP('Données projet'!$B$9,Paramètres!$A$1:$I$89,3,0)*VLOOKUP('Données projet'!$B$9,Paramètres!$A$1:$I$89,5,0)</f>
        <v>1.3596945791505279E-13</v>
      </c>
      <c r="P149" s="14">
        <f t="shared" si="141"/>
        <v>1.9708830566360721E-12</v>
      </c>
      <c r="Q149" s="22">
        <f t="shared" si="108"/>
        <v>3.669434796176543E-12</v>
      </c>
      <c r="R149" s="62">
        <f t="shared" si="109"/>
        <v>293.33333333333701</v>
      </c>
      <c r="S149" s="62">
        <f ca="1">AVERAGE(OFFSET($R$3,0,0,'Données projet'!$E$9+1,1))-AVERAGE(OFFSET($H$3,0,0,'Données projet'!$E$9+1,1))</f>
        <v>287.52077437571728</v>
      </c>
      <c r="T149" s="62">
        <f t="shared" si="142"/>
        <v>420.95891230839874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26.24204644509804</v>
      </c>
      <c r="AA149" s="23">
        <f>EXP(-LN(2)/25)*AA148+(1-EXP(-LN(2)/25))/(LN(2)/25)*Calculateur!V149*Calculateur!X149*VLOOKUP('Données projet'!$B$9,Paramètres!$A$1:$I$89,3,0)*0.475*44/12</f>
        <v>1.3004382658476707</v>
      </c>
      <c r="AB149" s="23">
        <f>EXP(-LN(2)/2)*AB148+(1-EXP(-LN(2)/2))/(LN(2)/2)*V149*Y149*VLOOKUP('Données projet'!$B$9,Paramètres!$A$1:$I$89,3,0)*0.475*44/12</f>
        <v>8.6085097590888333E-15</v>
      </c>
      <c r="AC149" s="24">
        <f t="shared" si="111"/>
        <v>27.542484710945718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225.24357215754691</v>
      </c>
      <c r="AO149" s="62">
        <f t="shared" si="144"/>
        <v>569.2018208733989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6.5880705107221651</v>
      </c>
      <c r="AV149" s="23">
        <f>EXP(-LN(2)/25)*AV148+(1-EXP(-LN(2)/25))/(LN(2)/25)*Calculateur!AQ149*Calculateur!AS149*VLOOKUP('Données projet'!$B$10,Paramètres!$A$1:$I$89,3,0)*0.475*44/12</f>
        <v>1.0892397113133359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7.6773102220355014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2.2737367544323206E-13</v>
      </c>
      <c r="O150" s="14">
        <f>N150*VLOOKUP('Données projet'!$B$9,Paramètres!$A$1:$I$89,3,0)*VLOOKUP('Données projet'!$B$9,Paramètres!$A$1:$I$89,5,0)</f>
        <v>1.3596945791505279E-13</v>
      </c>
      <c r="P150" s="14">
        <f t="shared" si="141"/>
        <v>1.9708830566360721E-12</v>
      </c>
      <c r="Q150" s="22">
        <f t="shared" si="108"/>
        <v>3.669434796176543E-12</v>
      </c>
      <c r="R150" s="62">
        <f t="shared" si="109"/>
        <v>293.33333333333701</v>
      </c>
      <c r="S150" s="62">
        <f ca="1">AVERAGE(OFFSET($R$3,0,0,'Données projet'!$E$9+1,1))-AVERAGE(OFFSET($H$3,0,0,'Données projet'!$E$9+1,1))</f>
        <v>287.52077437571728</v>
      </c>
      <c r="T150" s="62">
        <f t="shared" si="142"/>
        <v>420.95891230839874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25.72745592037753</v>
      </c>
      <c r="AA150" s="23">
        <f>EXP(-LN(2)/25)*AA149+(1-EXP(-LN(2)/25))/(LN(2)/25)*Calculateur!V150*Calculateur!X150*VLOOKUP('Données projet'!$B$9,Paramètres!$A$1:$I$89,3,0)*0.475*44/12</f>
        <v>1.2648777130809901</v>
      </c>
      <c r="AB150" s="23">
        <f>EXP(-LN(2)/2)*AB149+(1-EXP(-LN(2)/2))/(LN(2)/2)*V150*Y150*VLOOKUP('Données projet'!$B$9,Paramètres!$A$1:$I$89,3,0)*0.475*44/12</f>
        <v>6.0871356265622867E-15</v>
      </c>
      <c r="AC150" s="24">
        <f t="shared" si="111"/>
        <v>26.992333633458529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225.24357215754691</v>
      </c>
      <c r="AO150" s="62">
        <f t="shared" si="144"/>
        <v>569.2018208733989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6.4588824663331383</v>
      </c>
      <c r="AV150" s="23">
        <f>EXP(-LN(2)/25)*AV149+(1-EXP(-LN(2)/25))/(LN(2)/25)*Calculateur!AQ150*Calculateur!AS150*VLOOKUP('Données projet'!$B$10,Paramètres!$A$1:$I$89,3,0)*0.475*44/12</f>
        <v>1.0594543941268457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7.5183368604599838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2.2737367544323206E-13</v>
      </c>
      <c r="O151" s="14">
        <f>N151*VLOOKUP('Données projet'!$B$9,Paramètres!$A$1:$I$89,3,0)*VLOOKUP('Données projet'!$B$9,Paramètres!$A$1:$I$89,5,0)</f>
        <v>1.3596945791505279E-13</v>
      </c>
      <c r="P151" s="14">
        <f t="shared" si="141"/>
        <v>1.9708830566360721E-12</v>
      </c>
      <c r="Q151" s="22">
        <f t="shared" si="108"/>
        <v>3.669434796176543E-12</v>
      </c>
      <c r="R151" s="62">
        <f t="shared" si="109"/>
        <v>293.33333333333701</v>
      </c>
      <c r="S151" s="62">
        <f ca="1">AVERAGE(OFFSET($R$3,0,0,'Données projet'!$E$9+1,1))-AVERAGE(OFFSET($H$3,0,0,'Données projet'!$E$9+1,1))</f>
        <v>287.52077437571728</v>
      </c>
      <c r="T151" s="62">
        <f t="shared" si="142"/>
        <v>420.95891230839874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25.222956201977563</v>
      </c>
      <c r="AA151" s="23">
        <f>EXP(-LN(2)/25)*AA150+(1-EXP(-LN(2)/25))/(LN(2)/25)*Calculateur!V151*Calculateur!X151*VLOOKUP('Données projet'!$B$9,Paramètres!$A$1:$I$89,3,0)*0.475*44/12</f>
        <v>1.2302895654997623</v>
      </c>
      <c r="AB151" s="23">
        <f>EXP(-LN(2)/2)*AB150+(1-EXP(-LN(2)/2))/(LN(2)/2)*V151*Y151*VLOOKUP('Données projet'!$B$9,Paramètres!$A$1:$I$89,3,0)*0.475*44/12</f>
        <v>4.3042548795444166E-15</v>
      </c>
      <c r="AC151" s="24">
        <f t="shared" si="111"/>
        <v>26.45324576747733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225.24357215754691</v>
      </c>
      <c r="AO151" s="62">
        <f t="shared" si="144"/>
        <v>569.2018208733989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6.332227720697654</v>
      </c>
      <c r="AV151" s="23">
        <f>EXP(-LN(2)/25)*AV150+(1-EXP(-LN(2)/25))/(LN(2)/25)*Calculateur!AQ151*Calculateur!AS151*VLOOKUP('Données projet'!$B$10,Paramètres!$A$1:$I$89,3,0)*0.475*44/12</f>
        <v>1.0304835580051619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7.3627112787028164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2.2737367544323206E-13</v>
      </c>
      <c r="O152" s="14">
        <f>N152*VLOOKUP('Données projet'!$B$9,Paramètres!$A$1:$I$89,3,0)*VLOOKUP('Données projet'!$B$9,Paramètres!$A$1:$I$89,5,0)</f>
        <v>1.3596945791505279E-13</v>
      </c>
      <c r="P152" s="14">
        <f t="shared" si="141"/>
        <v>1.9708830566360721E-12</v>
      </c>
      <c r="Q152" s="22">
        <f t="shared" si="108"/>
        <v>3.669434796176543E-12</v>
      </c>
      <c r="R152" s="62">
        <f t="shared" si="109"/>
        <v>293.33333333333701</v>
      </c>
      <c r="S152" s="62">
        <f ca="1">AVERAGE(OFFSET($R$3,0,0,'Données projet'!$E$9+1,1))-AVERAGE(OFFSET($H$3,0,0,'Données projet'!$E$9+1,1))</f>
        <v>287.52077437571728</v>
      </c>
      <c r="T152" s="62">
        <f t="shared" si="142"/>
        <v>420.95891230839874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24.728349415340976</v>
      </c>
      <c r="AA152" s="23">
        <f>EXP(-LN(2)/25)*AA151+(1-EXP(-LN(2)/25))/(LN(2)/25)*Calculateur!V152*Calculateur!X152*VLOOKUP('Données projet'!$B$9,Paramètres!$A$1:$I$89,3,0)*0.475*44/12</f>
        <v>1.1966472326330548</v>
      </c>
      <c r="AB152" s="23">
        <f>EXP(-LN(2)/2)*AB151+(1-EXP(-LN(2)/2))/(LN(2)/2)*V152*Y152*VLOOKUP('Données projet'!$B$9,Paramètres!$A$1:$I$89,3,0)*0.475*44/12</f>
        <v>3.0435678132811434E-15</v>
      </c>
      <c r="AC152" s="24">
        <f t="shared" si="111"/>
        <v>25.924996647974034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225.24357215754691</v>
      </c>
      <c r="AO152" s="62">
        <f t="shared" si="144"/>
        <v>569.2018208733989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6.2080565973723143</v>
      </c>
      <c r="AV152" s="23">
        <f>EXP(-LN(2)/25)*AV151+(1-EXP(-LN(2)/25))/(LN(2)/25)*Calculateur!AQ152*Calculateur!AS152*VLOOKUP('Données projet'!$B$10,Paramètres!$A$1:$I$89,3,0)*0.475*44/12</f>
        <v>1.0023049309207357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7.21036152829305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2.2737367544323206E-13</v>
      </c>
      <c r="O153" s="14">
        <f>N153*VLOOKUP('Données projet'!$B$9,Paramètres!$A$1:$I$89,3,0)*VLOOKUP('Données projet'!$B$9,Paramètres!$A$1:$I$89,5,0)</f>
        <v>1.3596945791505279E-13</v>
      </c>
      <c r="P153" s="14">
        <f t="shared" si="141"/>
        <v>1.9708830566360721E-12</v>
      </c>
      <c r="Q153" s="22">
        <f t="shared" si="108"/>
        <v>3.669434796176543E-12</v>
      </c>
      <c r="R153" s="62">
        <f t="shared" si="109"/>
        <v>293.33333333333701</v>
      </c>
      <c r="S153" s="62">
        <f ca="1">AVERAGE(OFFSET($R$3,0,0,'Données projet'!$E$9+1,1))-AVERAGE(OFFSET($H$3,0,0,'Données projet'!$E$9+1,1))</f>
        <v>287.52077437571728</v>
      </c>
      <c r="T153" s="62">
        <f t="shared" si="142"/>
        <v>420.95891230839874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24.243441566109979</v>
      </c>
      <c r="AA153" s="23">
        <f>EXP(-LN(2)/25)*AA152+(1-EXP(-LN(2)/25))/(LN(2)/25)*Calculateur!V153*Calculateur!X153*VLOOKUP('Données projet'!$B$9,Paramètres!$A$1:$I$89,3,0)*0.475*44/12</f>
        <v>1.1639248511277609</v>
      </c>
      <c r="AB153" s="23">
        <f>EXP(-LN(2)/2)*AB152+(1-EXP(-LN(2)/2))/(LN(2)/2)*V153*Y153*VLOOKUP('Données projet'!$B$9,Paramètres!$A$1:$I$89,3,0)*0.475*44/12</f>
        <v>2.1521274397722083E-15</v>
      </c>
      <c r="AC153" s="24">
        <f t="shared" si="111"/>
        <v>25.407366417237743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225.24357215754691</v>
      </c>
      <c r="AO153" s="62">
        <f t="shared" si="144"/>
        <v>569.2018208733989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6.086320394038478</v>
      </c>
      <c r="AV153" s="23">
        <f>EXP(-LN(2)/25)*AV152+(1-EXP(-LN(2)/25))/(LN(2)/25)*Calculateur!AQ153*Calculateur!AS153*VLOOKUP('Données projet'!$B$10,Paramètres!$A$1:$I$89,3,0)*0.475*44/12</f>
        <v>0.97489684987578262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7.0612172439142604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2.2737367544323206E-13</v>
      </c>
      <c r="O154" s="14">
        <f>N154*VLOOKUP('Données projet'!$B$9,Paramètres!$A$1:$I$89,3,0)*VLOOKUP('Données projet'!$B$9,Paramètres!$A$1:$I$89,5,0)</f>
        <v>1.3596945791505279E-13</v>
      </c>
      <c r="P154" s="14">
        <f t="shared" si="141"/>
        <v>1.9708830566360721E-12</v>
      </c>
      <c r="Q154" s="22">
        <f t="shared" ref="Q154:Q203" si="162">(O154+P154)*0.475*44/12</f>
        <v>3.669434796176543E-12</v>
      </c>
      <c r="R154" s="62">
        <f t="shared" si="109"/>
        <v>293.33333333333701</v>
      </c>
      <c r="S154" s="62">
        <f ca="1">AVERAGE(OFFSET($R$3,0,0,'Données projet'!$E$9+1,1))-AVERAGE(OFFSET($H$3,0,0,'Données projet'!$E$9+1,1))</f>
        <v>287.52077437571728</v>
      </c>
      <c r="T154" s="62">
        <f t="shared" si="142"/>
        <v>420.95891230839874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23.768042464037819</v>
      </c>
      <c r="AA154" s="23">
        <f>EXP(-LN(2)/25)*AA153+(1-EXP(-LN(2)/25))/(LN(2)/25)*Calculateur!V154*Calculateur!X154*VLOOKUP('Données projet'!$B$9,Paramètres!$A$1:$I$89,3,0)*0.475*44/12</f>
        <v>1.1320972648655245</v>
      </c>
      <c r="AB154" s="23">
        <f>EXP(-LN(2)/2)*AB153+(1-EXP(-LN(2)/2))/(LN(2)/2)*V154*Y154*VLOOKUP('Données projet'!$B$9,Paramètres!$A$1:$I$89,3,0)*0.475*44/12</f>
        <v>1.5217839066405717E-15</v>
      </c>
      <c r="AC154" s="24">
        <f t="shared" ref="AC154:AC203" si="163">SUM(Z154:AB154)</f>
        <v>24.900139728903344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225.24357215754691</v>
      </c>
      <c r="AO154" s="62">
        <f t="shared" si="144"/>
        <v>569.2018208733989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5.9669713634002655</v>
      </c>
      <c r="AV154" s="23">
        <f>EXP(-LN(2)/25)*AV153+(1-EXP(-LN(2)/25))/(LN(2)/25)*Calculateur!AQ154*Calculateur!AS154*VLOOKUP('Données projet'!$B$10,Paramètres!$A$1:$I$89,3,0)*0.475*44/12</f>
        <v>0.94823824424833214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6.9152096076485972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2.2737367544323206E-13</v>
      </c>
      <c r="O155" s="14">
        <f>N155*VLOOKUP('Données projet'!$B$9,Paramètres!$A$1:$I$89,3,0)*VLOOKUP('Données projet'!$B$9,Paramètres!$A$1:$I$89,5,0)</f>
        <v>1.3596945791505279E-13</v>
      </c>
      <c r="P155" s="14">
        <f t="shared" si="141"/>
        <v>1.9708830566360721E-12</v>
      </c>
      <c r="Q155" s="22">
        <f t="shared" si="162"/>
        <v>3.669434796176543E-12</v>
      </c>
      <c r="R155" s="62">
        <f t="shared" si="109"/>
        <v>293.33333333333701</v>
      </c>
      <c r="S155" s="62">
        <f ca="1">AVERAGE(OFFSET($R$3,0,0,'Données projet'!$E$9+1,1))-AVERAGE(OFFSET($H$3,0,0,'Données projet'!$E$9+1,1))</f>
        <v>287.52077437571728</v>
      </c>
      <c r="T155" s="62">
        <f t="shared" si="142"/>
        <v>420.95891230839874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23.301965648392475</v>
      </c>
      <c r="AA155" s="23">
        <f>EXP(-LN(2)/25)*AA154+(1-EXP(-LN(2)/25))/(LN(2)/25)*Calculateur!V155*Calculateur!X155*VLOOKUP('Données projet'!$B$9,Paramètres!$A$1:$I$89,3,0)*0.475*44/12</f>
        <v>1.1011400056233691</v>
      </c>
      <c r="AB155" s="23">
        <f>EXP(-LN(2)/2)*AB154+(1-EXP(-LN(2)/2))/(LN(2)/2)*V155*Y155*VLOOKUP('Données projet'!$B$9,Paramètres!$A$1:$I$89,3,0)*0.475*44/12</f>
        <v>1.0760637198861042E-15</v>
      </c>
      <c r="AC155" s="24">
        <f t="shared" si="163"/>
        <v>24.403105654015842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225.24357215754691</v>
      </c>
      <c r="AO155" s="62">
        <f t="shared" si="144"/>
        <v>569.2018208733989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5.8499626944571474</v>
      </c>
      <c r="AV155" s="23">
        <f>EXP(-LN(2)/25)*AV154+(1-EXP(-LN(2)/25))/(LN(2)/25)*Calculateur!AQ155*Calculateur!AS155*VLOOKUP('Données projet'!$B$10,Paramètres!$A$1:$I$89,3,0)*0.475*44/12</f>
        <v>0.92230861959367949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6.7722713140508271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2.2737367544323206E-13</v>
      </c>
      <c r="O156" s="14">
        <f>N156*VLOOKUP('Données projet'!$B$9,Paramètres!$A$1:$I$89,3,0)*VLOOKUP('Données projet'!$B$9,Paramètres!$A$1:$I$89,5,0)</f>
        <v>1.3596945791505279E-13</v>
      </c>
      <c r="P156" s="14">
        <f t="shared" si="141"/>
        <v>1.9708830566360721E-12</v>
      </c>
      <c r="Q156" s="22">
        <f t="shared" si="162"/>
        <v>3.669434796176543E-12</v>
      </c>
      <c r="R156" s="62">
        <f t="shared" si="109"/>
        <v>293.33333333333701</v>
      </c>
      <c r="S156" s="62">
        <f ca="1">AVERAGE(OFFSET($R$3,0,0,'Données projet'!$E$9+1,1))-AVERAGE(OFFSET($H$3,0,0,'Données projet'!$E$9+1,1))</f>
        <v>287.52077437571728</v>
      </c>
      <c r="T156" s="62">
        <f t="shared" si="142"/>
        <v>420.95891230839874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22.845028314823146</v>
      </c>
      <c r="AA156" s="23">
        <f>EXP(-LN(2)/25)*AA155+(1-EXP(-LN(2)/25))/(LN(2)/25)*Calculateur!V156*Calculateur!X156*VLOOKUP('Données projet'!$B$9,Paramètres!$A$1:$I$89,3,0)*0.475*44/12</f>
        <v>1.071029274263162</v>
      </c>
      <c r="AB156" s="23">
        <f>EXP(-LN(2)/2)*AB155+(1-EXP(-LN(2)/2))/(LN(2)/2)*V156*Y156*VLOOKUP('Données projet'!$B$9,Paramètres!$A$1:$I$89,3,0)*0.475*44/12</f>
        <v>7.6089195332028584E-16</v>
      </c>
      <c r="AC156" s="24">
        <f t="shared" si="163"/>
        <v>23.916057589086307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225.24357215754691</v>
      </c>
      <c r="AO156" s="62">
        <f t="shared" si="144"/>
        <v>569.2018208733989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5.7352484941437636</v>
      </c>
      <c r="AV156" s="23">
        <f>EXP(-LN(2)/25)*AV155+(1-EXP(-LN(2)/25))/(LN(2)/25)*Calculateur!AQ156*Calculateur!AS156*VLOOKUP('Données projet'!$B$10,Paramètres!$A$1:$I$89,3,0)*0.475*44/12</f>
        <v>0.89708804188878799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6.6323365360325512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2.2737367544323206E-13</v>
      </c>
      <c r="O157" s="14">
        <f>N157*VLOOKUP('Données projet'!$B$9,Paramètres!$A$1:$I$89,3,0)*VLOOKUP('Données projet'!$B$9,Paramètres!$A$1:$I$89,5,0)</f>
        <v>1.3596945791505279E-13</v>
      </c>
      <c r="P157" s="14">
        <f t="shared" si="141"/>
        <v>1.9708830566360721E-12</v>
      </c>
      <c r="Q157" s="22">
        <f t="shared" si="162"/>
        <v>3.669434796176543E-12</v>
      </c>
      <c r="R157" s="62">
        <f t="shared" si="109"/>
        <v>293.33333333333701</v>
      </c>
      <c r="S157" s="62">
        <f ca="1">AVERAGE(OFFSET($R$3,0,0,'Données projet'!$E$9+1,1))-AVERAGE(OFFSET($H$3,0,0,'Données projet'!$E$9+1,1))</f>
        <v>287.52077437571728</v>
      </c>
      <c r="T157" s="62">
        <f t="shared" si="142"/>
        <v>420.95891230839874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22.397051243660858</v>
      </c>
      <c r="AA157" s="23">
        <f>EXP(-LN(2)/25)*AA156+(1-EXP(-LN(2)/25))/(LN(2)/25)*Calculateur!V157*Calculateur!X157*VLOOKUP('Données projet'!$B$9,Paramètres!$A$1:$I$89,3,0)*0.475*44/12</f>
        <v>1.041741922435454</v>
      </c>
      <c r="AB157" s="23">
        <f>EXP(-LN(2)/2)*AB156+(1-EXP(-LN(2)/2))/(LN(2)/2)*V157*Y157*VLOOKUP('Données projet'!$B$9,Paramètres!$A$1:$I$89,3,0)*0.475*44/12</f>
        <v>5.3803185994305208E-16</v>
      </c>
      <c r="AC157" s="24">
        <f t="shared" si="163"/>
        <v>23.43879316609631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225.24357215754691</v>
      </c>
      <c r="AO157" s="62">
        <f t="shared" si="144"/>
        <v>569.2018208733989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5.6227837693297715</v>
      </c>
      <c r="AV157" s="23">
        <f>EXP(-LN(2)/25)*AV156+(1-EXP(-LN(2)/25))/(LN(2)/25)*Calculateur!AQ157*Calculateur!AS157*VLOOKUP('Données projet'!$B$10,Paramètres!$A$1:$I$89,3,0)*0.475*44/12</f>
        <v>0.87255712220752923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6.4953408915373005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2.2737367544323206E-13</v>
      </c>
      <c r="O158" s="14">
        <f>N158*VLOOKUP('Données projet'!$B$9,Paramètres!$A$1:$I$89,3,0)*VLOOKUP('Données projet'!$B$9,Paramètres!$A$1:$I$89,5,0)</f>
        <v>1.3596945791505279E-13</v>
      </c>
      <c r="P158" s="14">
        <f t="shared" si="141"/>
        <v>1.9708830566360721E-12</v>
      </c>
      <c r="Q158" s="22">
        <f t="shared" si="162"/>
        <v>3.669434796176543E-12</v>
      </c>
      <c r="R158" s="62">
        <f t="shared" si="109"/>
        <v>293.33333333333701</v>
      </c>
      <c r="S158" s="62">
        <f ca="1">AVERAGE(OFFSET($R$3,0,0,'Données projet'!$E$9+1,1))-AVERAGE(OFFSET($H$3,0,0,'Données projet'!$E$9+1,1))</f>
        <v>287.52077437571728</v>
      </c>
      <c r="T158" s="62">
        <f t="shared" si="142"/>
        <v>420.95891230839874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21.95785872962503</v>
      </c>
      <c r="AA158" s="23">
        <f>EXP(-LN(2)/25)*AA157+(1-EXP(-LN(2)/25))/(LN(2)/25)*Calculateur!V158*Calculateur!X158*VLOOKUP('Données projet'!$B$9,Paramètres!$A$1:$I$89,3,0)*0.475*44/12</f>
        <v>1.0132554347836298</v>
      </c>
      <c r="AB158" s="23">
        <f>EXP(-LN(2)/2)*AB157+(1-EXP(-LN(2)/2))/(LN(2)/2)*V158*Y158*VLOOKUP('Données projet'!$B$9,Paramètres!$A$1:$I$89,3,0)*0.475*44/12</f>
        <v>3.8044597666014292E-16</v>
      </c>
      <c r="AC158" s="24">
        <f t="shared" si="163"/>
        <v>22.971114164408661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225.24357215754691</v>
      </c>
      <c r="AO158" s="62">
        <f t="shared" si="144"/>
        <v>569.2018208733989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5.5125244091726735</v>
      </c>
      <c r="AV158" s="23">
        <f>EXP(-LN(2)/25)*AV157+(1-EXP(-LN(2)/25))/(LN(2)/25)*Calculateur!AQ158*Calculateur!AS158*VLOOKUP('Données projet'!$B$10,Paramètres!$A$1:$I$89,3,0)*0.475*44/12</f>
        <v>0.84869700181497953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6.3612214109876533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2.2737367544323206E-13</v>
      </c>
      <c r="O159" s="14">
        <f>N159*VLOOKUP('Données projet'!$B$9,Paramètres!$A$1:$I$89,3,0)*VLOOKUP('Données projet'!$B$9,Paramètres!$A$1:$I$89,5,0)</f>
        <v>1.3596945791505279E-13</v>
      </c>
      <c r="P159" s="14">
        <f t="shared" si="141"/>
        <v>1.9708830566360721E-12</v>
      </c>
      <c r="Q159" s="22">
        <f t="shared" si="162"/>
        <v>3.669434796176543E-12</v>
      </c>
      <c r="R159" s="62">
        <f t="shared" si="109"/>
        <v>293.33333333333701</v>
      </c>
      <c r="S159" s="62">
        <f ca="1">AVERAGE(OFFSET($R$3,0,0,'Données projet'!$E$9+1,1))-AVERAGE(OFFSET($H$3,0,0,'Données projet'!$E$9+1,1))</f>
        <v>287.52077437571728</v>
      </c>
      <c r="T159" s="62">
        <f t="shared" si="142"/>
        <v>420.95891230839874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21.527278512908463</v>
      </c>
      <c r="AA159" s="23">
        <f>EXP(-LN(2)/25)*AA158+(1-EXP(-LN(2)/25))/(LN(2)/25)*Calculateur!V159*Calculateur!X159*VLOOKUP('Données projet'!$B$9,Paramètres!$A$1:$I$89,3,0)*0.475*44/12</f>
        <v>0.98554791163468392</v>
      </c>
      <c r="AB159" s="23">
        <f>EXP(-LN(2)/2)*AB158+(1-EXP(-LN(2)/2))/(LN(2)/2)*V159*Y159*VLOOKUP('Données projet'!$B$9,Paramètres!$A$1:$I$89,3,0)*0.475*44/12</f>
        <v>2.6901592997152604E-16</v>
      </c>
      <c r="AC159" s="24">
        <f t="shared" si="163"/>
        <v>22.512826424543146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225.24357215754691</v>
      </c>
      <c r="AO159" s="62">
        <f t="shared" si="144"/>
        <v>569.2018208733989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5.4044271678166869</v>
      </c>
      <c r="AV159" s="23">
        <f>EXP(-LN(2)/25)*AV158+(1-EXP(-LN(2)/25))/(LN(2)/25)*Calculateur!AQ159*Calculateur!AS159*VLOOKUP('Données projet'!$B$10,Paramètres!$A$1:$I$89,3,0)*0.475*44/12</f>
        <v>0.82548933766931332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6.229916505486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2.2737367544323206E-13</v>
      </c>
      <c r="O160" s="14">
        <f>N160*VLOOKUP('Données projet'!$B$9,Paramètres!$A$1:$I$89,3,0)*VLOOKUP('Données projet'!$B$9,Paramètres!$A$1:$I$89,5,0)</f>
        <v>1.3596945791505279E-13</v>
      </c>
      <c r="P160" s="14">
        <f t="shared" si="141"/>
        <v>1.9708830566360721E-12</v>
      </c>
      <c r="Q160" s="22">
        <f t="shared" si="162"/>
        <v>3.669434796176543E-12</v>
      </c>
      <c r="R160" s="62">
        <f t="shared" si="109"/>
        <v>293.33333333333701</v>
      </c>
      <c r="S160" s="62">
        <f ca="1">AVERAGE(OFFSET($R$3,0,0,'Données projet'!$E$9+1,1))-AVERAGE(OFFSET($H$3,0,0,'Données projet'!$E$9+1,1))</f>
        <v>287.52077437571728</v>
      </c>
      <c r="T160" s="62">
        <f t="shared" si="142"/>
        <v>420.95891230839874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21.105141711613708</v>
      </c>
      <c r="AA160" s="23">
        <f>EXP(-LN(2)/25)*AA159+(1-EXP(-LN(2)/25))/(LN(2)/25)*Calculateur!V160*Calculateur!X160*VLOOKUP('Données projet'!$B$9,Paramètres!$A$1:$I$89,3,0)*0.475*44/12</f>
        <v>0.95859805216332128</v>
      </c>
      <c r="AB160" s="23">
        <f>EXP(-LN(2)/2)*AB159+(1-EXP(-LN(2)/2))/(LN(2)/2)*V160*Y160*VLOOKUP('Données projet'!$B$9,Paramètres!$A$1:$I$89,3,0)*0.475*44/12</f>
        <v>1.9022298833007146E-16</v>
      </c>
      <c r="AC160" s="24">
        <f t="shared" si="163"/>
        <v>22.063739763777029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225.24357215754691</v>
      </c>
      <c r="AO160" s="62">
        <f t="shared" si="144"/>
        <v>569.2018208733989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5.2984496474308838</v>
      </c>
      <c r="AV160" s="23">
        <f>EXP(-LN(2)/25)*AV159+(1-EXP(-LN(2)/25))/(LN(2)/25)*Calculateur!AQ160*Calculateur!AS160*VLOOKUP('Données projet'!$B$10,Paramètres!$A$1:$I$89,3,0)*0.475*44/12</f>
        <v>0.80291628832014839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6.1013659357510317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2.2737367544323206E-13</v>
      </c>
      <c r="O161" s="14">
        <f>N161*VLOOKUP('Données projet'!$B$9,Paramètres!$A$1:$I$89,3,0)*VLOOKUP('Données projet'!$B$9,Paramètres!$A$1:$I$89,5,0)</f>
        <v>1.3596945791505279E-13</v>
      </c>
      <c r="P161" s="14">
        <f t="shared" si="141"/>
        <v>1.9708830566360721E-12</v>
      </c>
      <c r="Q161" s="22">
        <f t="shared" si="162"/>
        <v>3.669434796176543E-12</v>
      </c>
      <c r="R161" s="62">
        <f t="shared" si="109"/>
        <v>293.33333333333701</v>
      </c>
      <c r="S161" s="62">
        <f ca="1">AVERAGE(OFFSET($R$3,0,0,'Données projet'!$E$9+1,1))-AVERAGE(OFFSET($H$3,0,0,'Données projet'!$E$9+1,1))</f>
        <v>287.52077437571728</v>
      </c>
      <c r="T161" s="62">
        <f t="shared" si="142"/>
        <v>420.95891230839874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20.691282755514319</v>
      </c>
      <c r="AA161" s="23">
        <f>EXP(-LN(2)/25)*AA160+(1-EXP(-LN(2)/25))/(LN(2)/25)*Calculateur!V161*Calculateur!X161*VLOOKUP('Données projet'!$B$9,Paramètres!$A$1:$I$89,3,0)*0.475*44/12</f>
        <v>0.93238513801643463</v>
      </c>
      <c r="AB161" s="23">
        <f>EXP(-LN(2)/2)*AB160+(1-EXP(-LN(2)/2))/(LN(2)/2)*V161*Y161*VLOOKUP('Données projet'!$B$9,Paramètres!$A$1:$I$89,3,0)*0.475*44/12</f>
        <v>1.3450796498576302E-16</v>
      </c>
      <c r="AC161" s="24">
        <f t="shared" si="163"/>
        <v>21.623667893530754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225.24357215754691</v>
      </c>
      <c r="AO161" s="62">
        <f t="shared" si="144"/>
        <v>569.2018208733989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5.194550281579942</v>
      </c>
      <c r="AV161" s="23">
        <f>EXP(-LN(2)/25)*AV160+(1-EXP(-LN(2)/25))/(LN(2)/25)*Calculateur!AQ161*Calculateur!AS161*VLOOKUP('Données projet'!$B$10,Paramètres!$A$1:$I$89,3,0)*0.475*44/12</f>
        <v>0.78096050019250141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5.9755107817724431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2.2737367544323206E-13</v>
      </c>
      <c r="O162" s="14">
        <f>N162*VLOOKUP('Données projet'!$B$9,Paramètres!$A$1:$I$89,3,0)*VLOOKUP('Données projet'!$B$9,Paramètres!$A$1:$I$89,5,0)</f>
        <v>1.3596945791505279E-13</v>
      </c>
      <c r="P162" s="14">
        <f t="shared" si="141"/>
        <v>1.9708830566360721E-12</v>
      </c>
      <c r="Q162" s="22">
        <f t="shared" si="162"/>
        <v>3.669434796176543E-12</v>
      </c>
      <c r="R162" s="62">
        <f t="shared" si="109"/>
        <v>293.33333333333701</v>
      </c>
      <c r="S162" s="62">
        <f ca="1">AVERAGE(OFFSET($R$3,0,0,'Données projet'!$E$9+1,1))-AVERAGE(OFFSET($H$3,0,0,'Données projet'!$E$9+1,1))</f>
        <v>287.52077437571728</v>
      </c>
      <c r="T162" s="62">
        <f t="shared" si="142"/>
        <v>420.95891230839874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20.285539321114999</v>
      </c>
      <c r="AA162" s="23">
        <f>EXP(-LN(2)/25)*AA161+(1-EXP(-LN(2)/25))/(LN(2)/25)*Calculateur!V162*Calculateur!X162*VLOOKUP('Données projet'!$B$9,Paramètres!$A$1:$I$89,3,0)*0.475*44/12</f>
        <v>0.90688901738537187</v>
      </c>
      <c r="AB162" s="23">
        <f>EXP(-LN(2)/2)*AB161+(1-EXP(-LN(2)/2))/(LN(2)/2)*V162*Y162*VLOOKUP('Données projet'!$B$9,Paramètres!$A$1:$I$89,3,0)*0.475*44/12</f>
        <v>9.511149416503573E-17</v>
      </c>
      <c r="AC162" s="24">
        <f t="shared" si="163"/>
        <v>21.19242833850037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225.24357215754691</v>
      </c>
      <c r="AO162" s="62">
        <f t="shared" si="144"/>
        <v>569.2018208733989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5.0926883189209811</v>
      </c>
      <c r="AV162" s="23">
        <f>EXP(-LN(2)/25)*AV161+(1-EXP(-LN(2)/25))/(LN(2)/25)*Calculateur!AQ162*Calculateur!AS162*VLOOKUP('Données projet'!$B$10,Paramètres!$A$1:$I$89,3,0)*0.475*44/12</f>
        <v>0.75960509424580969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5.852293413166791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2.2737367544323206E-13</v>
      </c>
      <c r="O163" s="14">
        <f>N163*VLOOKUP('Données projet'!$B$9,Paramètres!$A$1:$I$89,3,0)*VLOOKUP('Données projet'!$B$9,Paramètres!$A$1:$I$89,5,0)</f>
        <v>1.3596945791505279E-13</v>
      </c>
      <c r="P163" s="14">
        <f t="shared" si="141"/>
        <v>1.9708830566360721E-12</v>
      </c>
      <c r="Q163" s="22">
        <f t="shared" si="162"/>
        <v>3.669434796176543E-12</v>
      </c>
      <c r="R163" s="62">
        <f t="shared" si="109"/>
        <v>293.33333333333701</v>
      </c>
      <c r="S163" s="62">
        <f ca="1">AVERAGE(OFFSET($R$3,0,0,'Données projet'!$E$9+1,1))-AVERAGE(OFFSET($H$3,0,0,'Données projet'!$E$9+1,1))</f>
        <v>287.52077437571728</v>
      </c>
      <c r="T163" s="62">
        <f t="shared" si="142"/>
        <v>420.95891230839874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19.887752267985192</v>
      </c>
      <c r="AA163" s="23">
        <f>EXP(-LN(2)/25)*AA162+(1-EXP(-LN(2)/25))/(LN(2)/25)*Calculateur!V163*Calculateur!X163*VLOOKUP('Données projet'!$B$9,Paramètres!$A$1:$I$89,3,0)*0.475*44/12</f>
        <v>0.88209008951374812</v>
      </c>
      <c r="AB163" s="23">
        <f>EXP(-LN(2)/2)*AB162+(1-EXP(-LN(2)/2))/(LN(2)/2)*V163*Y163*VLOOKUP('Données projet'!$B$9,Paramètres!$A$1:$I$89,3,0)*0.475*44/12</f>
        <v>6.725398249288151E-17</v>
      </c>
      <c r="AC163" s="24">
        <f t="shared" si="163"/>
        <v>20.769842357498941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225.24357215754691</v>
      </c>
      <c r="AO163" s="62">
        <f t="shared" si="144"/>
        <v>569.2018208733989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4.9928238072201001</v>
      </c>
      <c r="AV163" s="23">
        <f>EXP(-LN(2)/25)*AV162+(1-EXP(-LN(2)/25))/(LN(2)/25)*Calculateur!AQ163*Calculateur!AS163*VLOOKUP('Données projet'!$B$10,Paramètres!$A$1:$I$89,3,0)*0.475*44/12</f>
        <v>0.73883365299776227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5.7316574602178623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2.2737367544323206E-13</v>
      </c>
      <c r="O164" s="14">
        <f>N164*VLOOKUP('Données projet'!$B$9,Paramètres!$A$1:$I$89,3,0)*VLOOKUP('Données projet'!$B$9,Paramètres!$A$1:$I$89,5,0)</f>
        <v>1.3596945791505279E-13</v>
      </c>
      <c r="P164" s="14">
        <f t="shared" si="141"/>
        <v>1.9708830566360721E-12</v>
      </c>
      <c r="Q164" s="22">
        <f t="shared" si="162"/>
        <v>3.669434796176543E-12</v>
      </c>
      <c r="R164" s="62">
        <f t="shared" si="109"/>
        <v>293.33333333333701</v>
      </c>
      <c r="S164" s="62">
        <f ca="1">AVERAGE(OFFSET($R$3,0,0,'Données projet'!$E$9+1,1))-AVERAGE(OFFSET($H$3,0,0,'Données projet'!$E$9+1,1))</f>
        <v>287.52077437571728</v>
      </c>
      <c r="T164" s="62">
        <f t="shared" si="142"/>
        <v>420.95891230839874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19.497765576341116</v>
      </c>
      <c r="AA164" s="23">
        <f>EXP(-LN(2)/25)*AA163+(1-EXP(-LN(2)/25))/(LN(2)/25)*Calculateur!V164*Calculateur!X164*VLOOKUP('Données projet'!$B$9,Paramètres!$A$1:$I$89,3,0)*0.475*44/12</f>
        <v>0.85796928962889296</v>
      </c>
      <c r="AB164" s="23">
        <f>EXP(-LN(2)/2)*AB163+(1-EXP(-LN(2)/2))/(LN(2)/2)*V164*Y164*VLOOKUP('Données projet'!$B$9,Paramètres!$A$1:$I$89,3,0)*0.475*44/12</f>
        <v>4.7555747082517865E-17</v>
      </c>
      <c r="AC164" s="24">
        <f t="shared" si="163"/>
        <v>20.35573486597001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225.24357215754691</v>
      </c>
      <c r="AO164" s="62">
        <f t="shared" si="144"/>
        <v>569.2018208733989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4.8949175776823362</v>
      </c>
      <c r="AV164" s="23">
        <f>EXP(-LN(2)/25)*AV163+(1-EXP(-LN(2)/25))/(LN(2)/25)*Calculateur!AQ164*Calculateur!AS164*VLOOKUP('Données projet'!$B$10,Paramètres!$A$1:$I$89,3,0)*0.475*44/12</f>
        <v>0.71863020790296528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5.6135477855853013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2.2737367544323206E-13</v>
      </c>
      <c r="O165" s="14">
        <f>N165*VLOOKUP('Données projet'!$B$9,Paramètres!$A$1:$I$89,3,0)*VLOOKUP('Données projet'!$B$9,Paramètres!$A$1:$I$89,5,0)</f>
        <v>1.3596945791505279E-13</v>
      </c>
      <c r="P165" s="14">
        <f t="shared" si="141"/>
        <v>1.9708830566360721E-12</v>
      </c>
      <c r="Q165" s="22">
        <f t="shared" si="162"/>
        <v>3.669434796176543E-12</v>
      </c>
      <c r="R165" s="62">
        <f t="shared" si="109"/>
        <v>293.33333333333701</v>
      </c>
      <c r="S165" s="62">
        <f ca="1">AVERAGE(OFFSET($R$3,0,0,'Données projet'!$E$9+1,1))-AVERAGE(OFFSET($H$3,0,0,'Données projet'!$E$9+1,1))</f>
        <v>287.52077437571728</v>
      </c>
      <c r="T165" s="62">
        <f t="shared" si="142"/>
        <v>420.95891230839874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19.115426285851786</v>
      </c>
      <c r="AA165" s="23">
        <f>EXP(-LN(2)/25)*AA164+(1-EXP(-LN(2)/25))/(LN(2)/25)*Calculateur!V165*Calculateur!X165*VLOOKUP('Données projet'!$B$9,Paramètres!$A$1:$I$89,3,0)*0.475*44/12</f>
        <v>0.8345080742853469</v>
      </c>
      <c r="AB165" s="23">
        <f>EXP(-LN(2)/2)*AB164+(1-EXP(-LN(2)/2))/(LN(2)/2)*V165*Y165*VLOOKUP('Données projet'!$B$9,Paramètres!$A$1:$I$89,3,0)*0.475*44/12</f>
        <v>3.3626991246440755E-17</v>
      </c>
      <c r="AC165" s="24">
        <f t="shared" si="163"/>
        <v>19.949934360137132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225.24357215754691</v>
      </c>
      <c r="AO165" s="62">
        <f t="shared" si="144"/>
        <v>569.2018208733989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4.7989312295889039</v>
      </c>
      <c r="AV165" s="23">
        <f>EXP(-LN(2)/25)*AV164+(1-EXP(-LN(2)/25))/(LN(2)/25)*Calculateur!AQ165*Calculateur!AS165*VLOOKUP('Données projet'!$B$10,Paramètres!$A$1:$I$89,3,0)*0.475*44/12</f>
        <v>0.69897922707673854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5.4979104566656423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2.2737367544323206E-13</v>
      </c>
      <c r="O166" s="14">
        <f>N166*VLOOKUP('Données projet'!$B$9,Paramètres!$A$1:$I$89,3,0)*VLOOKUP('Données projet'!$B$9,Paramètres!$A$1:$I$89,5,0)</f>
        <v>1.3596945791505279E-13</v>
      </c>
      <c r="P166" s="14">
        <f t="shared" si="141"/>
        <v>1.9708830566360721E-12</v>
      </c>
      <c r="Q166" s="22">
        <f t="shared" si="162"/>
        <v>3.669434796176543E-12</v>
      </c>
      <c r="R166" s="62">
        <f t="shared" si="109"/>
        <v>293.33333333333701</v>
      </c>
      <c r="S166" s="62">
        <f ca="1">AVERAGE(OFFSET($R$3,0,0,'Données projet'!$E$9+1,1))-AVERAGE(OFFSET($H$3,0,0,'Données projet'!$E$9+1,1))</f>
        <v>287.52077437571728</v>
      </c>
      <c r="T166" s="62">
        <f t="shared" si="142"/>
        <v>420.95891230839874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18.740584435645012</v>
      </c>
      <c r="AA166" s="23">
        <f>EXP(-LN(2)/25)*AA165+(1-EXP(-LN(2)/25))/(LN(2)/25)*Calculateur!V166*Calculateur!X166*VLOOKUP('Données projet'!$B$9,Paramètres!$A$1:$I$89,3,0)*0.475*44/12</f>
        <v>0.81168840710914181</v>
      </c>
      <c r="AB166" s="23">
        <f>EXP(-LN(2)/2)*AB165+(1-EXP(-LN(2)/2))/(LN(2)/2)*V166*Y166*VLOOKUP('Données projet'!$B$9,Paramètres!$A$1:$I$89,3,0)*0.475*44/12</f>
        <v>2.3777873541258932E-17</v>
      </c>
      <c r="AC166" s="24">
        <f t="shared" si="163"/>
        <v>19.552272842754153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225.24357215754691</v>
      </c>
      <c r="AO166" s="62">
        <f t="shared" si="144"/>
        <v>569.2018208733989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4.7048271152356929</v>
      </c>
      <c r="AV166" s="23">
        <f>EXP(-LN(2)/25)*AV165+(1-EXP(-LN(2)/25))/(LN(2)/25)*Calculateur!AQ166*Calculateur!AS166*VLOOKUP('Données projet'!$B$10,Paramètres!$A$1:$I$89,3,0)*0.475*44/12</f>
        <v>0.67986560335460511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5.3846927185902977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2.2737367544323206E-13</v>
      </c>
      <c r="O167" s="14">
        <f>N167*VLOOKUP('Données projet'!$B$9,Paramètres!$A$1:$I$89,3,0)*VLOOKUP('Données projet'!$B$9,Paramètres!$A$1:$I$89,5,0)</f>
        <v>1.3596945791505279E-13</v>
      </c>
      <c r="P167" s="14">
        <f t="shared" si="141"/>
        <v>1.9708830566360721E-12</v>
      </c>
      <c r="Q167" s="22">
        <f t="shared" si="162"/>
        <v>3.669434796176543E-12</v>
      </c>
      <c r="R167" s="62">
        <f t="shared" si="109"/>
        <v>293.33333333333701</v>
      </c>
      <c r="S167" s="62">
        <f ca="1">AVERAGE(OFFSET($R$3,0,0,'Données projet'!$E$9+1,1))-AVERAGE(OFFSET($H$3,0,0,'Données projet'!$E$9+1,1))</f>
        <v>287.52077437571728</v>
      </c>
      <c r="T167" s="62">
        <f t="shared" si="142"/>
        <v>420.95891230839874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18.373093005489839</v>
      </c>
      <c r="AA167" s="23">
        <f>EXP(-LN(2)/25)*AA166+(1-EXP(-LN(2)/25))/(LN(2)/25)*Calculateur!V167*Calculateur!X167*VLOOKUP('Données projet'!$B$9,Paramètres!$A$1:$I$89,3,0)*0.475*44/12</f>
        <v>0.78949274493190413</v>
      </c>
      <c r="AB167" s="23">
        <f>EXP(-LN(2)/2)*AB166+(1-EXP(-LN(2)/2))/(LN(2)/2)*V167*Y167*VLOOKUP('Données projet'!$B$9,Paramètres!$A$1:$I$89,3,0)*0.475*44/12</f>
        <v>1.6813495623220378E-17</v>
      </c>
      <c r="AC167" s="24">
        <f t="shared" si="163"/>
        <v>19.162585750421744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225.24357215754691</v>
      </c>
      <c r="AO167" s="62">
        <f t="shared" si="144"/>
        <v>569.2018208733989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4.6125683251671061</v>
      </c>
      <c r="AV167" s="23">
        <f>EXP(-LN(2)/25)*AV166+(1-EXP(-LN(2)/25))/(LN(2)/25)*Calculateur!AQ167*Calculateur!AS167*VLOOKUP('Données projet'!$B$10,Paramètres!$A$1:$I$89,3,0)*0.475*44/12</f>
        <v>0.66127464267829517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5.2738429678454013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2.2737367544323206E-13</v>
      </c>
      <c r="O168" s="14">
        <f>N168*VLOOKUP('Données projet'!$B$9,Paramètres!$A$1:$I$89,3,0)*VLOOKUP('Données projet'!$B$9,Paramètres!$A$1:$I$89,5,0)</f>
        <v>1.3596945791505279E-13</v>
      </c>
      <c r="P168" s="14">
        <f t="shared" si="141"/>
        <v>1.9708830566360721E-12</v>
      </c>
      <c r="Q168" s="22">
        <f t="shared" si="162"/>
        <v>3.669434796176543E-12</v>
      </c>
      <c r="R168" s="62">
        <f t="shared" si="109"/>
        <v>293.33333333333701</v>
      </c>
      <c r="S168" s="62">
        <f ca="1">AVERAGE(OFFSET($R$3,0,0,'Données projet'!$E$9+1,1))-AVERAGE(OFFSET($H$3,0,0,'Données projet'!$E$9+1,1))</f>
        <v>287.52077437571728</v>
      </c>
      <c r="T168" s="62">
        <f t="shared" si="142"/>
        <v>420.95891230839874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18.012807858132369</v>
      </c>
      <c r="AA168" s="23">
        <f>EXP(-LN(2)/25)*AA167+(1-EXP(-LN(2)/25))/(LN(2)/25)*Calculateur!V168*Calculateur!X168*VLOOKUP('Données projet'!$B$9,Paramètres!$A$1:$I$89,3,0)*0.475*44/12</f>
        <v>0.76790402430412219</v>
      </c>
      <c r="AB168" s="23">
        <f>EXP(-LN(2)/2)*AB167+(1-EXP(-LN(2)/2))/(LN(2)/2)*V168*Y168*VLOOKUP('Données projet'!$B$9,Paramètres!$A$1:$I$89,3,0)*0.475*44/12</f>
        <v>1.1888936770629466E-17</v>
      </c>
      <c r="AC168" s="24">
        <f t="shared" si="163"/>
        <v>18.780711882436492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225.24357215754691</v>
      </c>
      <c r="AO168" s="62">
        <f t="shared" si="144"/>
        <v>569.2018208733989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4.5221186736994587</v>
      </c>
      <c r="AV168" s="23">
        <f>EXP(-LN(2)/25)*AV167+(1-EXP(-LN(2)/25))/(LN(2)/25)*Calculateur!AQ168*Calculateur!AS168*VLOOKUP('Données projet'!$B$10,Paramètres!$A$1:$I$89,3,0)*0.475*44/12</f>
        <v>0.64319205279933511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5.1653107264987934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2.2737367544323206E-13</v>
      </c>
      <c r="O169" s="14">
        <f>N169*VLOOKUP('Données projet'!$B$9,Paramètres!$A$1:$I$89,3,0)*VLOOKUP('Données projet'!$B$9,Paramètres!$A$1:$I$89,5,0)</f>
        <v>1.3596945791505279E-13</v>
      </c>
      <c r="P169" s="14">
        <f t="shared" si="141"/>
        <v>1.9708830566360721E-12</v>
      </c>
      <c r="Q169" s="22">
        <f t="shared" si="162"/>
        <v>3.669434796176543E-12</v>
      </c>
      <c r="R169" s="62">
        <f t="shared" si="109"/>
        <v>293.33333333333701</v>
      </c>
      <c r="S169" s="62">
        <f ca="1">AVERAGE(OFFSET($R$3,0,0,'Données projet'!$E$9+1,1))-AVERAGE(OFFSET($H$3,0,0,'Données projet'!$E$9+1,1))</f>
        <v>287.52077437571728</v>
      </c>
      <c r="T169" s="62">
        <f t="shared" si="142"/>
        <v>420.95891230839874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17.659587682762339</v>
      </c>
      <c r="AA169" s="23">
        <f>EXP(-LN(2)/25)*AA168+(1-EXP(-LN(2)/25))/(LN(2)/25)*Calculateur!V169*Calculateur!X169*VLOOKUP('Données projet'!$B$9,Paramètres!$A$1:$I$89,3,0)*0.475*44/12</f>
        <v>0.74690564837720841</v>
      </c>
      <c r="AB169" s="23">
        <f>EXP(-LN(2)/2)*AB168+(1-EXP(-LN(2)/2))/(LN(2)/2)*V169*Y169*VLOOKUP('Données projet'!$B$9,Paramètres!$A$1:$I$89,3,0)*0.475*44/12</f>
        <v>8.4067478116101888E-18</v>
      </c>
      <c r="AC169" s="24">
        <f t="shared" si="163"/>
        <v>18.406493331139547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225.24357215754691</v>
      </c>
      <c r="AO169" s="62">
        <f t="shared" si="144"/>
        <v>569.2018208733989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4.4334426847282513</v>
      </c>
      <c r="AV169" s="23">
        <f>EXP(-LN(2)/25)*AV168+(1-EXP(-LN(2)/25))/(LN(2)/25)*Calculateur!AQ169*Calculateur!AS169*VLOOKUP('Données projet'!$B$10,Paramètres!$A$1:$I$89,3,0)*0.475*44/12</f>
        <v>0.62560393229153732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5.0590466170197885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2.2737367544323206E-13</v>
      </c>
      <c r="O170" s="14">
        <f>N170*VLOOKUP('Données projet'!$B$9,Paramètres!$A$1:$I$89,3,0)*VLOOKUP('Données projet'!$B$9,Paramètres!$A$1:$I$89,5,0)</f>
        <v>1.3596945791505279E-13</v>
      </c>
      <c r="P170" s="14">
        <f t="shared" si="141"/>
        <v>1.9708830566360721E-12</v>
      </c>
      <c r="Q170" s="22">
        <f t="shared" si="162"/>
        <v>3.669434796176543E-12</v>
      </c>
      <c r="R170" s="62">
        <f t="shared" si="109"/>
        <v>293.33333333333701</v>
      </c>
      <c r="S170" s="62">
        <f ca="1">AVERAGE(OFFSET($R$3,0,0,'Données projet'!$E$9+1,1))-AVERAGE(OFFSET($H$3,0,0,'Données projet'!$E$9+1,1))</f>
        <v>287.52077437571728</v>
      </c>
      <c r="T170" s="62">
        <f t="shared" si="142"/>
        <v>420.95891230839874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17.313293939588281</v>
      </c>
      <c r="AA170" s="23">
        <f>EXP(-LN(2)/25)*AA169+(1-EXP(-LN(2)/25))/(LN(2)/25)*Calculateur!V170*Calculateur!X170*VLOOKUP('Données projet'!$B$9,Paramètres!$A$1:$I$89,3,0)*0.475*44/12</f>
        <v>0.72648147414427267</v>
      </c>
      <c r="AB170" s="23">
        <f>EXP(-LN(2)/2)*AB169+(1-EXP(-LN(2)/2))/(LN(2)/2)*V170*Y170*VLOOKUP('Données projet'!$B$9,Paramètres!$A$1:$I$89,3,0)*0.475*44/12</f>
        <v>5.9444683853147331E-18</v>
      </c>
      <c r="AC170" s="24">
        <f t="shared" si="163"/>
        <v>18.039775413732553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225.24357215754691</v>
      </c>
      <c r="AO170" s="62">
        <f t="shared" si="144"/>
        <v>569.2018208733989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4.3465055778137573</v>
      </c>
      <c r="AV170" s="23">
        <f>EXP(-LN(2)/25)*AV169+(1-EXP(-LN(2)/25))/(LN(2)/25)*Calculateur!AQ170*Calculateur!AS170*VLOOKUP('Données projet'!$B$10,Paramètres!$A$1:$I$89,3,0)*0.475*44/12</f>
        <v>0.60849675986394425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4.9550023376777013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2.2737367544323206E-13</v>
      </c>
      <c r="O171" s="14">
        <f>N171*VLOOKUP('Données projet'!$B$9,Paramètres!$A$1:$I$89,3,0)*VLOOKUP('Données projet'!$B$9,Paramètres!$A$1:$I$89,5,0)</f>
        <v>1.3596945791505279E-13</v>
      </c>
      <c r="P171" s="14">
        <f t="shared" si="141"/>
        <v>1.9708830566360721E-12</v>
      </c>
      <c r="Q171" s="22">
        <f t="shared" si="162"/>
        <v>3.669434796176543E-12</v>
      </c>
      <c r="R171" s="62">
        <f t="shared" si="109"/>
        <v>293.33333333333701</v>
      </c>
      <c r="S171" s="62">
        <f ca="1">AVERAGE(OFFSET($R$3,0,0,'Données projet'!$E$9+1,1))-AVERAGE(OFFSET($H$3,0,0,'Données projet'!$E$9+1,1))</f>
        <v>287.52077437571728</v>
      </c>
      <c r="T171" s="62">
        <f t="shared" si="142"/>
        <v>420.95891230839874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16.973790805499537</v>
      </c>
      <c r="AA171" s="23">
        <f>EXP(-LN(2)/25)*AA170+(1-EXP(-LN(2)/25))/(LN(2)/25)*Calculateur!V171*Calculateur!X171*VLOOKUP('Données projet'!$B$9,Paramètres!$A$1:$I$89,3,0)*0.475*44/12</f>
        <v>0.70661580002979718</v>
      </c>
      <c r="AB171" s="23">
        <f>EXP(-LN(2)/2)*AB170+(1-EXP(-LN(2)/2))/(LN(2)/2)*V171*Y171*VLOOKUP('Données projet'!$B$9,Paramètres!$A$1:$I$89,3,0)*0.475*44/12</f>
        <v>4.2033739058050944E-18</v>
      </c>
      <c r="AC171" s="24">
        <f t="shared" si="163"/>
        <v>17.680406605529335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225.24357215754691</v>
      </c>
      <c r="AO171" s="62">
        <f t="shared" si="144"/>
        <v>569.2018208733989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4.2612732545394572</v>
      </c>
      <c r="AV171" s="23">
        <f>EXP(-LN(2)/25)*AV170+(1-EXP(-LN(2)/25))/(LN(2)/25)*Calculateur!AQ171*Calculateur!AS171*VLOOKUP('Données projet'!$B$10,Paramètres!$A$1:$I$89,3,0)*0.475*44/12</f>
        <v>0.59185738396601084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4.8531306385054682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2.2737367544323206E-13</v>
      </c>
      <c r="O172" s="14">
        <f>N172*VLOOKUP('Données projet'!$B$9,Paramètres!$A$1:$I$89,3,0)*VLOOKUP('Données projet'!$B$9,Paramètres!$A$1:$I$89,5,0)</f>
        <v>1.3596945791505279E-13</v>
      </c>
      <c r="P172" s="14">
        <f t="shared" si="141"/>
        <v>1.9708830566360721E-12</v>
      </c>
      <c r="Q172" s="22">
        <f t="shared" si="162"/>
        <v>3.669434796176543E-12</v>
      </c>
      <c r="R172" s="62">
        <f t="shared" si="109"/>
        <v>293.33333333333701</v>
      </c>
      <c r="S172" s="62">
        <f ca="1">AVERAGE(OFFSET($R$3,0,0,'Données projet'!$E$9+1,1))-AVERAGE(OFFSET($H$3,0,0,'Données projet'!$E$9+1,1))</f>
        <v>287.52077437571728</v>
      </c>
      <c r="T172" s="62">
        <f t="shared" si="142"/>
        <v>420.95891230839874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16.640945120793809</v>
      </c>
      <c r="AA172" s="23">
        <f>EXP(-LN(2)/25)*AA171+(1-EXP(-LN(2)/25))/(LN(2)/25)*Calculateur!V172*Calculateur!X172*VLOOKUP('Données projet'!$B$9,Paramètres!$A$1:$I$89,3,0)*0.475*44/12</f>
        <v>0.6872933538186724</v>
      </c>
      <c r="AB172" s="23">
        <f>EXP(-LN(2)/2)*AB171+(1-EXP(-LN(2)/2))/(LN(2)/2)*V172*Y172*VLOOKUP('Données projet'!$B$9,Paramètres!$A$1:$I$89,3,0)*0.475*44/12</f>
        <v>2.9722341926573666E-18</v>
      </c>
      <c r="AC172" s="24">
        <f t="shared" si="163"/>
        <v>17.32823847461248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225.24357215754691</v>
      </c>
      <c r="AO172" s="62">
        <f t="shared" si="144"/>
        <v>569.2018208733989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4.1777122851379822</v>
      </c>
      <c r="AV172" s="23">
        <f>EXP(-LN(2)/25)*AV171+(1-EXP(-LN(2)/25))/(LN(2)/25)*Calculateur!AQ172*Calculateur!AS172*VLOOKUP('Données projet'!$B$10,Paramètres!$A$1:$I$89,3,0)*0.475*44/12</f>
        <v>0.57567301267703319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4.7533852978150151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2.2737367544323206E-13</v>
      </c>
      <c r="O173" s="14">
        <f>N173*VLOOKUP('Données projet'!$B$9,Paramètres!$A$1:$I$89,3,0)*VLOOKUP('Données projet'!$B$9,Paramètres!$A$1:$I$89,5,0)</f>
        <v>1.3596945791505279E-13</v>
      </c>
      <c r="P173" s="14">
        <f t="shared" si="141"/>
        <v>1.9708830566360721E-12</v>
      </c>
      <c r="Q173" s="22">
        <f t="shared" si="162"/>
        <v>3.669434796176543E-12</v>
      </c>
      <c r="R173" s="62">
        <f t="shared" si="109"/>
        <v>293.33333333333701</v>
      </c>
      <c r="S173" s="62">
        <f ca="1">AVERAGE(OFFSET($R$3,0,0,'Données projet'!$E$9+1,1))-AVERAGE(OFFSET($H$3,0,0,'Données projet'!$E$9+1,1))</f>
        <v>287.52077437571728</v>
      </c>
      <c r="T173" s="62">
        <f t="shared" si="142"/>
        <v>420.95891230839874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16.314626336949338</v>
      </c>
      <c r="AA173" s="23">
        <f>EXP(-LN(2)/25)*AA172+(1-EXP(-LN(2)/25))/(LN(2)/25)*Calculateur!V173*Calculateur!X173*VLOOKUP('Données projet'!$B$9,Paramètres!$A$1:$I$89,3,0)*0.475*44/12</f>
        <v>0.66849928091531419</v>
      </c>
      <c r="AB173" s="23">
        <f>EXP(-LN(2)/2)*AB172+(1-EXP(-LN(2)/2))/(LN(2)/2)*V173*Y173*VLOOKUP('Données projet'!$B$9,Paramètres!$A$1:$I$89,3,0)*0.475*44/12</f>
        <v>2.1016869529025472E-18</v>
      </c>
      <c r="AC173" s="24">
        <f t="shared" si="163"/>
        <v>16.983125617864651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225.24357215754691</v>
      </c>
      <c r="AO173" s="62">
        <f t="shared" si="144"/>
        <v>569.2018208733989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4.095789895379311</v>
      </c>
      <c r="AV173" s="23">
        <f>EXP(-LN(2)/25)*AV172+(1-EXP(-LN(2)/25))/(LN(2)/25)*Calculateur!AQ173*Calculateur!AS173*VLOOKUP('Données projet'!$B$10,Paramètres!$A$1:$I$89,3,0)*0.475*44/12</f>
        <v>0.55993120387205175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4.6557210992513625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2.2737367544323206E-13</v>
      </c>
      <c r="O174" s="14">
        <f>N174*VLOOKUP('Données projet'!$B$9,Paramètres!$A$1:$I$89,3,0)*VLOOKUP('Données projet'!$B$9,Paramètres!$A$1:$I$89,5,0)</f>
        <v>1.3596945791505279E-13</v>
      </c>
      <c r="P174" s="14">
        <f t="shared" si="141"/>
        <v>1.9708830566360721E-12</v>
      </c>
      <c r="Q174" s="22">
        <f t="shared" si="162"/>
        <v>3.669434796176543E-12</v>
      </c>
      <c r="R174" s="62">
        <f t="shared" si="109"/>
        <v>293.33333333333701</v>
      </c>
      <c r="S174" s="62">
        <f ca="1">AVERAGE(OFFSET($R$3,0,0,'Données projet'!$E$9+1,1))-AVERAGE(OFFSET($H$3,0,0,'Données projet'!$E$9+1,1))</f>
        <v>287.52077437571728</v>
      </c>
      <c r="T174" s="62">
        <f t="shared" si="142"/>
        <v>420.95891230839874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15.994706465421254</v>
      </c>
      <c r="AA174" s="23">
        <f>EXP(-LN(2)/25)*AA173+(1-EXP(-LN(2)/25))/(LN(2)/25)*Calculateur!V174*Calculateur!X174*VLOOKUP('Données projet'!$B$9,Paramètres!$A$1:$I$89,3,0)*0.475*44/12</f>
        <v>0.6502191329238356</v>
      </c>
      <c r="AB174" s="23">
        <f>EXP(-LN(2)/2)*AB173+(1-EXP(-LN(2)/2))/(LN(2)/2)*V174*Y174*VLOOKUP('Données projet'!$B$9,Paramètres!$A$1:$I$89,3,0)*0.475*44/12</f>
        <v>1.4861170963286833E-18</v>
      </c>
      <c r="AC174" s="24">
        <f t="shared" si="163"/>
        <v>16.64492559834509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225.24357215754691</v>
      </c>
      <c r="AO174" s="62">
        <f t="shared" si="144"/>
        <v>569.2018208733989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4.015473953716084</v>
      </c>
      <c r="AV174" s="23">
        <f>EXP(-LN(2)/25)*AV173+(1-EXP(-LN(2)/25))/(LN(2)/25)*Calculateur!AQ174*Calculateur!AS174*VLOOKUP('Données projet'!$B$10,Paramètres!$A$1:$I$89,3,0)*0.475*44/12</f>
        <v>0.54461985565666826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4.5600938093727521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2.2737367544323206E-13</v>
      </c>
      <c r="O175" s="14">
        <f>N175*VLOOKUP('Données projet'!$B$9,Paramètres!$A$1:$I$89,3,0)*VLOOKUP('Données projet'!$B$9,Paramètres!$A$1:$I$89,5,0)</f>
        <v>1.3596945791505279E-13</v>
      </c>
      <c r="P175" s="14">
        <f t="shared" si="141"/>
        <v>1.9708830566360721E-12</v>
      </c>
      <c r="Q175" s="22">
        <f t="shared" si="162"/>
        <v>3.669434796176543E-12</v>
      </c>
      <c r="R175" s="62">
        <f t="shared" si="109"/>
        <v>293.33333333333701</v>
      </c>
      <c r="S175" s="62">
        <f ca="1">AVERAGE(OFFSET($R$3,0,0,'Données projet'!$E$9+1,1))-AVERAGE(OFFSET($H$3,0,0,'Données projet'!$E$9+1,1))</f>
        <v>287.52077437571728</v>
      </c>
      <c r="T175" s="62">
        <f t="shared" si="142"/>
        <v>420.95891230839874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15.681060027441982</v>
      </c>
      <c r="AA175" s="23">
        <f>EXP(-LN(2)/25)*AA174+(1-EXP(-LN(2)/25))/(LN(2)/25)*Calculateur!V175*Calculateur!X175*VLOOKUP('Données projet'!$B$9,Paramètres!$A$1:$I$89,3,0)*0.475*44/12</f>
        <v>0.63243885654049525</v>
      </c>
      <c r="AB175" s="23">
        <f>EXP(-LN(2)/2)*AB174+(1-EXP(-LN(2)/2))/(LN(2)/2)*V175*Y175*VLOOKUP('Données projet'!$B$9,Paramètres!$A$1:$I$89,3,0)*0.475*44/12</f>
        <v>1.0508434764512736E-18</v>
      </c>
      <c r="AC175" s="24">
        <f t="shared" si="163"/>
        <v>16.313498883982476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225.24357215754691</v>
      </c>
      <c r="AO175" s="62">
        <f t="shared" si="144"/>
        <v>569.2018208733989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3.9367329586809854</v>
      </c>
      <c r="AV175" s="23">
        <f>EXP(-LN(2)/25)*AV174+(1-EXP(-LN(2)/25))/(LN(2)/25)*Calculateur!AQ175*Calculateur!AS175*VLOOKUP('Données projet'!$B$10,Paramètres!$A$1:$I$89,3,0)*0.475*44/12</f>
        <v>0.52972719706342319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4.466460155744409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2.2737367544323206E-13</v>
      </c>
      <c r="O176" s="14">
        <f>N176*VLOOKUP('Données projet'!$B$9,Paramètres!$A$1:$I$89,3,0)*VLOOKUP('Données projet'!$B$9,Paramètres!$A$1:$I$89,5,0)</f>
        <v>1.3596945791505279E-13</v>
      </c>
      <c r="P176" s="14">
        <f t="shared" si="141"/>
        <v>1.9708830566360721E-12</v>
      </c>
      <c r="Q176" s="22">
        <f t="shared" si="162"/>
        <v>3.669434796176543E-12</v>
      </c>
      <c r="R176" s="62">
        <f t="shared" si="109"/>
        <v>293.33333333333701</v>
      </c>
      <c r="S176" s="62">
        <f ca="1">AVERAGE(OFFSET($R$3,0,0,'Données projet'!$E$9+1,1))-AVERAGE(OFFSET($H$3,0,0,'Données projet'!$E$9+1,1))</f>
        <v>287.52077437571728</v>
      </c>
      <c r="T176" s="62">
        <f t="shared" si="142"/>
        <v>420.95891230839874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15.373564004806045</v>
      </c>
      <c r="AA176" s="23">
        <f>EXP(-LN(2)/25)*AA175+(1-EXP(-LN(2)/25))/(LN(2)/25)*Calculateur!V176*Calculateur!X176*VLOOKUP('Données projet'!$B$9,Paramètres!$A$1:$I$89,3,0)*0.475*44/12</f>
        <v>0.61514478274988138</v>
      </c>
      <c r="AB176" s="23">
        <f>EXP(-LN(2)/2)*AB175+(1-EXP(-LN(2)/2))/(LN(2)/2)*V176*Y176*VLOOKUP('Données projet'!$B$9,Paramètres!$A$1:$I$89,3,0)*0.475*44/12</f>
        <v>7.4305854816434164E-19</v>
      </c>
      <c r="AC176" s="24">
        <f t="shared" si="163"/>
        <v>15.988708787555927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225.24357215754691</v>
      </c>
      <c r="AO176" s="62">
        <f t="shared" si="144"/>
        <v>569.2018208733989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3.8595360265312602</v>
      </c>
      <c r="AV176" s="23">
        <f>EXP(-LN(2)/25)*AV175+(1-EXP(-LN(2)/25))/(LN(2)/25)*Calculateur!AQ176*Calculateur!AS176*VLOOKUP('Données projet'!$B$10,Paramètres!$A$1:$I$89,3,0)*0.475*44/12</f>
        <v>0.51524177900258128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4.3747778055338413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2.2737367544323206E-13</v>
      </c>
      <c r="O177" s="14">
        <f>N177*VLOOKUP('Données projet'!$B$9,Paramètres!$A$1:$I$89,3,0)*VLOOKUP('Données projet'!$B$9,Paramètres!$A$1:$I$89,5,0)</f>
        <v>1.3596945791505279E-13</v>
      </c>
      <c r="P177" s="14">
        <f t="shared" si="141"/>
        <v>1.9708830566360721E-12</v>
      </c>
      <c r="Q177" s="22">
        <f t="shared" si="162"/>
        <v>3.669434796176543E-12</v>
      </c>
      <c r="R177" s="62">
        <f t="shared" si="109"/>
        <v>293.33333333333701</v>
      </c>
      <c r="S177" s="62">
        <f ca="1">AVERAGE(OFFSET($R$3,0,0,'Données projet'!$E$9+1,1))-AVERAGE(OFFSET($H$3,0,0,'Données projet'!$E$9+1,1))</f>
        <v>287.52077437571728</v>
      </c>
      <c r="T177" s="62">
        <f t="shared" si="142"/>
        <v>420.95891230839874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15.072097791619944</v>
      </c>
      <c r="AA177" s="23">
        <f>EXP(-LN(2)/25)*AA176+(1-EXP(-LN(2)/25))/(LN(2)/25)*Calculateur!V177*Calculateur!X177*VLOOKUP('Données projet'!$B$9,Paramètres!$A$1:$I$89,3,0)*0.475*44/12</f>
        <v>0.59832361631652764</v>
      </c>
      <c r="AB177" s="23">
        <f>EXP(-LN(2)/2)*AB176+(1-EXP(-LN(2)/2))/(LN(2)/2)*V177*Y177*VLOOKUP('Données projet'!$B$9,Paramètres!$A$1:$I$89,3,0)*0.475*44/12</f>
        <v>5.254217382256368E-19</v>
      </c>
      <c r="AC177" s="24">
        <f t="shared" si="163"/>
        <v>15.670421407936471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225.24357215754691</v>
      </c>
      <c r="AO177" s="62">
        <f t="shared" si="144"/>
        <v>569.2018208733989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3.7838528791355119</v>
      </c>
      <c r="AV177" s="23">
        <f>EXP(-LN(2)/25)*AV176+(1-EXP(-LN(2)/25))/(LN(2)/25)*Calculateur!AQ177*Calculateur!AS177*VLOOKUP('Données projet'!$B$10,Paramètres!$A$1:$I$89,3,0)*0.475*44/12</f>
        <v>0.50115246546036818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4.2850053445958798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2.2737367544323206E-13</v>
      </c>
      <c r="O178" s="14">
        <f>N178*VLOOKUP('Données projet'!$B$9,Paramètres!$A$1:$I$89,3,0)*VLOOKUP('Données projet'!$B$9,Paramètres!$A$1:$I$89,5,0)</f>
        <v>1.3596945791505279E-13</v>
      </c>
      <c r="P178" s="14">
        <f t="shared" si="141"/>
        <v>1.9708830566360721E-12</v>
      </c>
      <c r="Q178" s="22">
        <f t="shared" si="162"/>
        <v>3.669434796176543E-12</v>
      </c>
      <c r="R178" s="62">
        <f t="shared" si="109"/>
        <v>293.33333333333701</v>
      </c>
      <c r="S178" s="62">
        <f ca="1">AVERAGE(OFFSET($R$3,0,0,'Données projet'!$E$9+1,1))-AVERAGE(OFFSET($H$3,0,0,'Données projet'!$E$9+1,1))</f>
        <v>287.52077437571728</v>
      </c>
      <c r="T178" s="62">
        <f t="shared" si="142"/>
        <v>420.95891230839874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14.77654314699819</v>
      </c>
      <c r="AA178" s="23">
        <f>EXP(-LN(2)/25)*AA177+(1-EXP(-LN(2)/25))/(LN(2)/25)*Calculateur!V178*Calculateur!X178*VLOOKUP('Données projet'!$B$9,Paramètres!$A$1:$I$89,3,0)*0.475*44/12</f>
        <v>0.58196242556388067</v>
      </c>
      <c r="AB178" s="23">
        <f>EXP(-LN(2)/2)*AB177+(1-EXP(-LN(2)/2))/(LN(2)/2)*V178*Y178*VLOOKUP('Données projet'!$B$9,Paramètres!$A$1:$I$89,3,0)*0.475*44/12</f>
        <v>3.7152927408217082E-19</v>
      </c>
      <c r="AC178" s="24">
        <f t="shared" si="163"/>
        <v>15.35850557256207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225.24357215754691</v>
      </c>
      <c r="AO178" s="62">
        <f t="shared" si="144"/>
        <v>569.2018208733989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3.7096538320980326</v>
      </c>
      <c r="AV178" s="23">
        <f>EXP(-LN(2)/25)*AV177+(1-EXP(-LN(2)/25))/(LN(2)/25)*Calculateur!AQ178*Calculateur!AS178*VLOOKUP('Données projet'!$B$10,Paramètres!$A$1:$I$89,3,0)*0.475*44/12</f>
        <v>0.48744842493789164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4.1971022570359242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2.2737367544323206E-13</v>
      </c>
      <c r="O179" s="14">
        <f>N179*VLOOKUP('Données projet'!$B$9,Paramètres!$A$1:$I$89,3,0)*VLOOKUP('Données projet'!$B$9,Paramètres!$A$1:$I$89,5,0)</f>
        <v>1.3596945791505279E-13</v>
      </c>
      <c r="P179" s="14">
        <f t="shared" si="141"/>
        <v>1.9708830566360721E-12</v>
      </c>
      <c r="Q179" s="22">
        <f t="shared" si="162"/>
        <v>3.669434796176543E-12</v>
      </c>
      <c r="R179" s="62">
        <f t="shared" si="109"/>
        <v>293.33333333333701</v>
      </c>
      <c r="S179" s="62">
        <f ca="1">AVERAGE(OFFSET($R$3,0,0,'Données projet'!$E$9+1,1))-AVERAGE(OFFSET($H$3,0,0,'Données projet'!$E$9+1,1))</f>
        <v>287.52077437571728</v>
      </c>
      <c r="T179" s="62">
        <f t="shared" si="142"/>
        <v>420.95891230839874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14.486784148686935</v>
      </c>
      <c r="AA179" s="23">
        <f>EXP(-LN(2)/25)*AA178+(1-EXP(-LN(2)/25))/(LN(2)/25)*Calculateur!V179*Calculateur!X179*VLOOKUP('Données projet'!$B$9,Paramètres!$A$1:$I$89,3,0)*0.475*44/12</f>
        <v>0.56604863243276249</v>
      </c>
      <c r="AB179" s="23">
        <f>EXP(-LN(2)/2)*AB178+(1-EXP(-LN(2)/2))/(LN(2)/2)*V179*Y179*VLOOKUP('Données projet'!$B$9,Paramètres!$A$1:$I$89,3,0)*0.475*44/12</f>
        <v>2.627108691128184E-19</v>
      </c>
      <c r="AC179" s="24">
        <f t="shared" si="163"/>
        <v>15.052832781119697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225.24357215754691</v>
      </c>
      <c r="AO179" s="62">
        <f t="shared" si="144"/>
        <v>569.2018208733989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3.6369097831160082</v>
      </c>
      <c r="AV179" s="23">
        <f>EXP(-LN(2)/25)*AV178+(1-EXP(-LN(2)/25))/(LN(2)/25)*Calculateur!AQ179*Calculateur!AS179*VLOOKUP('Données projet'!$B$10,Paramètres!$A$1:$I$89,3,0)*0.475*44/12</f>
        <v>0.4741191221241664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4.1110289052401745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2.2737367544323206E-13</v>
      </c>
      <c r="O180" s="14">
        <f>N180*VLOOKUP('Données projet'!$B$9,Paramètres!$A$1:$I$89,3,0)*VLOOKUP('Données projet'!$B$9,Paramètres!$A$1:$I$89,5,0)</f>
        <v>1.3596945791505279E-13</v>
      </c>
      <c r="P180" s="14">
        <f t="shared" si="141"/>
        <v>1.9708830566360721E-12</v>
      </c>
      <c r="Q180" s="22">
        <f t="shared" si="162"/>
        <v>3.669434796176543E-12</v>
      </c>
      <c r="R180" s="62">
        <f t="shared" si="109"/>
        <v>293.33333333333701</v>
      </c>
      <c r="S180" s="62">
        <f ca="1">AVERAGE(OFFSET($R$3,0,0,'Données projet'!$E$9+1,1))-AVERAGE(OFFSET($H$3,0,0,'Données projet'!$E$9+1,1))</f>
        <v>287.52077437571728</v>
      </c>
      <c r="T180" s="62">
        <f t="shared" si="142"/>
        <v>420.95891230839874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14.202707147597026</v>
      </c>
      <c r="AA180" s="23">
        <f>EXP(-LN(2)/25)*AA179+(1-EXP(-LN(2)/25))/(LN(2)/25)*Calculateur!V180*Calculateur!X180*VLOOKUP('Données projet'!$B$9,Paramètres!$A$1:$I$89,3,0)*0.475*44/12</f>
        <v>0.55057000281168478</v>
      </c>
      <c r="AB180" s="23">
        <f>EXP(-LN(2)/2)*AB179+(1-EXP(-LN(2)/2))/(LN(2)/2)*V180*Y180*VLOOKUP('Données projet'!$B$9,Paramètres!$A$1:$I$89,3,0)*0.475*44/12</f>
        <v>1.8576463704108541E-19</v>
      </c>
      <c r="AC180" s="24">
        <f t="shared" si="163"/>
        <v>14.753277150408712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225.24357215754691</v>
      </c>
      <c r="AO180" s="62">
        <f t="shared" si="144"/>
        <v>569.2018208733989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3.5655922005650327</v>
      </c>
      <c r="AV180" s="23">
        <f>EXP(-LN(2)/25)*AV179+(1-EXP(-LN(2)/25))/(LN(2)/25)*Calculateur!AQ180*Calculateur!AS180*VLOOKUP('Données projet'!$B$10,Paramètres!$A$1:$I$89,3,0)*0.475*44/12</f>
        <v>0.46115430979684008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4.0267465103618729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2.2737367544323206E-13</v>
      </c>
      <c r="O181" s="14">
        <f>N181*VLOOKUP('Données projet'!$B$9,Paramètres!$A$1:$I$89,3,0)*VLOOKUP('Données projet'!$B$9,Paramètres!$A$1:$I$89,5,0)</f>
        <v>1.3596945791505279E-13</v>
      </c>
      <c r="P181" s="14">
        <f t="shared" si="141"/>
        <v>1.9708830566360721E-12</v>
      </c>
      <c r="Q181" s="22">
        <f t="shared" si="162"/>
        <v>3.669434796176543E-12</v>
      </c>
      <c r="R181" s="62">
        <f t="shared" si="109"/>
        <v>293.33333333333701</v>
      </c>
      <c r="S181" s="62">
        <f ca="1">AVERAGE(OFFSET($R$3,0,0,'Données projet'!$E$9+1,1))-AVERAGE(OFFSET($H$3,0,0,'Données projet'!$E$9+1,1))</f>
        <v>287.52077437571728</v>
      </c>
      <c r="T181" s="62">
        <f t="shared" si="142"/>
        <v>420.95891230839874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13.924200723228628</v>
      </c>
      <c r="AA181" s="23">
        <f>EXP(-LN(2)/25)*AA180+(1-EXP(-LN(2)/25))/(LN(2)/25)*Calculateur!V181*Calculateur!X181*VLOOKUP('Données projet'!$B$9,Paramètres!$A$1:$I$89,3,0)*0.475*44/12</f>
        <v>0.53551463713158121</v>
      </c>
      <c r="AB181" s="23">
        <f>EXP(-LN(2)/2)*AB180+(1-EXP(-LN(2)/2))/(LN(2)/2)*V181*Y181*VLOOKUP('Données projet'!$B$9,Paramètres!$A$1:$I$89,3,0)*0.475*44/12</f>
        <v>1.313554345564092E-19</v>
      </c>
      <c r="AC181" s="24">
        <f t="shared" si="163"/>
        <v>14.459715360360208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225.24357215754691</v>
      </c>
      <c r="AO181" s="62">
        <f t="shared" si="144"/>
        <v>569.2018208733989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3.4956731123084515</v>
      </c>
      <c r="AV181" s="23">
        <f>EXP(-LN(2)/25)*AV180+(1-EXP(-LN(2)/25))/(LN(2)/25)*Calculateur!AQ181*Calculateur!AS181*VLOOKUP('Données projet'!$B$10,Paramètres!$A$1:$I$89,3,0)*0.475*44/12</f>
        <v>0.44854402094439433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3.9442171332528457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2.2737367544323206E-13</v>
      </c>
      <c r="O182" s="14">
        <f>N182*VLOOKUP('Données projet'!$B$9,Paramètres!$A$1:$I$89,3,0)*VLOOKUP('Données projet'!$B$9,Paramètres!$A$1:$I$89,5,0)</f>
        <v>1.3596945791505279E-13</v>
      </c>
      <c r="P182" s="14">
        <f t="shared" si="141"/>
        <v>1.9708830566360721E-12</v>
      </c>
      <c r="Q182" s="22">
        <f t="shared" si="162"/>
        <v>3.669434796176543E-12</v>
      </c>
      <c r="R182" s="62">
        <f t="shared" si="109"/>
        <v>293.33333333333701</v>
      </c>
      <c r="S182" s="62">
        <f ca="1">AVERAGE(OFFSET($R$3,0,0,'Données projet'!$E$9+1,1))-AVERAGE(OFFSET($H$3,0,0,'Données projet'!$E$9+1,1))</f>
        <v>287.52077437571728</v>
      </c>
      <c r="T182" s="62">
        <f t="shared" si="142"/>
        <v>420.95891230839874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13.65115563996995</v>
      </c>
      <c r="AA182" s="23">
        <f>EXP(-LN(2)/25)*AA181+(1-EXP(-LN(2)/25))/(LN(2)/25)*Calculateur!V182*Calculateur!X182*VLOOKUP('Données projet'!$B$9,Paramètres!$A$1:$I$89,3,0)*0.475*44/12</f>
        <v>0.52087096121772725</v>
      </c>
      <c r="AB182" s="23">
        <f>EXP(-LN(2)/2)*AB181+(1-EXP(-LN(2)/2))/(LN(2)/2)*V182*Y182*VLOOKUP('Données projet'!$B$9,Paramètres!$A$1:$I$89,3,0)*0.475*44/12</f>
        <v>9.2882318520542705E-20</v>
      </c>
      <c r="AC182" s="24">
        <f t="shared" si="163"/>
        <v>14.172026601187678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225.24357215754691</v>
      </c>
      <c r="AO182" s="62">
        <f t="shared" si="144"/>
        <v>569.2018208733989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3.4271250947261489</v>
      </c>
      <c r="AV182" s="23">
        <f>EXP(-LN(2)/25)*AV181+(1-EXP(-LN(2)/25))/(LN(2)/25)*Calculateur!AQ182*Calculateur!AS182*VLOOKUP('Données projet'!$B$10,Paramètres!$A$1:$I$89,3,0)*0.475*44/12</f>
        <v>0.43627856110376495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3.8634036558299139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2.2737367544323206E-13</v>
      </c>
      <c r="O183" s="14">
        <f>N183*VLOOKUP('Données projet'!$B$9,Paramètres!$A$1:$I$89,3,0)*VLOOKUP('Données projet'!$B$9,Paramètres!$A$1:$I$89,5,0)</f>
        <v>1.3596945791505279E-13</v>
      </c>
      <c r="P183" s="14">
        <f t="shared" si="141"/>
        <v>1.9708830566360721E-12</v>
      </c>
      <c r="Q183" s="22">
        <f t="shared" si="162"/>
        <v>3.669434796176543E-12</v>
      </c>
      <c r="R183" s="62">
        <f t="shared" si="109"/>
        <v>293.33333333333701</v>
      </c>
      <c r="S183" s="62">
        <f ca="1">AVERAGE(OFFSET($R$3,0,0,'Données projet'!$E$9+1,1))-AVERAGE(OFFSET($H$3,0,0,'Données projet'!$E$9+1,1))</f>
        <v>287.52077437571728</v>
      </c>
      <c r="T183" s="62">
        <f t="shared" si="142"/>
        <v>420.95891230839874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13.383464804252919</v>
      </c>
      <c r="AA183" s="23">
        <f>EXP(-LN(2)/25)*AA182+(1-EXP(-LN(2)/25))/(LN(2)/25)*Calculateur!V183*Calculateur!X183*VLOOKUP('Données projet'!$B$9,Paramètres!$A$1:$I$89,3,0)*0.475*44/12</f>
        <v>0.50662771739181511</v>
      </c>
      <c r="AB183" s="23">
        <f>EXP(-LN(2)/2)*AB182+(1-EXP(-LN(2)/2))/(LN(2)/2)*V183*Y183*VLOOKUP('Données projet'!$B$9,Paramètres!$A$1:$I$89,3,0)*0.475*44/12</f>
        <v>6.56777172782046E-20</v>
      </c>
      <c r="AC183" s="24">
        <f t="shared" si="163"/>
        <v>13.890092521644734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225.24357215754691</v>
      </c>
      <c r="AO183" s="62">
        <f t="shared" si="144"/>
        <v>569.2018208733989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3.3599212619584731</v>
      </c>
      <c r="AV183" s="23">
        <f>EXP(-LN(2)/25)*AV182+(1-EXP(-LN(2)/25))/(LN(2)/25)*Calculateur!AQ183*Calculateur!AS183*VLOOKUP('Données projet'!$B$10,Paramètres!$A$1:$I$89,3,0)*0.475*44/12</f>
        <v>0.4243485009074901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3.7842697628659634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2.2737367544323206E-13</v>
      </c>
      <c r="O184" s="14">
        <f>N184*VLOOKUP('Données projet'!$B$9,Paramètres!$A$1:$I$89,3,0)*VLOOKUP('Données projet'!$B$9,Paramètres!$A$1:$I$89,5,0)</f>
        <v>1.3596945791505279E-13</v>
      </c>
      <c r="P184" s="14">
        <f t="shared" si="141"/>
        <v>1.9708830566360721E-12</v>
      </c>
      <c r="Q184" s="22">
        <f t="shared" si="162"/>
        <v>3.669434796176543E-12</v>
      </c>
      <c r="R184" s="62">
        <f t="shared" si="109"/>
        <v>293.33333333333701</v>
      </c>
      <c r="S184" s="62">
        <f ca="1">AVERAGE(OFFSET($R$3,0,0,'Données projet'!$E$9+1,1))-AVERAGE(OFFSET($H$3,0,0,'Données projet'!$E$9+1,1))</f>
        <v>287.52077437571728</v>
      </c>
      <c r="T184" s="62">
        <f t="shared" si="142"/>
        <v>420.95891230839874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13.12102322254901</v>
      </c>
      <c r="AA184" s="23">
        <f>EXP(-LN(2)/25)*AA183+(1-EXP(-LN(2)/25))/(LN(2)/25)*Calculateur!V184*Calculateur!X184*VLOOKUP('Données projet'!$B$9,Paramètres!$A$1:$I$89,3,0)*0.475*44/12</f>
        <v>0.49277395581734218</v>
      </c>
      <c r="AB184" s="23">
        <f>EXP(-LN(2)/2)*AB183+(1-EXP(-LN(2)/2))/(LN(2)/2)*V184*Y184*VLOOKUP('Données projet'!$B$9,Paramètres!$A$1:$I$89,3,0)*0.475*44/12</f>
        <v>4.6441159260271352E-20</v>
      </c>
      <c r="AC184" s="24">
        <f t="shared" si="163"/>
        <v>13.613797178366351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225.24357215754691</v>
      </c>
      <c r="AO184" s="62">
        <f t="shared" si="144"/>
        <v>569.2018208733989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3.2940352553610808</v>
      </c>
      <c r="AV184" s="23">
        <f>EXP(-LN(2)/25)*AV183+(1-EXP(-LN(2)/25))/(LN(2)/25)*Calculateur!AQ184*Calculateur!AS184*VLOOKUP('Données projet'!$B$10,Paramètres!$A$1:$I$89,3,0)*0.475*44/12</f>
        <v>0.41274466883465699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3.7067799241957378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2.2737367544323206E-13</v>
      </c>
      <c r="O185" s="14">
        <f>N185*VLOOKUP('Données projet'!$B$9,Paramètres!$A$1:$I$89,3,0)*VLOOKUP('Données projet'!$B$9,Paramètres!$A$1:$I$89,5,0)</f>
        <v>1.3596945791505279E-13</v>
      </c>
      <c r="P185" s="14">
        <f t="shared" si="141"/>
        <v>1.9708830566360721E-12</v>
      </c>
      <c r="Q185" s="22">
        <f t="shared" si="162"/>
        <v>3.669434796176543E-12</v>
      </c>
      <c r="R185" s="62">
        <f t="shared" si="109"/>
        <v>293.33333333333701</v>
      </c>
      <c r="S185" s="62">
        <f ca="1">AVERAGE(OFFSET($R$3,0,0,'Données projet'!$E$9+1,1))-AVERAGE(OFFSET($H$3,0,0,'Données projet'!$E$9+1,1))</f>
        <v>287.52077437571728</v>
      </c>
      <c r="T185" s="62">
        <f t="shared" si="142"/>
        <v>420.95891230839874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12.863727960188756</v>
      </c>
      <c r="AA185" s="23">
        <f>EXP(-LN(2)/25)*AA184+(1-EXP(-LN(2)/25))/(LN(2)/25)*Calculateur!V185*Calculateur!X185*VLOOKUP('Données projet'!$B$9,Paramètres!$A$1:$I$89,3,0)*0.475*44/12</f>
        <v>0.47929902608166086</v>
      </c>
      <c r="AB185" s="23">
        <f>EXP(-LN(2)/2)*AB184+(1-EXP(-LN(2)/2))/(LN(2)/2)*V185*Y185*VLOOKUP('Données projet'!$B$9,Paramètres!$A$1:$I$89,3,0)*0.475*44/12</f>
        <v>3.28388586391023E-20</v>
      </c>
      <c r="AC185" s="24">
        <f t="shared" si="163"/>
        <v>13.343026986270417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225.24357215754691</v>
      </c>
      <c r="AO185" s="62">
        <f t="shared" si="144"/>
        <v>569.2018208733989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3.2294412331665674</v>
      </c>
      <c r="AV185" s="23">
        <f>EXP(-LN(2)/25)*AV184+(1-EXP(-LN(2)/25))/(LN(2)/25)*Calculateur!AQ185*Calculateur!AS185*VLOOKUP('Données projet'!$B$10,Paramètres!$A$1:$I$89,3,0)*0.475*44/12</f>
        <v>0.40145814416007453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3.6308993773266418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2.2737367544323206E-13</v>
      </c>
      <c r="O186" s="14">
        <f>N186*VLOOKUP('Données projet'!$B$9,Paramètres!$A$1:$I$89,3,0)*VLOOKUP('Données projet'!$B$9,Paramètres!$A$1:$I$89,5,0)</f>
        <v>1.3596945791505279E-13</v>
      </c>
      <c r="P186" s="14">
        <f t="shared" si="141"/>
        <v>1.9708830566360721E-12</v>
      </c>
      <c r="Q186" s="22">
        <f t="shared" si="162"/>
        <v>3.669434796176543E-12</v>
      </c>
      <c r="R186" s="62">
        <f t="shared" si="109"/>
        <v>293.33333333333701</v>
      </c>
      <c r="S186" s="62">
        <f ca="1">AVERAGE(OFFSET($R$3,0,0,'Données projet'!$E$9+1,1))-AVERAGE(OFFSET($H$3,0,0,'Données projet'!$E$9+1,1))</f>
        <v>287.52077437571728</v>
      </c>
      <c r="T186" s="62">
        <f t="shared" si="142"/>
        <v>420.95891230839874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12.611478100988773</v>
      </c>
      <c r="AA186" s="23">
        <f>EXP(-LN(2)/25)*AA185+(1-EXP(-LN(2)/25))/(LN(2)/25)*Calculateur!V186*Calculateur!X186*VLOOKUP('Données projet'!$B$9,Paramètres!$A$1:$I$89,3,0)*0.475*44/12</f>
        <v>0.46619256900821754</v>
      </c>
      <c r="AB186" s="23">
        <f>EXP(-LN(2)/2)*AB185+(1-EXP(-LN(2)/2))/(LN(2)/2)*V186*Y186*VLOOKUP('Données projet'!$B$9,Paramètres!$A$1:$I$89,3,0)*0.475*44/12</f>
        <v>2.3220579630135676E-20</v>
      </c>
      <c r="AC186" s="24">
        <f t="shared" si="163"/>
        <v>13.077670669996991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225.24357215754691</v>
      </c>
      <c r="AO186" s="62">
        <f t="shared" si="144"/>
        <v>569.2018208733989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3.1661138603488252</v>
      </c>
      <c r="AV186" s="23">
        <f>EXP(-LN(2)/25)*AV185+(1-EXP(-LN(2)/25))/(LN(2)/25)*Calculateur!AQ186*Calculateur!AS186*VLOOKUP('Données projet'!$B$10,Paramètres!$A$1:$I$89,3,0)*0.475*44/12</f>
        <v>0.39048025009625104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3.5565941104450762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2.2737367544323206E-13</v>
      </c>
      <c r="O187" s="14">
        <f>N187*VLOOKUP('Données projet'!$B$9,Paramètres!$A$1:$I$89,3,0)*VLOOKUP('Données projet'!$B$9,Paramètres!$A$1:$I$89,5,0)</f>
        <v>1.3596945791505279E-13</v>
      </c>
      <c r="P187" s="14">
        <f t="shared" si="141"/>
        <v>1.9708830566360721E-12</v>
      </c>
      <c r="Q187" s="22">
        <f t="shared" si="162"/>
        <v>3.669434796176543E-12</v>
      </c>
      <c r="R187" s="62">
        <f t="shared" si="109"/>
        <v>293.33333333333701</v>
      </c>
      <c r="S187" s="62">
        <f ca="1">AVERAGE(OFFSET($R$3,0,0,'Données projet'!$E$9+1,1))-AVERAGE(OFFSET($H$3,0,0,'Données projet'!$E$9+1,1))</f>
        <v>287.52077437571728</v>
      </c>
      <c r="T187" s="62">
        <f t="shared" si="142"/>
        <v>420.95891230839874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12.364174707670479</v>
      </c>
      <c r="AA187" s="23">
        <f>EXP(-LN(2)/25)*AA186+(1-EXP(-LN(2)/25))/(LN(2)/25)*Calculateur!V187*Calculateur!X187*VLOOKUP('Données projet'!$B$9,Paramètres!$A$1:$I$89,3,0)*0.475*44/12</f>
        <v>0.4534445086926861</v>
      </c>
      <c r="AB187" s="23">
        <f>EXP(-LN(2)/2)*AB186+(1-EXP(-LN(2)/2))/(LN(2)/2)*V187*Y187*VLOOKUP('Données projet'!$B$9,Paramètres!$A$1:$I$89,3,0)*0.475*44/12</f>
        <v>1.641942931955115E-20</v>
      </c>
      <c r="AC187" s="24">
        <f t="shared" si="163"/>
        <v>12.817619216363164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225.24357215754691</v>
      </c>
      <c r="AO187" s="62">
        <f t="shared" si="144"/>
        <v>569.2018208733989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3.1040282986861554</v>
      </c>
      <c r="AV187" s="23">
        <f>EXP(-LN(2)/25)*AV186+(1-EXP(-LN(2)/25))/(LN(2)/25)*Calculateur!AQ187*Calculateur!AS187*VLOOKUP('Données projet'!$B$10,Paramètres!$A$1:$I$89,3,0)*0.475*44/12</f>
        <v>0.37980254712290518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3.4838308458090603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2.2737367544323206E-13</v>
      </c>
      <c r="O188" s="14">
        <f>N188*VLOOKUP('Données projet'!$B$9,Paramètres!$A$1:$I$89,3,0)*VLOOKUP('Données projet'!$B$9,Paramètres!$A$1:$I$89,5,0)</f>
        <v>1.3596945791505279E-13</v>
      </c>
      <c r="P188" s="14">
        <f t="shared" si="141"/>
        <v>1.9708830566360721E-12</v>
      </c>
      <c r="Q188" s="22">
        <f t="shared" si="162"/>
        <v>3.669434796176543E-12</v>
      </c>
      <c r="R188" s="62">
        <f t="shared" si="109"/>
        <v>293.33333333333701</v>
      </c>
      <c r="S188" s="62">
        <f ca="1">AVERAGE(OFFSET($R$3,0,0,'Données projet'!$E$9+1,1))-AVERAGE(OFFSET($H$3,0,0,'Données projet'!$E$9+1,1))</f>
        <v>287.52077437571728</v>
      </c>
      <c r="T188" s="62">
        <f t="shared" si="142"/>
        <v>420.95891230839874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12.121720783054981</v>
      </c>
      <c r="AA188" s="23">
        <f>EXP(-LN(2)/25)*AA187+(1-EXP(-LN(2)/25))/(LN(2)/25)*Calculateur!V188*Calculateur!X188*VLOOKUP('Données projet'!$B$9,Paramètres!$A$1:$I$89,3,0)*0.475*44/12</f>
        <v>0.44104504475687423</v>
      </c>
      <c r="AB188" s="23">
        <f>EXP(-LN(2)/2)*AB187+(1-EXP(-LN(2)/2))/(LN(2)/2)*V188*Y188*VLOOKUP('Données projet'!$B$9,Paramètres!$A$1:$I$89,3,0)*0.475*44/12</f>
        <v>1.1610289815067838E-20</v>
      </c>
      <c r="AC188" s="24">
        <f t="shared" si="163"/>
        <v>12.562765827811855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225.24357215754691</v>
      </c>
      <c r="AO188" s="62">
        <f t="shared" si="144"/>
        <v>569.2018208733989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3.0431601970192372</v>
      </c>
      <c r="AV188" s="23">
        <f>EXP(-LN(2)/25)*AV187+(1-EXP(-LN(2)/25))/(LN(2)/25)*Calculateur!AQ188*Calculateur!AS188*VLOOKUP('Données projet'!$B$10,Paramètres!$A$1:$I$89,3,0)*0.475*44/12</f>
        <v>0.36941682649888141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3.4125770235181188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2.2737367544323206E-13</v>
      </c>
      <c r="O189" s="14">
        <f>N189*VLOOKUP('Données projet'!$B$9,Paramètres!$A$1:$I$89,3,0)*VLOOKUP('Données projet'!$B$9,Paramètres!$A$1:$I$89,5,0)</f>
        <v>1.3596945791505279E-13</v>
      </c>
      <c r="P189" s="14">
        <f t="shared" si="141"/>
        <v>1.9708830566360721E-12</v>
      </c>
      <c r="Q189" s="22">
        <f t="shared" si="162"/>
        <v>3.669434796176543E-12</v>
      </c>
      <c r="R189" s="62">
        <f t="shared" si="109"/>
        <v>293.33333333333701</v>
      </c>
      <c r="S189" s="62">
        <f ca="1">AVERAGE(OFFSET($R$3,0,0,'Données projet'!$E$9+1,1))-AVERAGE(OFFSET($H$3,0,0,'Données projet'!$E$9+1,1))</f>
        <v>287.52077437571728</v>
      </c>
      <c r="T189" s="62">
        <f t="shared" si="142"/>
        <v>420.95891230839874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11.884021232018901</v>
      </c>
      <c r="AA189" s="23">
        <f>EXP(-LN(2)/25)*AA188+(1-EXP(-LN(2)/25))/(LN(2)/25)*Calculateur!V189*Calculateur!X189*VLOOKUP('Données projet'!$B$9,Paramètres!$A$1:$I$89,3,0)*0.475*44/12</f>
        <v>0.42898464481444665</v>
      </c>
      <c r="AB189" s="23">
        <f>EXP(-LN(2)/2)*AB188+(1-EXP(-LN(2)/2))/(LN(2)/2)*V189*Y189*VLOOKUP('Données projet'!$B$9,Paramètres!$A$1:$I$89,3,0)*0.475*44/12</f>
        <v>8.209714659775575E-21</v>
      </c>
      <c r="AC189" s="24">
        <f t="shared" si="163"/>
        <v>12.313005876833348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225.24357215754691</v>
      </c>
      <c r="AO189" s="62">
        <f t="shared" si="144"/>
        <v>569.2018208733989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2.983485681700131</v>
      </c>
      <c r="AV189" s="23">
        <f>EXP(-LN(2)/25)*AV188+(1-EXP(-LN(2)/25))/(LN(2)/25)*Calculateur!AQ189*Calculateur!AS189*VLOOKUP('Données projet'!$B$10,Paramètres!$A$1:$I$89,3,0)*0.475*44/12</f>
        <v>0.35931510395148292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3.342800785651614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2.2737367544323206E-13</v>
      </c>
      <c r="O190" s="14">
        <f>N190*VLOOKUP('Données projet'!$B$9,Paramètres!$A$1:$I$89,3,0)*VLOOKUP('Données projet'!$B$9,Paramètres!$A$1:$I$89,5,0)</f>
        <v>1.3596945791505279E-13</v>
      </c>
      <c r="P190" s="14">
        <f t="shared" si="141"/>
        <v>1.9708830566360721E-12</v>
      </c>
      <c r="Q190" s="22">
        <f t="shared" si="162"/>
        <v>3.669434796176543E-12</v>
      </c>
      <c r="R190" s="62">
        <f t="shared" si="109"/>
        <v>293.33333333333701</v>
      </c>
      <c r="S190" s="62">
        <f ca="1">AVERAGE(OFFSET($R$3,0,0,'Données projet'!$E$9+1,1))-AVERAGE(OFFSET($H$3,0,0,'Données projet'!$E$9+1,1))</f>
        <v>287.52077437571728</v>
      </c>
      <c r="T190" s="62">
        <f t="shared" si="142"/>
        <v>420.95891230839874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11.650982824196229</v>
      </c>
      <c r="AA190" s="23">
        <f>EXP(-LN(2)/25)*AA189+(1-EXP(-LN(2)/25))/(LN(2)/25)*Calculateur!V190*Calculateur!X190*VLOOKUP('Données projet'!$B$9,Paramètres!$A$1:$I$89,3,0)*0.475*44/12</f>
        <v>0.41725403714267362</v>
      </c>
      <c r="AB190" s="23">
        <f>EXP(-LN(2)/2)*AB189+(1-EXP(-LN(2)/2))/(LN(2)/2)*V190*Y190*VLOOKUP('Données projet'!$B$9,Paramètres!$A$1:$I$89,3,0)*0.475*44/12</f>
        <v>5.8051449075339191E-21</v>
      </c>
      <c r="AC190" s="24">
        <f t="shared" si="163"/>
        <v>12.068236861338903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225.24357215754691</v>
      </c>
      <c r="AO190" s="62">
        <f t="shared" si="144"/>
        <v>569.2018208733989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2.9249813472285724</v>
      </c>
      <c r="AV190" s="23">
        <f>EXP(-LN(2)/25)*AV189+(1-EXP(-LN(2)/25))/(LN(2)/25)*Calculateur!AQ190*Calculateur!AS190*VLOOKUP('Données projet'!$B$10,Paramètres!$A$1:$I$89,3,0)*0.475*44/12</f>
        <v>0.34948961353836955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3.274470960766942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2.2737367544323206E-13</v>
      </c>
      <c r="O191" s="14">
        <f>N191*VLOOKUP('Données projet'!$B$9,Paramètres!$A$1:$I$89,3,0)*VLOOKUP('Données projet'!$B$9,Paramètres!$A$1:$I$89,5,0)</f>
        <v>1.3596945791505279E-13</v>
      </c>
      <c r="P191" s="14">
        <f t="shared" si="141"/>
        <v>1.9708830566360721E-12</v>
      </c>
      <c r="Q191" s="22">
        <f t="shared" si="162"/>
        <v>3.669434796176543E-12</v>
      </c>
      <c r="R191" s="62">
        <f t="shared" si="109"/>
        <v>293.33333333333701</v>
      </c>
      <c r="S191" s="62">
        <f ca="1">AVERAGE(OFFSET($R$3,0,0,'Données projet'!$E$9+1,1))-AVERAGE(OFFSET($H$3,0,0,'Données projet'!$E$9+1,1))</f>
        <v>287.52077437571728</v>
      </c>
      <c r="T191" s="62">
        <f t="shared" si="142"/>
        <v>420.95891230839874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11.422514157411564</v>
      </c>
      <c r="AA191" s="23">
        <f>EXP(-LN(2)/25)*AA190+(1-EXP(-LN(2)/25))/(LN(2)/25)*Calculateur!V191*Calculateur!X191*VLOOKUP('Données projet'!$B$9,Paramètres!$A$1:$I$89,3,0)*0.475*44/12</f>
        <v>0.40584420355457101</v>
      </c>
      <c r="AB191" s="23">
        <f>EXP(-LN(2)/2)*AB190+(1-EXP(-LN(2)/2))/(LN(2)/2)*V191*Y191*VLOOKUP('Données projet'!$B$9,Paramètres!$A$1:$I$89,3,0)*0.475*44/12</f>
        <v>4.1048573298877875E-21</v>
      </c>
      <c r="AC191" s="24">
        <f t="shared" si="163"/>
        <v>11.828358360966135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225.24357215754691</v>
      </c>
      <c r="AO191" s="62">
        <f t="shared" si="144"/>
        <v>569.2018208733989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2.8676242470718805</v>
      </c>
      <c r="AV191" s="23">
        <f>EXP(-LN(2)/25)*AV190+(1-EXP(-LN(2)/25))/(LN(2)/25)*Calculateur!AQ191*Calculateur!AS191*VLOOKUP('Données projet'!$B$10,Paramètres!$A$1:$I$89,3,0)*0.475*44/12</f>
        <v>0.33993280167730283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3.2075570487491833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2.2737367544323206E-13</v>
      </c>
      <c r="O192" s="14">
        <f>N192*VLOOKUP('Données projet'!$B$9,Paramètres!$A$1:$I$89,3,0)*VLOOKUP('Données projet'!$B$9,Paramètres!$A$1:$I$89,5,0)</f>
        <v>1.3596945791505279E-13</v>
      </c>
      <c r="P192" s="14">
        <f t="shared" si="141"/>
        <v>1.9708830566360721E-12</v>
      </c>
      <c r="Q192" s="22">
        <f t="shared" si="162"/>
        <v>3.669434796176543E-12</v>
      </c>
      <c r="R192" s="62">
        <f t="shared" si="109"/>
        <v>293.33333333333701</v>
      </c>
      <c r="S192" s="62">
        <f ca="1">AVERAGE(OFFSET($R$3,0,0,'Données projet'!$E$9+1,1))-AVERAGE(OFFSET($H$3,0,0,'Données projet'!$E$9+1,1))</f>
        <v>287.52077437571728</v>
      </c>
      <c r="T192" s="62">
        <f t="shared" si="142"/>
        <v>420.95891230839874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11.19852562183042</v>
      </c>
      <c r="AA192" s="23">
        <f>EXP(-LN(2)/25)*AA191+(1-EXP(-LN(2)/25))/(LN(2)/25)*Calculateur!V192*Calculateur!X192*VLOOKUP('Données projet'!$B$9,Paramètres!$A$1:$I$89,3,0)*0.475*44/12</f>
        <v>0.39474637246595218</v>
      </c>
      <c r="AB192" s="23">
        <f>EXP(-LN(2)/2)*AB191+(1-EXP(-LN(2)/2))/(LN(2)/2)*V192*Y192*VLOOKUP('Données projet'!$B$9,Paramètres!$A$1:$I$89,3,0)*0.475*44/12</f>
        <v>2.9025724537669595E-21</v>
      </c>
      <c r="AC192" s="24">
        <f t="shared" si="163"/>
        <v>11.593271994296373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225.24357215754691</v>
      </c>
      <c r="AO192" s="62">
        <f t="shared" si="144"/>
        <v>569.2018208733989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2.8113918846648844</v>
      </c>
      <c r="AV192" s="23">
        <f>EXP(-LN(2)/25)*AV191+(1-EXP(-LN(2)/25))/(LN(2)/25)*Calculateur!AQ192*Calculateur!AS192*VLOOKUP('Données projet'!$B$10,Paramètres!$A$1:$I$89,3,0)*0.475*44/12</f>
        <v>0.33063732133914786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3.1420292060040325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2.2737367544323206E-13</v>
      </c>
      <c r="O193" s="14">
        <f>N193*VLOOKUP('Données projet'!$B$9,Paramètres!$A$1:$I$89,3,0)*VLOOKUP('Données projet'!$B$9,Paramètres!$A$1:$I$89,5,0)</f>
        <v>1.3596945791505279E-13</v>
      </c>
      <c r="P193" s="14">
        <f t="shared" si="141"/>
        <v>1.9708830566360721E-12</v>
      </c>
      <c r="Q193" s="22">
        <f t="shared" si="162"/>
        <v>3.669434796176543E-12</v>
      </c>
      <c r="R193" s="62">
        <f t="shared" si="109"/>
        <v>293.33333333333701</v>
      </c>
      <c r="S193" s="62">
        <f ca="1">AVERAGE(OFFSET($R$3,0,0,'Données projet'!$E$9+1,1))-AVERAGE(OFFSET($H$3,0,0,'Données projet'!$E$9+1,1))</f>
        <v>287.52077437571728</v>
      </c>
      <c r="T193" s="62">
        <f t="shared" si="142"/>
        <v>420.95891230839874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10.978929364812506</v>
      </c>
      <c r="AA193" s="23">
        <f>EXP(-LN(2)/25)*AA192+(1-EXP(-LN(2)/25))/(LN(2)/25)*Calculateur!V193*Calculateur!X193*VLOOKUP('Données projet'!$B$9,Paramètres!$A$1:$I$89,3,0)*0.475*44/12</f>
        <v>0.38395201215206121</v>
      </c>
      <c r="AB193" s="23">
        <f>EXP(-LN(2)/2)*AB192+(1-EXP(-LN(2)/2))/(LN(2)/2)*V193*Y193*VLOOKUP('Données projet'!$B$9,Paramètres!$A$1:$I$89,3,0)*0.475*44/12</f>
        <v>2.0524286649438937E-21</v>
      </c>
      <c r="AC193" s="24">
        <f t="shared" si="163"/>
        <v>11.362881376964568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225.24357215754691</v>
      </c>
      <c r="AO193" s="62">
        <f t="shared" si="144"/>
        <v>569.2018208733989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2.7562622045863354</v>
      </c>
      <c r="AV193" s="23">
        <f>EXP(-LN(2)/25)*AV192+(1-EXP(-LN(2)/25))/(LN(2)/25)*Calculateur!AQ193*Calculateur!AS193*VLOOKUP('Données projet'!$B$10,Paramètres!$A$1:$I$89,3,0)*0.475*44/12</f>
        <v>0.32159602639966783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3.0778582309860032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2.2737367544323206E-13</v>
      </c>
      <c r="O194" s="14">
        <f>N194*VLOOKUP('Données projet'!$B$9,Paramètres!$A$1:$I$89,3,0)*VLOOKUP('Données projet'!$B$9,Paramètres!$A$1:$I$89,5,0)</f>
        <v>1.3596945791505279E-13</v>
      </c>
      <c r="P194" s="14">
        <f t="shared" si="141"/>
        <v>1.9708830566360721E-12</v>
      </c>
      <c r="Q194" s="22">
        <f t="shared" si="162"/>
        <v>3.669434796176543E-12</v>
      </c>
      <c r="R194" s="62">
        <f t="shared" si="109"/>
        <v>293.33333333333701</v>
      </c>
      <c r="S194" s="62">
        <f ca="1">AVERAGE(OFFSET($R$3,0,0,'Données projet'!$E$9+1,1))-AVERAGE(OFFSET($H$3,0,0,'Données projet'!$E$9+1,1))</f>
        <v>287.52077437571728</v>
      </c>
      <c r="T194" s="62">
        <f t="shared" si="142"/>
        <v>420.95891230839874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10.763639256454223</v>
      </c>
      <c r="AA194" s="23">
        <f>EXP(-LN(2)/25)*AA193+(1-EXP(-LN(2)/25))/(LN(2)/25)*Calculateur!V194*Calculateur!X194*VLOOKUP('Données projet'!$B$9,Paramètres!$A$1:$I$89,3,0)*0.475*44/12</f>
        <v>0.37345282418860432</v>
      </c>
      <c r="AB194" s="23">
        <f>EXP(-LN(2)/2)*AB193+(1-EXP(-LN(2)/2))/(LN(2)/2)*V194*Y194*VLOOKUP('Données projet'!$B$9,Paramètres!$A$1:$I$89,3,0)*0.475*44/12</f>
        <v>1.4512862268834798E-21</v>
      </c>
      <c r="AC194" s="24">
        <f t="shared" si="163"/>
        <v>11.137092080642827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225.24357215754691</v>
      </c>
      <c r="AO194" s="62">
        <f t="shared" si="144"/>
        <v>569.2018208733989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2.7022135839083421</v>
      </c>
      <c r="AV194" s="23">
        <f>EXP(-LN(2)/25)*AV193+(1-EXP(-LN(2)/25))/(LN(2)/25)*Calculateur!AQ194*Calculateur!AS194*VLOOKUP('Données projet'!$B$10,Paramètres!$A$1:$I$89,3,0)*0.475*44/12</f>
        <v>0.31280196614576888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3.0150155500541111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2.2737367544323206E-13</v>
      </c>
      <c r="O195" s="14">
        <f>N195*VLOOKUP('Données projet'!$B$9,Paramètres!$A$1:$I$89,3,0)*VLOOKUP('Données projet'!$B$9,Paramètres!$A$1:$I$89,5,0)</f>
        <v>1.3596945791505279E-13</v>
      </c>
      <c r="P195" s="14">
        <f t="shared" si="141"/>
        <v>1.9708830566360721E-12</v>
      </c>
      <c r="Q195" s="22">
        <f t="shared" si="162"/>
        <v>3.669434796176543E-12</v>
      </c>
      <c r="R195" s="62">
        <f t="shared" ref="R195:R203" si="191">Q195+(I195+J195)*44/12</f>
        <v>293.33333333333701</v>
      </c>
      <c r="S195" s="62">
        <f ca="1">AVERAGE(OFFSET($R$3,0,0,'Données projet'!$E$9+1,1))-AVERAGE(OFFSET($H$3,0,0,'Données projet'!$E$9+1,1))</f>
        <v>287.52077437571728</v>
      </c>
      <c r="T195" s="62">
        <f t="shared" si="142"/>
        <v>420.95891230839874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10.552570855806845</v>
      </c>
      <c r="AA195" s="23">
        <f>EXP(-LN(2)/25)*AA194+(1-EXP(-LN(2)/25))/(LN(2)/25)*Calculateur!V195*Calculateur!X195*VLOOKUP('Données projet'!$B$9,Paramètres!$A$1:$I$89,3,0)*0.475*44/12</f>
        <v>0.36324073707213644</v>
      </c>
      <c r="AB195" s="23">
        <f>EXP(-LN(2)/2)*AB194+(1-EXP(-LN(2)/2))/(LN(2)/2)*V195*Y195*VLOOKUP('Données projet'!$B$9,Paramètres!$A$1:$I$89,3,0)*0.475*44/12</f>
        <v>1.0262143324719469E-21</v>
      </c>
      <c r="AC195" s="24">
        <f t="shared" si="163"/>
        <v>10.915811592878981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225.24357215754691</v>
      </c>
      <c r="AO195" s="62">
        <f t="shared" si="144"/>
        <v>569.2018208733989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2.6492248237154405</v>
      </c>
      <c r="AV195" s="23">
        <f>EXP(-LN(2)/25)*AV194+(1-EXP(-LN(2)/25))/(LN(2)/25)*Calculateur!AQ195*Calculateur!AS195*VLOOKUP('Données projet'!$B$10,Paramètres!$A$1:$I$89,3,0)*0.475*44/12</f>
        <v>0.30424837993197235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2.9534732036474129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2.2737367544323206E-13</v>
      </c>
      <c r="O196" s="14">
        <f>N196*VLOOKUP('Données projet'!$B$9,Paramètres!$A$1:$I$89,3,0)*VLOOKUP('Données projet'!$B$9,Paramètres!$A$1:$I$89,5,0)</f>
        <v>1.3596945791505279E-13</v>
      </c>
      <c r="P196" s="14">
        <f t="shared" si="141"/>
        <v>1.9708830566360721E-12</v>
      </c>
      <c r="Q196" s="22">
        <f t="shared" si="162"/>
        <v>3.669434796176543E-12</v>
      </c>
      <c r="R196" s="62">
        <f t="shared" si="191"/>
        <v>293.33333333333701</v>
      </c>
      <c r="S196" s="62">
        <f ca="1">AVERAGE(OFFSET($R$3,0,0,'Données projet'!$E$9+1,1))-AVERAGE(OFFSET($H$3,0,0,'Données projet'!$E$9+1,1))</f>
        <v>287.52077437571728</v>
      </c>
      <c r="T196" s="62">
        <f t="shared" si="142"/>
        <v>420.95891230839874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10.345641377757151</v>
      </c>
      <c r="AA196" s="23">
        <f>EXP(-LN(2)/25)*AA195+(1-EXP(-LN(2)/25))/(LN(2)/25)*Calculateur!V196*Calculateur!X196*VLOOKUP('Données projet'!$B$9,Paramètres!$A$1:$I$89,3,0)*0.475*44/12</f>
        <v>0.3533079000148987</v>
      </c>
      <c r="AB196" s="23">
        <f>EXP(-LN(2)/2)*AB195+(1-EXP(-LN(2)/2))/(LN(2)/2)*V196*Y196*VLOOKUP('Données projet'!$B$9,Paramètres!$A$1:$I$89,3,0)*0.475*44/12</f>
        <v>7.2564311344173988E-22</v>
      </c>
      <c r="AC196" s="24">
        <f t="shared" si="163"/>
        <v>10.69894927777205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225.24357215754691</v>
      </c>
      <c r="AO196" s="62">
        <f t="shared" si="144"/>
        <v>569.2018208733989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2.5972751407899697</v>
      </c>
      <c r="AV196" s="23">
        <f>EXP(-LN(2)/25)*AV195+(1-EXP(-LN(2)/25))/(LN(2)/25)*Calculateur!AQ196*Calculateur!AS196*VLOOKUP('Données projet'!$B$10,Paramètres!$A$1:$I$89,3,0)*0.475*44/12</f>
        <v>0.29592869198300564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2.8932038327729752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2.2737367544323206E-13</v>
      </c>
      <c r="O197" s="14">
        <f>N197*VLOOKUP('Données projet'!$B$9,Paramètres!$A$1:$I$89,3,0)*VLOOKUP('Données projet'!$B$9,Paramètres!$A$1:$I$89,5,0)</f>
        <v>1.3596945791505279E-13</v>
      </c>
      <c r="P197" s="14">
        <f t="shared" ref="P197:P203" si="203">EXP(-1.0587+0.8836*LN(O197)+0.284)</f>
        <v>1.9708830566360721E-12</v>
      </c>
      <c r="Q197" s="22">
        <f t="shared" si="162"/>
        <v>3.669434796176543E-12</v>
      </c>
      <c r="R197" s="62">
        <f t="shared" si="191"/>
        <v>293.33333333333701</v>
      </c>
      <c r="S197" s="62">
        <f ca="1">AVERAGE(OFFSET($R$3,0,0,'Données projet'!$E$9+1,1))-AVERAGE(OFFSET($H$3,0,0,'Données projet'!$E$9+1,1))</f>
        <v>287.52077437571728</v>
      </c>
      <c r="T197" s="62">
        <f t="shared" ref="T197:T203" si="204">$T$3</f>
        <v>420.95891230839874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10.142769660557491</v>
      </c>
      <c r="AA197" s="23">
        <f>EXP(-LN(2)/25)*AA196+(1-EXP(-LN(2)/25))/(LN(2)/25)*Calculateur!V197*Calculateur!X197*VLOOKUP('Données projet'!$B$9,Paramètres!$A$1:$I$89,3,0)*0.475*44/12</f>
        <v>0.34364667690933631</v>
      </c>
      <c r="AB197" s="23">
        <f>EXP(-LN(2)/2)*AB196+(1-EXP(-LN(2)/2))/(LN(2)/2)*V197*Y197*VLOOKUP('Données projet'!$B$9,Paramètres!$A$1:$I$89,3,0)*0.475*44/12</f>
        <v>5.1310716623597343E-22</v>
      </c>
      <c r="AC197" s="24">
        <f t="shared" si="163"/>
        <v>10.486416337466828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225.24357215754691</v>
      </c>
      <c r="AO197" s="62">
        <f t="shared" ref="AO197:AO203" si="205">$AO$3</f>
        <v>569.2018208733989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2.5463441594604892</v>
      </c>
      <c r="AV197" s="23">
        <f>EXP(-LN(2)/25)*AV196+(1-EXP(-LN(2)/25))/(LN(2)/25)*Calculateur!AQ197*Calculateur!AS197*VLOOKUP('Données projet'!$B$10,Paramètres!$A$1:$I$89,3,0)*0.475*44/12</f>
        <v>0.28783650633851682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2.8341806657990061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2.2737367544323206E-13</v>
      </c>
      <c r="O198" s="14">
        <f>N198*VLOOKUP('Données projet'!$B$9,Paramètres!$A$1:$I$89,3,0)*VLOOKUP('Données projet'!$B$9,Paramètres!$A$1:$I$89,5,0)</f>
        <v>1.3596945791505279E-13</v>
      </c>
      <c r="P198" s="14">
        <f t="shared" si="203"/>
        <v>1.9708830566360721E-12</v>
      </c>
      <c r="Q198" s="22">
        <f t="shared" si="162"/>
        <v>3.669434796176543E-12</v>
      </c>
      <c r="R198" s="62">
        <f t="shared" si="191"/>
        <v>293.33333333333701</v>
      </c>
      <c r="S198" s="62">
        <f ca="1">AVERAGE(OFFSET($R$3,0,0,'Données projet'!$E$9+1,1))-AVERAGE(OFFSET($H$3,0,0,'Données projet'!$E$9+1,1))</f>
        <v>287.52077437571728</v>
      </c>
      <c r="T198" s="62">
        <f t="shared" si="204"/>
        <v>420.95891230839874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9.9438761339925872</v>
      </c>
      <c r="AA198" s="23">
        <f>EXP(-LN(2)/25)*AA197+(1-EXP(-LN(2)/25))/(LN(2)/25)*Calculateur!V198*Calculateur!X198*VLOOKUP('Données projet'!$B$9,Paramètres!$A$1:$I$89,3,0)*0.475*44/12</f>
        <v>0.3342496404576572</v>
      </c>
      <c r="AB198" s="23">
        <f>EXP(-LN(2)/2)*AB197+(1-EXP(-LN(2)/2))/(LN(2)/2)*V198*Y198*VLOOKUP('Données projet'!$B$9,Paramètres!$A$1:$I$89,3,0)*0.475*44/12</f>
        <v>3.6282155672086994E-22</v>
      </c>
      <c r="AC198" s="24">
        <f t="shared" si="163"/>
        <v>10.278125774450244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225.24357215754691</v>
      </c>
      <c r="AO198" s="62">
        <f t="shared" si="205"/>
        <v>569.2018208733989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2.4964119036100487</v>
      </c>
      <c r="AV198" s="23">
        <f>EXP(-LN(2)/25)*AV197+(1-EXP(-LN(2)/25))/(LN(2)/25)*Calculateur!AQ198*Calculateur!AS198*VLOOKUP('Données projet'!$B$10,Paramètres!$A$1:$I$89,3,0)*0.475*44/12</f>
        <v>0.27996560193602604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2.7763775055460749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2.2737367544323206E-13</v>
      </c>
      <c r="O199" s="14">
        <f>N199*VLOOKUP('Données projet'!$B$9,Paramètres!$A$1:$I$89,3,0)*VLOOKUP('Données projet'!$B$9,Paramètres!$A$1:$I$89,5,0)</f>
        <v>1.3596945791505279E-13</v>
      </c>
      <c r="P199" s="14">
        <f t="shared" si="203"/>
        <v>1.9708830566360721E-12</v>
      </c>
      <c r="Q199" s="22">
        <f t="shared" si="162"/>
        <v>3.669434796176543E-12</v>
      </c>
      <c r="R199" s="62">
        <f t="shared" si="191"/>
        <v>293.33333333333701</v>
      </c>
      <c r="S199" s="62">
        <f ca="1">AVERAGE(OFFSET($R$3,0,0,'Données projet'!$E$9+1,1))-AVERAGE(OFFSET($H$3,0,0,'Données projet'!$E$9+1,1))</f>
        <v>287.52077437571728</v>
      </c>
      <c r="T199" s="62">
        <f t="shared" si="204"/>
        <v>420.95891230839874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9.7488827881705493</v>
      </c>
      <c r="AA199" s="23">
        <f>EXP(-LN(2)/25)*AA198+(1-EXP(-LN(2)/25))/(LN(2)/25)*Calculateur!V199*Calculateur!X199*VLOOKUP('Données projet'!$B$9,Paramètres!$A$1:$I$89,3,0)*0.475*44/12</f>
        <v>0.32510956646191791</v>
      </c>
      <c r="AB199" s="23">
        <f>EXP(-LN(2)/2)*AB198+(1-EXP(-LN(2)/2))/(LN(2)/2)*V199*Y199*VLOOKUP('Données projet'!$B$9,Paramètres!$A$1:$I$89,3,0)*0.475*44/12</f>
        <v>2.5655358311798672E-22</v>
      </c>
      <c r="AC199" s="24">
        <f t="shared" si="163"/>
        <v>10.073992354632468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225.24357215754691</v>
      </c>
      <c r="AO199" s="62">
        <f t="shared" si="205"/>
        <v>569.2018208733989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2.4474587888411667</v>
      </c>
      <c r="AV199" s="23">
        <f>EXP(-LN(2)/25)*AV198+(1-EXP(-LN(2)/25))/(LN(2)/25)*Calculateur!AQ199*Calculateur!AS199*VLOOKUP('Données projet'!$B$10,Paramètres!$A$1:$I$89,3,0)*0.475*44/12</f>
        <v>0.2723099278283343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2.7197687166695008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2.2737367544323206E-13</v>
      </c>
      <c r="O200" s="14">
        <f>N200*VLOOKUP('Données projet'!$B$9,Paramètres!$A$1:$I$89,3,0)*VLOOKUP('Données projet'!$B$9,Paramètres!$A$1:$I$89,5,0)</f>
        <v>1.3596945791505279E-13</v>
      </c>
      <c r="P200" s="14">
        <f t="shared" si="203"/>
        <v>1.9708830566360721E-12</v>
      </c>
      <c r="Q200" s="22">
        <f t="shared" si="162"/>
        <v>3.669434796176543E-12</v>
      </c>
      <c r="R200" s="62">
        <f t="shared" si="191"/>
        <v>293.33333333333701</v>
      </c>
      <c r="S200" s="62">
        <f ca="1">AVERAGE(OFFSET($R$3,0,0,'Données projet'!$E$9+1,1))-AVERAGE(OFFSET($H$3,0,0,'Données projet'!$E$9+1,1))</f>
        <v>287.52077437571728</v>
      </c>
      <c r="T200" s="62">
        <f t="shared" si="204"/>
        <v>420.95891230839874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9.5577131429258841</v>
      </c>
      <c r="AA200" s="23">
        <f>EXP(-LN(2)/25)*AA199+(1-EXP(-LN(2)/25))/(LN(2)/25)*Calculateur!V200*Calculateur!X200*VLOOKUP('Données projet'!$B$9,Paramètres!$A$1:$I$89,3,0)*0.475*44/12</f>
        <v>0.31621942827024774</v>
      </c>
      <c r="AB200" s="23">
        <f>EXP(-LN(2)/2)*AB199+(1-EXP(-LN(2)/2))/(LN(2)/2)*V200*Y200*VLOOKUP('Données projet'!$B$9,Paramètres!$A$1:$I$89,3,0)*0.475*44/12</f>
        <v>1.8141077836043497E-22</v>
      </c>
      <c r="AC200" s="24">
        <f t="shared" si="163"/>
        <v>9.8739325711961321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225.24357215754691</v>
      </c>
      <c r="AO200" s="62">
        <f t="shared" si="205"/>
        <v>569.2018208733989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2.3994656147944506</v>
      </c>
      <c r="AV200" s="23">
        <f>EXP(-LN(2)/25)*AV199+(1-EXP(-LN(2)/25))/(LN(2)/25)*Calculateur!AQ200*Calculateur!AS200*VLOOKUP('Données projet'!$B$10,Paramètres!$A$1:$I$89,3,0)*0.475*44/12</f>
        <v>0.26486359853171176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2.6643292133261625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2.2737367544323206E-13</v>
      </c>
      <c r="O201" s="14">
        <f>N201*VLOOKUP('Données projet'!$B$9,Paramètres!$A$1:$I$89,3,0)*VLOOKUP('Données projet'!$B$9,Paramètres!$A$1:$I$89,5,0)</f>
        <v>1.3596945791505279E-13</v>
      </c>
      <c r="P201" s="14">
        <f t="shared" si="203"/>
        <v>1.9708830566360721E-12</v>
      </c>
      <c r="Q201" s="22">
        <f t="shared" si="162"/>
        <v>3.669434796176543E-12</v>
      </c>
      <c r="R201" s="62">
        <f t="shared" si="191"/>
        <v>293.33333333333701</v>
      </c>
      <c r="S201" s="62">
        <f ca="1">AVERAGE(OFFSET($R$3,0,0,'Données projet'!$E$9+1,1))-AVERAGE(OFFSET($H$3,0,0,'Données projet'!$E$9+1,1))</f>
        <v>287.52077437571728</v>
      </c>
      <c r="T201" s="62">
        <f t="shared" si="204"/>
        <v>420.95891230839874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9.370292217822497</v>
      </c>
      <c r="AA201" s="23">
        <f>EXP(-LN(2)/25)*AA200+(1-EXP(-LN(2)/25))/(LN(2)/25)*Calculateur!V201*Calculateur!X201*VLOOKUP('Données projet'!$B$9,Paramètres!$A$1:$I$89,3,0)*0.475*44/12</f>
        <v>0.3075723913749408</v>
      </c>
      <c r="AB201" s="23">
        <f>EXP(-LN(2)/2)*AB200+(1-EXP(-LN(2)/2))/(LN(2)/2)*V201*Y201*VLOOKUP('Données projet'!$B$9,Paramètres!$A$1:$I$89,3,0)*0.475*44/12</f>
        <v>1.2827679155899336E-22</v>
      </c>
      <c r="AC201" s="24">
        <f t="shared" si="163"/>
        <v>9.677864609197437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225.24357215754691</v>
      </c>
      <c r="AO201" s="62">
        <f t="shared" si="205"/>
        <v>569.2018208733989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2.3524135576178451</v>
      </c>
      <c r="AV201" s="23">
        <f>EXP(-LN(2)/25)*AV200+(1-EXP(-LN(2)/25))/(LN(2)/25)*Calculateur!AQ201*Calculateur!AS201*VLOOKUP('Données projet'!$B$10,Paramètres!$A$1:$I$89,3,0)*0.475*44/12</f>
        <v>0.25762088950129081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2.6100344471191361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2.2737367544323206E-13</v>
      </c>
      <c r="O202" s="14">
        <f>N202*VLOOKUP('Données projet'!$B$9,Paramètres!$A$1:$I$89,3,0)*VLOOKUP('Données projet'!$B$9,Paramètres!$A$1:$I$89,5,0)</f>
        <v>1.3596945791505279E-13</v>
      </c>
      <c r="P202" s="14">
        <f t="shared" si="203"/>
        <v>1.9708830566360721E-12</v>
      </c>
      <c r="Q202" s="22">
        <f t="shared" si="162"/>
        <v>3.669434796176543E-12</v>
      </c>
      <c r="R202" s="62">
        <f t="shared" si="191"/>
        <v>293.33333333333701</v>
      </c>
      <c r="S202" s="62">
        <f ca="1">AVERAGE(OFFSET($R$3,0,0,'Données projet'!$E$9+1,1))-AVERAGE(OFFSET($H$3,0,0,'Données projet'!$E$9+1,1))</f>
        <v>287.52077437571728</v>
      </c>
      <c r="T202" s="62">
        <f t="shared" si="204"/>
        <v>420.95891230839874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9.1865465027449105</v>
      </c>
      <c r="AA202" s="23">
        <f>EXP(-LN(2)/25)*AA201+(1-EXP(-LN(2)/25))/(LN(2)/25)*Calculateur!V202*Calculateur!X202*VLOOKUP('Données projet'!$B$9,Paramètres!$A$1:$I$89,3,0)*0.475*44/12</f>
        <v>0.29916180815826393</v>
      </c>
      <c r="AB202" s="23">
        <f>EXP(-LN(2)/2)*AB201+(1-EXP(-LN(2)/2))/(LN(2)/2)*V202*Y202*VLOOKUP('Données projet'!$B$9,Paramètres!$A$1:$I$89,3,0)*0.475*44/12</f>
        <v>9.0705389180217485E-23</v>
      </c>
      <c r="AC202" s="24">
        <f t="shared" si="163"/>
        <v>9.4857083109031741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225.24357215754691</v>
      </c>
      <c r="AO202" s="62">
        <f t="shared" si="205"/>
        <v>569.2018208733989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2.3062841625835517</v>
      </c>
      <c r="AV202" s="23">
        <f>EXP(-LN(2)/25)*AV201+(1-EXP(-LN(2)/25))/(LN(2)/25)*Calculateur!AQ202*Calculateur!AS202*VLOOKUP('Données projet'!$B$10,Paramètres!$A$1:$I$89,3,0)*0.475*44/12</f>
        <v>0.25057623273018426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2.5568603953137359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6" thickBot="1" x14ac:dyDescent="0.2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2.2737367544323206E-13</v>
      </c>
      <c r="O203" s="14">
        <f>N203*VLOOKUP('Données projet'!$B$9,Paramètres!$A$1:$I$89,3,0)*VLOOKUP('Données projet'!$B$9,Paramètres!$A$1:$I$89,5,0)</f>
        <v>1.3596945791505279E-13</v>
      </c>
      <c r="P203" s="14">
        <f t="shared" si="203"/>
        <v>1.9708830566360721E-12</v>
      </c>
      <c r="Q203" s="22">
        <f t="shared" si="162"/>
        <v>3.669434796176543E-12</v>
      </c>
      <c r="R203" s="62">
        <f t="shared" si="191"/>
        <v>293.33333333333701</v>
      </c>
      <c r="S203" s="62">
        <f ca="1">AVERAGE(OFFSET($R$3,0,0,'Données projet'!$E$9+1,1))-AVERAGE(OFFSET($H$3,0,0,'Données projet'!$E$9+1,1))</f>
        <v>287.52077437571728</v>
      </c>
      <c r="T203" s="62">
        <f t="shared" si="204"/>
        <v>420.95891230839874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9.0064039290661757</v>
      </c>
      <c r="AA203" s="23">
        <f>EXP(-LN(2)/25)*AA202+(1-EXP(-LN(2)/25))/(LN(2)/25)*Calculateur!V203*Calculateur!X203*VLOOKUP('Données projet'!$B$9,Paramètres!$A$1:$I$89,3,0)*0.475*44/12</f>
        <v>0.29098121278194045</v>
      </c>
      <c r="AB203" s="23">
        <f>EXP(-LN(2)/2)*AB202+(1-EXP(-LN(2)/2))/(LN(2)/2)*V203*Y203*VLOOKUP('Données projet'!$B$9,Paramètres!$A$1:$I$89,3,0)*0.475*44/12</f>
        <v>6.4138395779496679E-23</v>
      </c>
      <c r="AC203" s="24">
        <f t="shared" si="163"/>
        <v>9.2973851418481157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225.24357215754691</v>
      </c>
      <c r="AO203" s="62">
        <f t="shared" si="205"/>
        <v>569.2018208733989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2.261059336849728</v>
      </c>
      <c r="AV203" s="23">
        <f>EXP(-LN(2)/25)*AV202+(1-EXP(-LN(2)/25))/(LN(2)/25)*Calculateur!AQ203*Calculateur!AS203*VLOOKUP('Données projet'!$B$10,Paramètres!$A$1:$I$89,3,0)*0.475*44/12</f>
        <v>0.24372421246894599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2.5047835493186739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7" thickBot="1" x14ac:dyDescent="0.2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6" thickBot="1" x14ac:dyDescent="0.2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1.3973210857138749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1.3076604860118306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5" defaultRowHeight="15" x14ac:dyDescent="0.2"/>
  <cols>
    <col min="1" max="1" width="23.5" style="5" bestFit="1" customWidth="1"/>
    <col min="2" max="2" width="27.6640625" style="5" bestFit="1" customWidth="1"/>
    <col min="3" max="3" width="11.83203125" style="5" bestFit="1" customWidth="1"/>
    <col min="4" max="4" width="40" style="5" bestFit="1" customWidth="1"/>
    <col min="5" max="5" width="11.83203125" style="5" bestFit="1" customWidth="1"/>
    <col min="6" max="6" width="13.6640625" style="5" bestFit="1" customWidth="1"/>
    <col min="7" max="7" width="11.5" style="5" bestFit="1" customWidth="1"/>
    <col min="8" max="8" width="39" style="5" bestFit="1" customWidth="1"/>
    <col min="9" max="9" width="16.6640625" style="5" customWidth="1"/>
    <col min="10" max="14" width="11.5" style="5"/>
    <col min="15" max="15" width="23.5" style="5" bestFit="1" customWidth="1"/>
    <col min="16" max="16384" width="11.5" style="5"/>
  </cols>
  <sheetData>
    <row r="1" spans="1:16" ht="49" thickBot="1" x14ac:dyDescent="0.2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6" t="s">
        <v>238</v>
      </c>
      <c r="P2" s="130">
        <v>0</v>
      </c>
    </row>
    <row r="3" spans="1:16" ht="16" thickBot="1" x14ac:dyDescent="0.2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7"/>
      <c r="P3" s="137">
        <v>0.2</v>
      </c>
    </row>
    <row r="4" spans="1:16" ht="16" thickBot="1" x14ac:dyDescent="0.2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6" t="s">
        <v>237</v>
      </c>
      <c r="P5" s="130">
        <v>0</v>
      </c>
    </row>
    <row r="6" spans="1:16" x14ac:dyDescent="0.2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8"/>
      <c r="P6" s="138">
        <v>0.05</v>
      </c>
    </row>
    <row r="7" spans="1:16" x14ac:dyDescent="0.2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8"/>
      <c r="P7" s="138">
        <v>0.1</v>
      </c>
    </row>
    <row r="8" spans="1:16" ht="16" thickBot="1" x14ac:dyDescent="0.2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7"/>
      <c r="P8" s="137">
        <v>0.15</v>
      </c>
    </row>
    <row r="9" spans="1:16" ht="16" thickBot="1" x14ac:dyDescent="0.2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6" t="s">
        <v>236</v>
      </c>
      <c r="P10" s="130">
        <v>0</v>
      </c>
    </row>
    <row r="11" spans="1:16" ht="16" thickBot="1" x14ac:dyDescent="0.2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7"/>
      <c r="P11" s="137">
        <v>0.1</v>
      </c>
    </row>
    <row r="12" spans="1:16" x14ac:dyDescent="0.2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">
      <c r="A87" s="285" t="s">
        <v>321</v>
      </c>
      <c r="B87" s="286" t="s">
        <v>322</v>
      </c>
      <c r="C87" s="287">
        <v>0.41</v>
      </c>
      <c r="D87" s="287" t="s">
        <v>323</v>
      </c>
      <c r="E87" s="287">
        <v>1.56</v>
      </c>
      <c r="F87" s="288" t="s">
        <v>274</v>
      </c>
      <c r="G87" s="289">
        <v>0.43</v>
      </c>
      <c r="H87" s="287" t="s">
        <v>278</v>
      </c>
      <c r="I87" s="290">
        <v>0.25</v>
      </c>
      <c r="J87" s="100"/>
      <c r="K87" s="100"/>
      <c r="L87" s="100"/>
      <c r="M87" s="100"/>
      <c r="N87" s="100"/>
    </row>
    <row r="88" spans="1:14" x14ac:dyDescent="0.2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6" thickBot="1" x14ac:dyDescent="0.2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">
      <c r="A93" s="131" t="s">
        <v>208</v>
      </c>
    </row>
    <row r="94" spans="1:14" x14ac:dyDescent="0.2">
      <c r="A94" s="131" t="s">
        <v>209</v>
      </c>
    </row>
    <row r="95" spans="1:14" x14ac:dyDescent="0.2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I8" sqref="I8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5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35">
      <c r="A2" s="307" t="s">
        <v>271</v>
      </c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9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">
      <c r="A3" s="25"/>
      <c r="B3" s="25"/>
      <c r="C3" s="25"/>
      <c r="D3" s="25"/>
      <c r="E3" s="25"/>
      <c r="F3" s="25"/>
      <c r="G3" s="25"/>
      <c r="H3" s="25"/>
      <c r="I3" s="230"/>
      <c r="J3" s="230"/>
      <c r="K3" s="230"/>
      <c r="L3" s="230"/>
      <c r="M3" s="230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6" thickBot="1" x14ac:dyDescent="0.25">
      <c r="A4" s="25"/>
      <c r="B4" s="25"/>
      <c r="C4" s="25"/>
      <c r="D4" s="25"/>
      <c r="E4" s="25"/>
      <c r="F4" s="25"/>
      <c r="G4" s="25"/>
      <c r="H4" s="25"/>
      <c r="I4" s="230"/>
      <c r="J4" s="230"/>
      <c r="K4" s="230"/>
      <c r="L4" s="230"/>
      <c r="M4" s="230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65" thickBot="1" x14ac:dyDescent="0.2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">
      <c r="A6" s="154" t="str">
        <f>IF('Données projet'!$B$9="","",'Données projet'!$B$9)</f>
        <v>Pin taeda</v>
      </c>
      <c r="B6" s="155">
        <f>'Données projet'!D9</f>
        <v>3.115001495</v>
      </c>
      <c r="C6" s="156">
        <f ca="1">IF(OR('Données projet'!B9="",'Données projet'!C9="",'Données projet'!C9=0%),0,Calculateur!S3)</f>
        <v>287.52077437571728</v>
      </c>
      <c r="D6" s="156">
        <f>IF(OR('Données projet'!B9="",'Données projet'!C9="",'Données projet'!C9=0%),0,Calculateur!T3)</f>
        <v>420.95891230839874</v>
      </c>
      <c r="E6" s="156">
        <f ca="1">MIN(C6,D6)</f>
        <v>287.52077437571728</v>
      </c>
      <c r="F6" s="156">
        <f ca="1">E6*B6</f>
        <v>895.62764202391702</v>
      </c>
      <c r="G6" s="156">
        <f ca="1">F6*(100%-'Données projet'!$C$24)*(100%-'Données projet'!$C$25)*(100%-'Données projet'!$C$26)*(100%-'Données projet'!$C$27)</f>
        <v>612.60930714435926</v>
      </c>
      <c r="H6" s="157">
        <f>IF(OR('Données projet'!B9="",'Données projet'!C9="",'Données projet'!C9=0%),0,AVERAGE(Calculateur!$AC$3:$AC$33)*B6)</f>
        <v>46.56641013342972</v>
      </c>
      <c r="I6" s="158">
        <f>H6*(100%-'Données projet'!$C$24)*(100%-'Données projet'!$C$25)*(100%-'Données projet'!$C$26)*(100%-'Données projet'!$C$27)</f>
        <v>31.851424531265934</v>
      </c>
      <c r="J6" s="159">
        <f>IF(OR('Données projet'!B9="",'Données projet'!C9="",'Données projet'!C9=0%),0,SUM(Calculateur!$V$3:$V$33)*VLOOKUP('Données projet'!$B$9,Paramètres!$A$1:$I$89,9,0)*B6)</f>
        <v>207.22640895532351</v>
      </c>
      <c r="K6" s="160">
        <f>J6*(100%-'Données projet'!$C$24)*(100%-'Données projet'!$C$25)*(100%-'Données projet'!$C$26)*(100%-'Données projet'!$C$27)</f>
        <v>141.74286372544128</v>
      </c>
      <c r="L6" s="161">
        <f ca="1">G6+I6+K6</f>
        <v>786.20359540106642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">
      <c r="A7" s="162" t="str">
        <f>IF('Données projet'!$B$10="","",'Données projet'!$B$10)</f>
        <v>Peuplier Koster</v>
      </c>
      <c r="B7" s="163">
        <f>'Données projet'!D10</f>
        <v>0.59999850500000007</v>
      </c>
      <c r="C7" s="156">
        <f ca="1">IF(OR('Données projet'!B10="",'Données projet'!C10="",'Données projet'!C10=0%),0,Calculateur!AN3)</f>
        <v>225.24357215754691</v>
      </c>
      <c r="D7" s="156">
        <f>IF(OR('Données projet'!B10="",'Données projet'!C10="",'Données projet'!C10=0%),0,Calculateur!AO3)</f>
        <v>569.2018208733989</v>
      </c>
      <c r="E7" s="156">
        <f t="shared" ref="E7:E15" ca="1" si="0">MIN(C7,D7)</f>
        <v>225.24357215754691</v>
      </c>
      <c r="F7" s="156">
        <f t="shared" ref="F7:F15" ca="1" si="1">E7*B7</f>
        <v>135.14580655538779</v>
      </c>
      <c r="G7" s="156">
        <f ca="1">F7*(100%-'Données projet'!$C$24)*(100%-'Données projet'!$C$25)*(100%-'Données projet'!$C$26)*(100%-'Données projet'!$C$27)</f>
        <v>92.439731683885242</v>
      </c>
      <c r="H7" s="164">
        <f>IF(OR('Données projet'!B10="",'Données projet'!C10="",'Données projet'!C10=0%),0,AVERAGE(Calculateur!$AX$3:$AX$33)*B7)</f>
        <v>19.862233936998951</v>
      </c>
      <c r="I7" s="158">
        <f>H7*(100%-'Données projet'!$C$24)*(100%-'Données projet'!$C$25)*(100%-'Données projet'!$C$26)*(100%-'Données projet'!$C$27)</f>
        <v>13.585768012907282</v>
      </c>
      <c r="J7" s="159">
        <f>IF(OR('Données projet'!B10="",'Données projet'!C10="",'Données projet'!C10=0%),0,SUM(Calculateur!$AQ$3:$AQ$33)*VLOOKUP('Données projet'!$B$10,Paramètres!$A$1:$I$89,9,0)*B7)</f>
        <v>305.29123931410004</v>
      </c>
      <c r="K7" s="160">
        <f>J7*(100%-'Données projet'!$C$24)*(100%-'Données projet'!$C$25)*(100%-'Données projet'!$C$26)*(100%-'Données projet'!$C$27)</f>
        <v>208.81920769084442</v>
      </c>
      <c r="L7" s="161">
        <f t="shared" ref="L7:L15" ca="1" si="2">G7+I7+K7</f>
        <v>314.84470738763696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6" thickBot="1" x14ac:dyDescent="0.2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6" thickBot="1" x14ac:dyDescent="0.25">
      <c r="A16" s="225"/>
      <c r="B16" s="232"/>
      <c r="C16" s="233"/>
      <c r="D16" s="25"/>
      <c r="E16" s="25"/>
      <c r="F16" s="174">
        <f t="shared" ref="F16:L16" ca="1" si="3">SUM(F6:F15)</f>
        <v>1030.7734485793048</v>
      </c>
      <c r="G16" s="175">
        <f t="shared" ca="1" si="3"/>
        <v>705.04903882824453</v>
      </c>
      <c r="H16" s="176">
        <f t="shared" si="3"/>
        <v>66.428644070428675</v>
      </c>
      <c r="I16" s="176">
        <f t="shared" si="3"/>
        <v>45.437192544173215</v>
      </c>
      <c r="J16" s="177">
        <f t="shared" si="3"/>
        <v>512.51764826942349</v>
      </c>
      <c r="K16" s="177">
        <f t="shared" si="3"/>
        <v>350.56207141628568</v>
      </c>
      <c r="L16" s="178">
        <f t="shared" ca="1" si="3"/>
        <v>1101.0483027887035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">
      <c r="A17" s="225"/>
      <c r="B17" s="232"/>
      <c r="C17" s="233"/>
      <c r="D17" s="230"/>
      <c r="E17" s="230"/>
      <c r="F17" s="319" t="s">
        <v>246</v>
      </c>
      <c r="G17" s="320"/>
      <c r="H17" s="320"/>
      <c r="I17" s="320"/>
      <c r="J17" s="320"/>
      <c r="K17" s="320"/>
      <c r="L17" s="320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">
      <c r="A18" s="225"/>
      <c r="B18" s="232"/>
      <c r="C18" s="233"/>
      <c r="D18" s="230"/>
      <c r="E18" s="230"/>
      <c r="F18" s="321"/>
      <c r="G18" s="321"/>
      <c r="H18" s="321"/>
      <c r="I18" s="321"/>
      <c r="J18" s="321"/>
      <c r="K18" s="321"/>
      <c r="L18" s="321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">
      <c r="A19" s="25"/>
      <c r="B19" s="25"/>
      <c r="C19" s="25"/>
      <c r="D19" s="25"/>
      <c r="E19" s="25"/>
      <c r="F19" s="25"/>
      <c r="G19" s="25"/>
      <c r="H19" s="25"/>
      <c r="I19" s="230"/>
      <c r="J19" s="230"/>
      <c r="K19" s="230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6" thickBot="1" x14ac:dyDescent="0.25">
      <c r="A20" s="25"/>
      <c r="B20" s="25"/>
      <c r="C20" s="25"/>
      <c r="D20" s="25"/>
      <c r="E20" s="25"/>
      <c r="F20" s="25"/>
      <c r="G20" s="25"/>
      <c r="H20" s="25"/>
      <c r="I20" s="230"/>
      <c r="J20" s="230"/>
      <c r="K20" s="230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6" thickBot="1" x14ac:dyDescent="0.25">
      <c r="A21" s="179" t="str">
        <f>A6</f>
        <v>Pin taeda</v>
      </c>
      <c r="B21" s="5"/>
      <c r="C21" s="5"/>
      <c r="D21" s="5"/>
      <c r="E21" s="5"/>
      <c r="F21" s="5"/>
      <c r="G21" s="5"/>
      <c r="H21" s="5"/>
      <c r="I21" s="230"/>
      <c r="J21" s="230"/>
      <c r="K21" s="230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">
      <c r="A22" s="5"/>
      <c r="B22" s="5"/>
      <c r="C22" s="5"/>
      <c r="D22" s="5"/>
      <c r="E22" s="5"/>
      <c r="F22" s="5"/>
      <c r="G22" s="5"/>
      <c r="H22" s="5"/>
      <c r="I22" s="230"/>
      <c r="J22" s="230"/>
      <c r="K22" s="230"/>
      <c r="L22" s="230"/>
      <c r="M22" s="230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">
      <c r="A23" s="5"/>
      <c r="B23" s="5"/>
      <c r="C23" s="5"/>
      <c r="D23" s="5"/>
      <c r="E23" s="5"/>
      <c r="F23" s="5"/>
      <c r="G23" s="5"/>
      <c r="H23" s="5"/>
      <c r="I23" s="230"/>
      <c r="J23" s="230"/>
      <c r="K23" s="230"/>
      <c r="L23" s="230"/>
      <c r="M23" s="230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">
      <c r="A24" s="5"/>
      <c r="B24" s="5"/>
      <c r="C24" s="5"/>
      <c r="D24" s="5"/>
      <c r="E24" s="5"/>
      <c r="F24" s="5"/>
      <c r="G24" s="5"/>
      <c r="H24" s="5"/>
      <c r="I24" s="230"/>
      <c r="J24" s="230"/>
      <c r="K24" s="230"/>
      <c r="L24" s="230"/>
      <c r="M24" s="230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">
      <c r="A25" s="5"/>
      <c r="B25" s="5"/>
      <c r="C25" s="5"/>
      <c r="D25" s="5"/>
      <c r="E25" s="5"/>
      <c r="F25" s="5"/>
      <c r="G25" s="5"/>
      <c r="H25" s="5"/>
      <c r="I25" s="230"/>
      <c r="J25" s="230"/>
      <c r="K25" s="230"/>
      <c r="L25" s="230"/>
      <c r="M25" s="230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">
      <c r="A26" s="5"/>
      <c r="B26" s="5"/>
      <c r="C26" s="5"/>
      <c r="D26" s="5"/>
      <c r="E26" s="5"/>
      <c r="F26" s="5"/>
      <c r="G26" s="5"/>
      <c r="H26" s="5"/>
      <c r="I26" s="230"/>
      <c r="J26" s="230"/>
      <c r="K26" s="230"/>
      <c r="L26" s="230"/>
      <c r="M26" s="230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">
      <c r="A27" s="5"/>
      <c r="B27" s="5"/>
      <c r="C27" s="5"/>
      <c r="D27" s="5"/>
      <c r="E27" s="5"/>
      <c r="F27" s="5"/>
      <c r="G27" s="5"/>
      <c r="H27" s="5"/>
      <c r="I27" s="230"/>
      <c r="J27" s="230"/>
      <c r="K27" s="230"/>
      <c r="L27" s="230"/>
      <c r="M27" s="230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">
      <c r="A28" s="5"/>
      <c r="B28" s="5"/>
      <c r="C28" s="5"/>
      <c r="D28" s="5"/>
      <c r="E28" s="5"/>
      <c r="F28" s="5"/>
      <c r="G28" s="5"/>
      <c r="H28" s="5"/>
      <c r="I28" s="230"/>
      <c r="J28" s="230"/>
      <c r="K28" s="230"/>
      <c r="L28" s="230"/>
      <c r="M28" s="230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">
      <c r="A29" s="5"/>
      <c r="B29" s="5"/>
      <c r="C29" s="5"/>
      <c r="D29" s="5"/>
      <c r="E29" s="5"/>
      <c r="F29" s="5"/>
      <c r="G29" s="5"/>
      <c r="H29" s="5"/>
      <c r="I29" s="230"/>
      <c r="J29" s="230"/>
      <c r="K29" s="230"/>
      <c r="L29" s="230"/>
      <c r="M29" s="230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">
      <c r="A30" s="5"/>
      <c r="B30" s="5"/>
      <c r="C30" s="5"/>
      <c r="D30" s="5"/>
      <c r="E30" s="5"/>
      <c r="F30" s="5"/>
      <c r="G30" s="5"/>
      <c r="H30" s="5"/>
      <c r="I30" s="230"/>
      <c r="J30" s="230"/>
      <c r="K30" s="230"/>
      <c r="L30" s="230"/>
      <c r="M30" s="230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">
      <c r="A31" s="5"/>
      <c r="B31" s="5"/>
      <c r="C31" s="5"/>
      <c r="D31" s="5"/>
      <c r="E31" s="5"/>
      <c r="F31" s="5"/>
      <c r="G31" s="5"/>
      <c r="H31" s="5"/>
      <c r="I31" s="230"/>
      <c r="J31" s="230"/>
      <c r="K31" s="230"/>
      <c r="L31" s="230"/>
      <c r="M31" s="230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">
      <c r="A32" s="5"/>
      <c r="B32" s="5"/>
      <c r="C32" s="5"/>
      <c r="D32" s="5"/>
      <c r="E32" s="5"/>
      <c r="F32" s="5"/>
      <c r="G32" s="5"/>
      <c r="H32" s="5"/>
      <c r="I32" s="230"/>
      <c r="J32" s="230"/>
      <c r="K32" s="230"/>
      <c r="L32" s="230"/>
      <c r="M32" s="230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">
      <c r="A33" s="5"/>
      <c r="B33" s="5"/>
      <c r="C33" s="5"/>
      <c r="D33" s="5"/>
      <c r="E33" s="5"/>
      <c r="F33" s="5"/>
      <c r="G33" s="5"/>
      <c r="H33" s="5"/>
      <c r="I33" s="230"/>
      <c r="J33" s="230"/>
      <c r="K33" s="230"/>
      <c r="L33" s="230"/>
      <c r="M33" s="230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">
      <c r="A34" s="5"/>
      <c r="B34" s="5"/>
      <c r="C34" s="5"/>
      <c r="D34" s="5"/>
      <c r="E34" s="5"/>
      <c r="F34" s="5"/>
      <c r="G34" s="5"/>
      <c r="H34" s="5"/>
      <c r="I34" s="230"/>
      <c r="J34" s="230"/>
      <c r="K34" s="230"/>
      <c r="L34" s="230"/>
      <c r="M34" s="230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">
      <c r="A35" s="5"/>
      <c r="B35" s="5"/>
      <c r="C35" s="5"/>
      <c r="D35" s="5"/>
      <c r="E35" s="5"/>
      <c r="F35" s="5"/>
      <c r="G35" s="5"/>
      <c r="H35" s="5"/>
      <c r="I35" s="230"/>
      <c r="J35" s="230"/>
      <c r="K35" s="230"/>
      <c r="L35" s="230"/>
      <c r="M35" s="230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">
      <c r="A36" s="5"/>
      <c r="B36" s="5"/>
      <c r="C36" s="5"/>
      <c r="D36" s="5"/>
      <c r="E36" s="5"/>
      <c r="F36" s="5"/>
      <c r="G36" s="5"/>
      <c r="H36" s="5"/>
      <c r="I36" s="230"/>
      <c r="J36" s="230"/>
      <c r="K36" s="230"/>
      <c r="L36" s="230"/>
      <c r="M36" s="230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">
      <c r="A37" s="5"/>
      <c r="B37" s="5"/>
      <c r="C37" s="5"/>
      <c r="D37" s="5"/>
      <c r="E37" s="5"/>
      <c r="F37" s="5"/>
      <c r="G37" s="5"/>
      <c r="H37" s="5"/>
      <c r="I37" s="230"/>
      <c r="J37" s="230"/>
      <c r="K37" s="230"/>
      <c r="L37" s="230"/>
      <c r="M37" s="230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6" thickBot="1" x14ac:dyDescent="0.25">
      <c r="A38" s="5"/>
      <c r="B38" s="5"/>
      <c r="C38" s="5"/>
      <c r="D38" s="5"/>
      <c r="E38" s="5"/>
      <c r="F38" s="5"/>
      <c r="G38" s="5"/>
      <c r="H38" s="5"/>
      <c r="I38" s="230"/>
      <c r="J38" s="230"/>
      <c r="K38" s="230"/>
      <c r="L38" s="230"/>
      <c r="M38" s="230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6" thickBot="1" x14ac:dyDescent="0.25">
      <c r="A39" s="179" t="str">
        <f>A7</f>
        <v>Peuplier Koster</v>
      </c>
      <c r="B39" s="5"/>
      <c r="C39" s="5"/>
      <c r="D39" s="5"/>
      <c r="E39" s="5"/>
      <c r="F39" s="5"/>
      <c r="G39" s="5"/>
      <c r="H39" s="5"/>
      <c r="I39" s="230"/>
      <c r="J39" s="230"/>
      <c r="K39" s="230"/>
      <c r="L39" s="230"/>
      <c r="M39" s="230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">
      <c r="A40" s="5"/>
      <c r="B40" s="5"/>
      <c r="C40" s="5"/>
      <c r="D40" s="5"/>
      <c r="E40" s="5"/>
      <c r="F40" s="5"/>
      <c r="G40" s="5"/>
      <c r="H40" s="5"/>
      <c r="I40" s="230"/>
      <c r="J40" s="230"/>
      <c r="K40" s="230"/>
      <c r="L40" s="230"/>
      <c r="M40" s="230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">
      <c r="A41" s="5"/>
      <c r="B41" s="5"/>
      <c r="C41" s="5"/>
      <c r="D41" s="5"/>
      <c r="E41" s="5"/>
      <c r="F41" s="5"/>
      <c r="G41" s="5"/>
      <c r="H41" s="5"/>
      <c r="I41" s="230"/>
      <c r="J41" s="230"/>
      <c r="K41" s="230"/>
      <c r="L41" s="230"/>
      <c r="M41" s="230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">
      <c r="A42" s="5"/>
      <c r="B42" s="5"/>
      <c r="C42" s="5"/>
      <c r="D42" s="5"/>
      <c r="E42" s="5"/>
      <c r="F42" s="5"/>
      <c r="G42" s="5"/>
      <c r="H42" s="5"/>
      <c r="I42" s="230"/>
      <c r="J42" s="230"/>
      <c r="K42" s="230"/>
      <c r="L42" s="230"/>
      <c r="M42" s="230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">
      <c r="A43" s="5"/>
      <c r="B43" s="5"/>
      <c r="C43" s="5"/>
      <c r="D43" s="5"/>
      <c r="E43" s="5"/>
      <c r="F43" s="5"/>
      <c r="G43" s="5"/>
      <c r="H43" s="5"/>
      <c r="I43" s="230"/>
      <c r="J43" s="230"/>
      <c r="K43" s="230"/>
      <c r="L43" s="230"/>
      <c r="M43" s="230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">
      <c r="A44" s="5"/>
      <c r="B44" s="5"/>
      <c r="C44" s="5"/>
      <c r="D44" s="5"/>
      <c r="E44" s="5"/>
      <c r="F44" s="5"/>
      <c r="G44" s="5"/>
      <c r="H44" s="5"/>
      <c r="I44" s="230"/>
      <c r="J44" s="230"/>
      <c r="K44" s="230"/>
      <c r="L44" s="230"/>
      <c r="M44" s="230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">
      <c r="A45" s="5"/>
      <c r="B45" s="5"/>
      <c r="C45" s="5"/>
      <c r="D45" s="5"/>
      <c r="E45" s="5"/>
      <c r="F45" s="5"/>
      <c r="G45" s="5"/>
      <c r="H45" s="5"/>
      <c r="I45" s="230"/>
      <c r="J45" s="230"/>
      <c r="K45" s="230"/>
      <c r="L45" s="230"/>
      <c r="M45" s="230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">
      <c r="A46" s="5"/>
      <c r="B46" s="5"/>
      <c r="C46" s="5"/>
      <c r="D46" s="5"/>
      <c r="E46" s="5"/>
      <c r="F46" s="5"/>
      <c r="G46" s="5"/>
      <c r="H46" s="5"/>
      <c r="I46" s="230"/>
      <c r="J46" s="230"/>
      <c r="K46" s="230"/>
      <c r="L46" s="230"/>
      <c r="M46" s="230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">
      <c r="A47" s="5"/>
      <c r="B47" s="5"/>
      <c r="C47" s="5"/>
      <c r="D47" s="5"/>
      <c r="E47" s="5"/>
      <c r="F47" s="5"/>
      <c r="G47" s="5"/>
      <c r="H47" s="5"/>
      <c r="I47" s="230"/>
      <c r="J47" s="230"/>
      <c r="K47" s="230"/>
      <c r="L47" s="230"/>
      <c r="M47" s="230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">
      <c r="A48" s="5"/>
      <c r="B48" s="5"/>
      <c r="C48" s="5"/>
      <c r="D48" s="5"/>
      <c r="E48" s="5"/>
      <c r="F48" s="5"/>
      <c r="G48" s="5"/>
      <c r="H48" s="5"/>
      <c r="I48" s="230"/>
      <c r="J48" s="230"/>
      <c r="K48" s="230"/>
      <c r="L48" s="230"/>
      <c r="M48" s="230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">
      <c r="A49" s="5"/>
      <c r="B49" s="5"/>
      <c r="C49" s="5"/>
      <c r="D49" s="5"/>
      <c r="E49" s="5"/>
      <c r="F49" s="5"/>
      <c r="G49" s="5"/>
      <c r="H49" s="5"/>
      <c r="I49" s="230"/>
      <c r="J49" s="230"/>
      <c r="K49" s="230"/>
      <c r="L49" s="230"/>
      <c r="M49" s="230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">
      <c r="A50" s="5"/>
      <c r="B50" s="5"/>
      <c r="C50" s="5"/>
      <c r="D50" s="5"/>
      <c r="E50" s="5"/>
      <c r="F50" s="5"/>
      <c r="G50" s="5"/>
      <c r="H50" s="5"/>
      <c r="I50" s="230"/>
      <c r="J50" s="230"/>
      <c r="K50" s="230"/>
      <c r="L50" s="230"/>
      <c r="M50" s="230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">
      <c r="A51" s="5"/>
      <c r="B51" s="5"/>
      <c r="C51" s="5"/>
      <c r="D51" s="5"/>
      <c r="E51" s="5"/>
      <c r="F51" s="5"/>
      <c r="G51" s="5"/>
      <c r="H51" s="5"/>
      <c r="I51" s="230"/>
      <c r="J51" s="230"/>
      <c r="K51" s="230"/>
      <c r="L51" s="230"/>
      <c r="M51" s="230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">
      <c r="A52" s="5"/>
      <c r="B52" s="5"/>
      <c r="C52" s="5"/>
      <c r="D52" s="5"/>
      <c r="E52" s="5"/>
      <c r="F52" s="5"/>
      <c r="G52" s="5"/>
      <c r="H52" s="5"/>
      <c r="I52" s="230"/>
      <c r="J52" s="230"/>
      <c r="K52" s="230"/>
      <c r="L52" s="230"/>
      <c r="M52" s="230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">
      <c r="A53" s="5"/>
      <c r="B53" s="5"/>
      <c r="C53" s="5"/>
      <c r="D53" s="5"/>
      <c r="E53" s="5"/>
      <c r="F53" s="5"/>
      <c r="G53" s="5"/>
      <c r="H53" s="5"/>
      <c r="I53" s="230"/>
      <c r="J53" s="230"/>
      <c r="K53" s="230"/>
      <c r="L53" s="230"/>
      <c r="M53" s="230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">
      <c r="A54" s="5"/>
      <c r="B54" s="5"/>
      <c r="C54" s="5"/>
      <c r="D54" s="5"/>
      <c r="E54" s="5"/>
      <c r="F54" s="5"/>
      <c r="G54" s="5"/>
      <c r="H54" s="5"/>
      <c r="I54" s="230"/>
      <c r="J54" s="230"/>
      <c r="K54" s="230"/>
      <c r="L54" s="230"/>
      <c r="M54" s="230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">
      <c r="A55" s="5"/>
      <c r="B55" s="5"/>
      <c r="C55" s="5"/>
      <c r="D55" s="5"/>
      <c r="E55" s="5"/>
      <c r="F55" s="5"/>
      <c r="G55" s="5"/>
      <c r="H55" s="5"/>
      <c r="I55" s="230"/>
      <c r="J55" s="230"/>
      <c r="K55" s="230"/>
      <c r="L55" s="230"/>
      <c r="M55" s="230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6" thickBot="1" x14ac:dyDescent="0.25">
      <c r="A56" s="5"/>
      <c r="B56" s="5"/>
      <c r="C56" s="5"/>
      <c r="D56" s="5"/>
      <c r="E56" s="5"/>
      <c r="F56" s="5"/>
      <c r="G56" s="5"/>
      <c r="H56" s="5"/>
      <c r="I56" s="230"/>
      <c r="J56" s="230"/>
      <c r="K56" s="230"/>
      <c r="L56" s="230"/>
      <c r="M56" s="230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6" thickBot="1" x14ac:dyDescent="0.25">
      <c r="A57" s="179" t="str">
        <f>A8</f>
        <v/>
      </c>
      <c r="B57" s="5"/>
      <c r="C57" s="5"/>
      <c r="D57" s="5"/>
      <c r="E57" s="5"/>
      <c r="F57" s="5"/>
      <c r="G57" s="5"/>
      <c r="H57" s="5"/>
      <c r="I57" s="230"/>
      <c r="J57" s="230"/>
      <c r="K57" s="230"/>
      <c r="L57" s="230"/>
      <c r="M57" s="230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">
      <c r="A58" s="5"/>
      <c r="B58" s="5"/>
      <c r="C58" s="5"/>
      <c r="D58" s="5"/>
      <c r="E58" s="5"/>
      <c r="F58" s="5"/>
      <c r="G58" s="5"/>
      <c r="H58" s="5"/>
      <c r="I58" s="230"/>
      <c r="J58" s="230"/>
      <c r="K58" s="230"/>
      <c r="L58" s="230"/>
      <c r="M58" s="230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">
      <c r="A59" s="5"/>
      <c r="B59" s="5"/>
      <c r="C59" s="5"/>
      <c r="D59" s="5"/>
      <c r="E59" s="5"/>
      <c r="F59" s="5"/>
      <c r="G59" s="5"/>
      <c r="H59" s="5"/>
      <c r="I59" s="230"/>
      <c r="J59" s="230"/>
      <c r="K59" s="230"/>
      <c r="L59" s="230"/>
      <c r="M59" s="230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">
      <c r="A60" s="5"/>
      <c r="B60" s="5"/>
      <c r="C60" s="5"/>
      <c r="D60" s="5"/>
      <c r="E60" s="5"/>
      <c r="F60" s="5"/>
      <c r="G60" s="5"/>
      <c r="H60" s="5"/>
      <c r="I60" s="230"/>
      <c r="J60" s="230"/>
      <c r="K60" s="230"/>
      <c r="L60" s="230"/>
      <c r="M60" s="230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">
      <c r="A61" s="5"/>
      <c r="B61" s="5"/>
      <c r="C61" s="5"/>
      <c r="D61" s="5"/>
      <c r="E61" s="5"/>
      <c r="F61" s="5"/>
      <c r="G61" s="5"/>
      <c r="H61" s="5"/>
      <c r="I61" s="230"/>
      <c r="J61" s="230"/>
      <c r="K61" s="230"/>
      <c r="L61" s="230"/>
      <c r="M61" s="230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">
      <c r="A62" s="5"/>
      <c r="B62" s="5"/>
      <c r="C62" s="5"/>
      <c r="D62" s="5"/>
      <c r="E62" s="5"/>
      <c r="F62" s="5"/>
      <c r="G62" s="5"/>
      <c r="H62" s="5"/>
      <c r="I62" s="230"/>
      <c r="J62" s="230"/>
      <c r="K62" s="230"/>
      <c r="L62" s="230"/>
      <c r="M62" s="230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">
      <c r="A63" s="5"/>
      <c r="B63" s="5"/>
      <c r="C63" s="5"/>
      <c r="D63" s="5"/>
      <c r="E63" s="5"/>
      <c r="F63" s="5"/>
      <c r="G63" s="5"/>
      <c r="H63" s="5"/>
      <c r="I63" s="230"/>
      <c r="J63" s="230"/>
      <c r="K63" s="230"/>
      <c r="L63" s="230"/>
      <c r="M63" s="230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">
      <c r="A64" s="5"/>
      <c r="B64" s="5"/>
      <c r="C64" s="5"/>
      <c r="D64" s="5"/>
      <c r="E64" s="5"/>
      <c r="F64" s="5"/>
      <c r="G64" s="5"/>
      <c r="H64" s="5"/>
      <c r="I64" s="230"/>
      <c r="J64" s="230"/>
      <c r="K64" s="230"/>
      <c r="L64" s="230"/>
      <c r="M64" s="230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">
      <c r="A65" s="5"/>
      <c r="B65" s="5"/>
      <c r="C65" s="5"/>
      <c r="D65" s="5"/>
      <c r="E65" s="5"/>
      <c r="F65" s="5"/>
      <c r="G65" s="5"/>
      <c r="H65" s="5"/>
      <c r="I65" s="230"/>
      <c r="J65" s="230"/>
      <c r="K65" s="230"/>
      <c r="L65" s="230"/>
      <c r="M65" s="230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">
      <c r="A66" s="5"/>
      <c r="B66" s="5"/>
      <c r="C66" s="5"/>
      <c r="D66" s="5"/>
      <c r="E66" s="5"/>
      <c r="F66" s="5"/>
      <c r="G66" s="5"/>
      <c r="H66" s="5"/>
      <c r="I66" s="230"/>
      <c r="J66" s="230"/>
      <c r="K66" s="230"/>
      <c r="L66" s="230"/>
      <c r="M66" s="230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">
      <c r="A67" s="5"/>
      <c r="B67" s="5"/>
      <c r="C67" s="5"/>
      <c r="D67" s="5"/>
      <c r="E67" s="5"/>
      <c r="F67" s="5"/>
      <c r="G67" s="5"/>
      <c r="H67" s="5"/>
      <c r="I67" s="230"/>
      <c r="J67" s="230"/>
      <c r="K67" s="230"/>
      <c r="L67" s="230"/>
      <c r="M67" s="230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">
      <c r="A68" s="5"/>
      <c r="B68" s="5"/>
      <c r="C68" s="5"/>
      <c r="D68" s="5"/>
      <c r="E68" s="5"/>
      <c r="F68" s="5"/>
      <c r="G68" s="5"/>
      <c r="H68" s="5"/>
      <c r="I68" s="230"/>
      <c r="J68" s="230"/>
      <c r="K68" s="230"/>
      <c r="L68" s="230"/>
      <c r="M68" s="230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">
      <c r="A69" s="5"/>
      <c r="B69" s="5"/>
      <c r="C69" s="5"/>
      <c r="D69" s="5"/>
      <c r="E69" s="5"/>
      <c r="F69" s="5"/>
      <c r="G69" s="5"/>
      <c r="H69" s="5"/>
      <c r="I69" s="230"/>
      <c r="J69" s="230"/>
      <c r="K69" s="230"/>
      <c r="L69" s="230"/>
      <c r="M69" s="230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">
      <c r="A70" s="5"/>
      <c r="B70" s="5"/>
      <c r="C70" s="5"/>
      <c r="D70" s="5"/>
      <c r="E70" s="5"/>
      <c r="F70" s="5"/>
      <c r="G70" s="5"/>
      <c r="H70" s="5"/>
      <c r="I70" s="230"/>
      <c r="J70" s="230"/>
      <c r="K70" s="230"/>
      <c r="L70" s="230"/>
      <c r="M70" s="230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">
      <c r="A71" s="5"/>
      <c r="B71" s="5"/>
      <c r="C71" s="5"/>
      <c r="D71" s="5"/>
      <c r="E71" s="5"/>
      <c r="F71" s="5"/>
      <c r="G71" s="5"/>
      <c r="H71" s="5"/>
      <c r="I71" s="230"/>
      <c r="J71" s="230"/>
      <c r="K71" s="230"/>
      <c r="L71" s="230"/>
      <c r="M71" s="230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">
      <c r="A72" s="5"/>
      <c r="B72" s="5"/>
      <c r="C72" s="5"/>
      <c r="D72" s="5"/>
      <c r="E72" s="5"/>
      <c r="F72" s="5"/>
      <c r="G72" s="5"/>
      <c r="H72" s="5"/>
      <c r="I72" s="230"/>
      <c r="J72" s="230"/>
      <c r="K72" s="230"/>
      <c r="L72" s="230"/>
      <c r="M72" s="230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">
      <c r="A73" s="5"/>
      <c r="B73" s="5"/>
      <c r="C73" s="5"/>
      <c r="D73" s="5"/>
      <c r="E73" s="5"/>
      <c r="F73" s="5"/>
      <c r="G73" s="5"/>
      <c r="H73" s="5"/>
      <c r="I73" s="230"/>
      <c r="J73" s="230"/>
      <c r="K73" s="230"/>
      <c r="L73" s="230"/>
      <c r="M73" s="230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">
      <c r="A74" s="5"/>
      <c r="B74" s="5"/>
      <c r="C74" s="5"/>
      <c r="D74" s="5"/>
      <c r="E74" s="5"/>
      <c r="F74" s="5"/>
      <c r="G74" s="5"/>
      <c r="H74" s="5"/>
      <c r="I74" s="230"/>
      <c r="J74" s="230"/>
      <c r="K74" s="230"/>
      <c r="L74" s="230"/>
      <c r="M74" s="230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6" thickBot="1" x14ac:dyDescent="0.25">
      <c r="A75" s="5"/>
      <c r="B75" s="5"/>
      <c r="C75" s="5"/>
      <c r="D75" s="5"/>
      <c r="E75" s="5"/>
      <c r="F75" s="5"/>
      <c r="G75" s="5"/>
      <c r="H75" s="5"/>
      <c r="I75" s="230"/>
      <c r="J75" s="230"/>
      <c r="K75" s="230"/>
      <c r="L75" s="230"/>
      <c r="M75" s="230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6" thickBot="1" x14ac:dyDescent="0.25">
      <c r="A76" s="179" t="str">
        <f>A9</f>
        <v/>
      </c>
      <c r="B76" s="5"/>
      <c r="C76" s="5"/>
      <c r="D76" s="5"/>
      <c r="E76" s="5"/>
      <c r="F76" s="5"/>
      <c r="G76" s="5"/>
      <c r="H76" s="5"/>
      <c r="I76" s="230"/>
      <c r="J76" s="230"/>
      <c r="K76" s="230"/>
      <c r="L76" s="230"/>
      <c r="M76" s="230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">
      <c r="A77" s="5"/>
      <c r="B77" s="5"/>
      <c r="C77" s="5"/>
      <c r="D77" s="5"/>
      <c r="E77" s="5"/>
      <c r="F77" s="5"/>
      <c r="G77" s="5"/>
      <c r="H77" s="5"/>
      <c r="I77" s="230"/>
      <c r="J77" s="230"/>
      <c r="K77" s="230"/>
      <c r="L77" s="230"/>
      <c r="M77" s="230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">
      <c r="A78" s="5"/>
      <c r="B78" s="5"/>
      <c r="C78" s="5"/>
      <c r="D78" s="5"/>
      <c r="E78" s="5"/>
      <c r="F78" s="5"/>
      <c r="G78" s="5"/>
      <c r="H78" s="5"/>
      <c r="I78" s="230"/>
      <c r="J78" s="230"/>
      <c r="K78" s="230"/>
      <c r="L78" s="230"/>
      <c r="M78" s="230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">
      <c r="A79" s="5"/>
      <c r="B79" s="5"/>
      <c r="C79" s="5"/>
      <c r="D79" s="5"/>
      <c r="E79" s="5"/>
      <c r="F79" s="5"/>
      <c r="G79" s="5"/>
      <c r="H79" s="5"/>
      <c r="I79" s="230"/>
      <c r="J79" s="230"/>
      <c r="K79" s="230"/>
      <c r="L79" s="230"/>
      <c r="M79" s="230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">
      <c r="A80" s="5"/>
      <c r="B80" s="5"/>
      <c r="C80" s="5"/>
      <c r="D80" s="5"/>
      <c r="E80" s="5"/>
      <c r="F80" s="5"/>
      <c r="G80" s="5"/>
      <c r="H80" s="5"/>
      <c r="I80" s="230"/>
      <c r="J80" s="230"/>
      <c r="K80" s="230"/>
      <c r="L80" s="230"/>
      <c r="M80" s="230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">
      <c r="A81" s="5"/>
      <c r="B81" s="5"/>
      <c r="C81" s="5"/>
      <c r="D81" s="5"/>
      <c r="E81" s="5"/>
      <c r="F81" s="5"/>
      <c r="G81" s="5"/>
      <c r="H81" s="5"/>
      <c r="I81" s="230"/>
      <c r="J81" s="230"/>
      <c r="K81" s="230"/>
      <c r="L81" s="230"/>
      <c r="M81" s="230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">
      <c r="A82" s="5"/>
      <c r="B82" s="5"/>
      <c r="C82" s="5"/>
      <c r="D82" s="5"/>
      <c r="E82" s="5"/>
      <c r="F82" s="5"/>
      <c r="G82" s="5"/>
      <c r="H82" s="5"/>
      <c r="I82" s="230"/>
      <c r="J82" s="230"/>
      <c r="K82" s="230"/>
      <c r="L82" s="230"/>
      <c r="M82" s="230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">
      <c r="A83" s="5"/>
      <c r="B83" s="5"/>
      <c r="C83" s="5"/>
      <c r="D83" s="5"/>
      <c r="E83" s="5"/>
      <c r="F83" s="5"/>
      <c r="G83" s="5"/>
      <c r="H83" s="5"/>
      <c r="I83" s="230"/>
      <c r="J83" s="230"/>
      <c r="K83" s="230"/>
      <c r="L83" s="230"/>
      <c r="M83" s="230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">
      <c r="A84" s="5"/>
      <c r="B84" s="5"/>
      <c r="C84" s="5"/>
      <c r="D84" s="5"/>
      <c r="E84" s="5"/>
      <c r="F84" s="5"/>
      <c r="G84" s="5"/>
      <c r="H84" s="5"/>
      <c r="I84" s="230"/>
      <c r="J84" s="230"/>
      <c r="K84" s="230"/>
      <c r="L84" s="230"/>
      <c r="M84" s="230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">
      <c r="A85" s="5"/>
      <c r="B85" s="5"/>
      <c r="C85" s="5"/>
      <c r="D85" s="5"/>
      <c r="E85" s="5"/>
      <c r="F85" s="5"/>
      <c r="G85" s="5"/>
      <c r="H85" s="5"/>
      <c r="I85" s="230"/>
      <c r="J85" s="230"/>
      <c r="K85" s="230"/>
      <c r="L85" s="230"/>
      <c r="M85" s="230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">
      <c r="A86" s="5"/>
      <c r="B86" s="5"/>
      <c r="C86" s="5"/>
      <c r="D86" s="5"/>
      <c r="E86" s="5"/>
      <c r="F86" s="5"/>
      <c r="G86" s="5"/>
      <c r="H86" s="5"/>
      <c r="I86" s="230"/>
      <c r="J86" s="230"/>
      <c r="K86" s="230"/>
      <c r="L86" s="230"/>
      <c r="M86" s="230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">
      <c r="A87" s="5"/>
      <c r="B87" s="5"/>
      <c r="C87" s="5"/>
      <c r="D87" s="5"/>
      <c r="E87" s="5"/>
      <c r="F87" s="5"/>
      <c r="G87" s="5"/>
      <c r="H87" s="5"/>
      <c r="I87" s="230"/>
      <c r="J87" s="230"/>
      <c r="K87" s="230"/>
      <c r="L87" s="230"/>
      <c r="M87" s="230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">
      <c r="A88" s="5"/>
      <c r="B88" s="5"/>
      <c r="C88" s="5"/>
      <c r="D88" s="5"/>
      <c r="E88" s="5"/>
      <c r="F88" s="5"/>
      <c r="G88" s="5"/>
      <c r="H88" s="5"/>
      <c r="I88" s="230"/>
      <c r="J88" s="230"/>
      <c r="K88" s="230"/>
      <c r="L88" s="230"/>
      <c r="M88" s="230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">
      <c r="A89" s="5"/>
      <c r="B89" s="5"/>
      <c r="C89" s="5"/>
      <c r="D89" s="5"/>
      <c r="E89" s="5"/>
      <c r="F89" s="5"/>
      <c r="G89" s="5"/>
      <c r="H89" s="5"/>
      <c r="I89" s="230"/>
      <c r="J89" s="230"/>
      <c r="K89" s="230"/>
      <c r="L89" s="230"/>
      <c r="M89" s="230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">
      <c r="A90" s="5"/>
      <c r="B90" s="5"/>
      <c r="C90" s="5"/>
      <c r="D90" s="5"/>
      <c r="E90" s="5"/>
      <c r="F90" s="5"/>
      <c r="G90" s="5"/>
      <c r="H90" s="5"/>
      <c r="I90" s="230"/>
      <c r="J90" s="230"/>
      <c r="K90" s="230"/>
      <c r="L90" s="230"/>
      <c r="M90" s="230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">
      <c r="A91" s="5"/>
      <c r="B91" s="5"/>
      <c r="C91" s="5"/>
      <c r="D91" s="5"/>
      <c r="E91" s="5"/>
      <c r="F91" s="5"/>
      <c r="G91" s="5"/>
      <c r="H91" s="5"/>
      <c r="I91" s="230"/>
      <c r="J91" s="230"/>
      <c r="K91" s="230"/>
      <c r="L91" s="230"/>
      <c r="M91" s="230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">
      <c r="A92" s="5"/>
      <c r="B92" s="5"/>
      <c r="C92" s="5"/>
      <c r="D92" s="5"/>
      <c r="E92" s="5"/>
      <c r="F92" s="5"/>
      <c r="G92" s="5"/>
      <c r="H92" s="5"/>
      <c r="I92" s="230"/>
      <c r="J92" s="230"/>
      <c r="K92" s="230"/>
      <c r="L92" s="230"/>
      <c r="M92" s="230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6" thickBot="1" x14ac:dyDescent="0.25">
      <c r="A93" s="5"/>
      <c r="B93" s="5"/>
      <c r="C93" s="5"/>
      <c r="D93" s="5"/>
      <c r="E93" s="5"/>
      <c r="F93" s="5"/>
      <c r="G93" s="5"/>
      <c r="H93" s="5"/>
      <c r="I93" s="230"/>
      <c r="J93" s="230"/>
      <c r="K93" s="230"/>
      <c r="L93" s="230"/>
      <c r="M93" s="230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6" thickBot="1" x14ac:dyDescent="0.25">
      <c r="A94" s="179" t="str">
        <f>A10</f>
        <v/>
      </c>
      <c r="B94" s="5"/>
      <c r="C94" s="5"/>
      <c r="D94" s="5"/>
      <c r="E94" s="5"/>
      <c r="F94" s="5"/>
      <c r="G94" s="5"/>
      <c r="H94" s="5"/>
      <c r="I94" s="230"/>
      <c r="J94" s="230"/>
      <c r="K94" s="230"/>
      <c r="L94" s="230"/>
      <c r="M94" s="230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">
      <c r="A95" s="5"/>
      <c r="B95" s="5"/>
      <c r="C95" s="5"/>
      <c r="D95" s="5"/>
      <c r="E95" s="5"/>
      <c r="F95" s="5"/>
      <c r="G95" s="5"/>
      <c r="H95" s="5"/>
      <c r="I95" s="230"/>
      <c r="J95" s="230"/>
      <c r="K95" s="230"/>
      <c r="L95" s="230"/>
      <c r="M95" s="230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">
      <c r="A96" s="5"/>
      <c r="B96" s="5"/>
      <c r="C96" s="5"/>
      <c r="D96" s="5"/>
      <c r="E96" s="5"/>
      <c r="F96" s="5"/>
      <c r="G96" s="5"/>
      <c r="H96" s="5"/>
      <c r="I96" s="230"/>
      <c r="J96" s="230"/>
      <c r="K96" s="230"/>
      <c r="L96" s="230"/>
      <c r="M96" s="230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">
      <c r="A97" s="5"/>
      <c r="B97" s="5"/>
      <c r="C97" s="5"/>
      <c r="D97" s="5"/>
      <c r="E97" s="5"/>
      <c r="F97" s="5"/>
      <c r="G97" s="5"/>
      <c r="H97" s="5"/>
      <c r="I97" s="230"/>
      <c r="J97" s="230"/>
      <c r="K97" s="230"/>
      <c r="L97" s="230"/>
      <c r="M97" s="230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">
      <c r="A98" s="5"/>
      <c r="B98" s="5"/>
      <c r="C98" s="5"/>
      <c r="D98" s="5"/>
      <c r="E98" s="5"/>
      <c r="F98" s="5"/>
      <c r="G98" s="5"/>
      <c r="H98" s="5"/>
      <c r="I98" s="230"/>
      <c r="J98" s="230"/>
      <c r="K98" s="230"/>
      <c r="L98" s="230"/>
      <c r="M98" s="230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">
      <c r="A99" s="5"/>
      <c r="B99" s="5"/>
      <c r="C99" s="5"/>
      <c r="D99" s="5"/>
      <c r="E99" s="5"/>
      <c r="F99" s="5"/>
      <c r="G99" s="5"/>
      <c r="H99" s="5"/>
      <c r="I99" s="230"/>
      <c r="J99" s="230"/>
      <c r="K99" s="230"/>
      <c r="L99" s="230"/>
      <c r="M99" s="230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">
      <c r="A100" s="5"/>
      <c r="B100" s="5"/>
      <c r="C100" s="5"/>
      <c r="D100" s="5"/>
      <c r="E100" s="5"/>
      <c r="F100" s="5"/>
      <c r="G100" s="5"/>
      <c r="H100" s="5"/>
      <c r="I100" s="230"/>
      <c r="J100" s="230"/>
      <c r="K100" s="230"/>
      <c r="L100" s="230"/>
      <c r="M100" s="230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">
      <c r="A101" s="5"/>
      <c r="B101" s="5"/>
      <c r="C101" s="5"/>
      <c r="D101" s="5"/>
      <c r="E101" s="5"/>
      <c r="F101" s="5"/>
      <c r="G101" s="5"/>
      <c r="H101" s="5"/>
      <c r="I101" s="230"/>
      <c r="J101" s="230"/>
      <c r="K101" s="230"/>
      <c r="L101" s="230"/>
      <c r="M101" s="230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">
      <c r="A102" s="5"/>
      <c r="B102" s="5"/>
      <c r="C102" s="5"/>
      <c r="D102" s="5"/>
      <c r="E102" s="5"/>
      <c r="F102" s="5"/>
      <c r="G102" s="5"/>
      <c r="H102" s="5"/>
      <c r="I102" s="230"/>
      <c r="J102" s="230"/>
      <c r="K102" s="230"/>
      <c r="L102" s="230"/>
      <c r="M102" s="230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">
      <c r="A103" s="5"/>
      <c r="B103" s="5"/>
      <c r="C103" s="5"/>
      <c r="D103" s="5"/>
      <c r="E103" s="5"/>
      <c r="F103" s="5"/>
      <c r="G103" s="5"/>
      <c r="H103" s="5"/>
      <c r="I103" s="230"/>
      <c r="J103" s="230"/>
      <c r="K103" s="230"/>
      <c r="L103" s="230"/>
      <c r="M103" s="230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">
      <c r="A104" s="5"/>
      <c r="B104" s="5"/>
      <c r="C104" s="5"/>
      <c r="D104" s="5"/>
      <c r="E104" s="5"/>
      <c r="F104" s="5"/>
      <c r="G104" s="5"/>
      <c r="H104" s="5"/>
      <c r="I104" s="230"/>
      <c r="J104" s="230"/>
      <c r="K104" s="230"/>
      <c r="L104" s="230"/>
      <c r="M104" s="230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">
      <c r="A105" s="5"/>
      <c r="B105" s="5"/>
      <c r="C105" s="5"/>
      <c r="D105" s="5"/>
      <c r="E105" s="5"/>
      <c r="F105" s="5"/>
      <c r="G105" s="5"/>
      <c r="H105" s="5"/>
      <c r="I105" s="230"/>
      <c r="J105" s="230"/>
      <c r="K105" s="230"/>
      <c r="L105" s="230"/>
      <c r="M105" s="230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">
      <c r="A106" s="5"/>
      <c r="B106" s="5"/>
      <c r="C106" s="5"/>
      <c r="D106" s="5"/>
      <c r="E106" s="5"/>
      <c r="F106" s="5"/>
      <c r="G106" s="5"/>
      <c r="H106" s="5"/>
      <c r="I106" s="230"/>
      <c r="J106" s="230"/>
      <c r="K106" s="230"/>
      <c r="L106" s="230"/>
      <c r="M106" s="230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">
      <c r="A107" s="5"/>
      <c r="B107" s="5"/>
      <c r="C107" s="5"/>
      <c r="D107" s="5"/>
      <c r="E107" s="5"/>
      <c r="F107" s="5"/>
      <c r="G107" s="5"/>
      <c r="H107" s="5"/>
      <c r="I107" s="230"/>
      <c r="J107" s="230"/>
      <c r="K107" s="230"/>
      <c r="L107" s="230"/>
      <c r="M107" s="230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">
      <c r="A108" s="5"/>
      <c r="B108" s="5"/>
      <c r="C108" s="5"/>
      <c r="D108" s="5"/>
      <c r="E108" s="5"/>
      <c r="F108" s="5"/>
      <c r="G108" s="5"/>
      <c r="H108" s="5"/>
      <c r="I108" s="230"/>
      <c r="J108" s="230"/>
      <c r="K108" s="230"/>
      <c r="L108" s="230"/>
      <c r="M108" s="230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">
      <c r="A109" s="5"/>
      <c r="B109" s="5"/>
      <c r="C109" s="5"/>
      <c r="D109" s="5"/>
      <c r="E109" s="5"/>
      <c r="F109" s="5"/>
      <c r="G109" s="5"/>
      <c r="H109" s="5"/>
      <c r="I109" s="230"/>
      <c r="J109" s="230"/>
      <c r="K109" s="230"/>
      <c r="L109" s="230"/>
      <c r="M109" s="230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">
      <c r="A110" s="5"/>
      <c r="B110" s="5"/>
      <c r="C110" s="5"/>
      <c r="D110" s="5"/>
      <c r="E110" s="5"/>
      <c r="F110" s="5"/>
      <c r="G110" s="5"/>
      <c r="H110" s="5"/>
      <c r="I110" s="230"/>
      <c r="J110" s="230"/>
      <c r="K110" s="230"/>
      <c r="L110" s="230"/>
      <c r="M110" s="230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6" thickBot="1" x14ac:dyDescent="0.25">
      <c r="A111" s="5"/>
      <c r="B111" s="5"/>
      <c r="C111" s="5"/>
      <c r="D111" s="5"/>
      <c r="E111" s="5"/>
      <c r="F111" s="5"/>
      <c r="G111" s="5"/>
      <c r="H111" s="5"/>
      <c r="I111" s="230"/>
      <c r="J111" s="230"/>
      <c r="K111" s="230"/>
      <c r="L111" s="230"/>
      <c r="M111" s="230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6" thickBot="1" x14ac:dyDescent="0.2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0"/>
      <c r="J112" s="230"/>
      <c r="K112" s="230"/>
      <c r="L112" s="230"/>
      <c r="M112" s="230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">
      <c r="A113" s="5"/>
      <c r="B113" s="5"/>
      <c r="C113" s="5"/>
      <c r="D113" s="5"/>
      <c r="E113" s="5"/>
      <c r="F113" s="5"/>
      <c r="G113" s="5"/>
      <c r="H113" s="5"/>
      <c r="I113" s="230"/>
      <c r="J113" s="230"/>
      <c r="K113" s="230"/>
      <c r="L113" s="230"/>
      <c r="M113" s="230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">
      <c r="A114" s="5"/>
      <c r="B114" s="5"/>
      <c r="C114" s="5"/>
      <c r="D114" s="5"/>
      <c r="E114" s="5"/>
      <c r="F114" s="5"/>
      <c r="G114" s="5"/>
      <c r="H114" s="5"/>
      <c r="I114" s="230"/>
      <c r="J114" s="230"/>
      <c r="K114" s="230"/>
      <c r="L114" s="230"/>
      <c r="M114" s="230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">
      <c r="A115" s="5"/>
      <c r="B115" s="5"/>
      <c r="C115" s="5"/>
      <c r="D115" s="5"/>
      <c r="E115" s="5"/>
      <c r="F115" s="5"/>
      <c r="G115" s="5"/>
      <c r="H115" s="5"/>
      <c r="I115" s="230"/>
      <c r="J115" s="230"/>
      <c r="K115" s="230"/>
      <c r="L115" s="230"/>
      <c r="M115" s="230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">
      <c r="A116" s="5"/>
      <c r="B116" s="5"/>
      <c r="C116" s="5"/>
      <c r="D116" s="5"/>
      <c r="E116" s="5"/>
      <c r="F116" s="5"/>
      <c r="G116" s="5"/>
      <c r="H116" s="5"/>
      <c r="I116" s="230"/>
      <c r="J116" s="230"/>
      <c r="K116" s="230"/>
      <c r="L116" s="230"/>
      <c r="M116" s="230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">
      <c r="A117" s="5"/>
      <c r="B117" s="5"/>
      <c r="C117" s="5"/>
      <c r="D117" s="5"/>
      <c r="E117" s="5"/>
      <c r="F117" s="5"/>
      <c r="G117" s="5"/>
      <c r="H117" s="5"/>
      <c r="I117" s="230"/>
      <c r="J117" s="230"/>
      <c r="K117" s="230"/>
      <c r="L117" s="230"/>
      <c r="M117" s="230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">
      <c r="A118" s="5"/>
      <c r="B118" s="5"/>
      <c r="C118" s="5"/>
      <c r="D118" s="5"/>
      <c r="E118" s="5"/>
      <c r="F118" s="5"/>
      <c r="G118" s="5"/>
      <c r="H118" s="5"/>
      <c r="I118" s="230"/>
      <c r="J118" s="230"/>
      <c r="K118" s="230"/>
      <c r="L118" s="230"/>
      <c r="M118" s="230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">
      <c r="A119" s="5"/>
      <c r="B119" s="5"/>
      <c r="C119" s="5"/>
      <c r="D119" s="5"/>
      <c r="E119" s="5"/>
      <c r="F119" s="5"/>
      <c r="G119" s="5"/>
      <c r="H119" s="5"/>
      <c r="I119" s="230"/>
      <c r="J119" s="230"/>
      <c r="K119" s="230"/>
      <c r="L119" s="230"/>
      <c r="M119" s="230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">
      <c r="A120" s="5"/>
      <c r="B120" s="5"/>
      <c r="C120" s="5"/>
      <c r="D120" s="5"/>
      <c r="E120" s="5"/>
      <c r="F120" s="5"/>
      <c r="G120" s="5"/>
      <c r="H120" s="5"/>
      <c r="I120" s="230"/>
      <c r="J120" s="230"/>
      <c r="K120" s="230"/>
      <c r="L120" s="230"/>
      <c r="M120" s="230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">
      <c r="A121" s="5"/>
      <c r="B121" s="5"/>
      <c r="C121" s="5"/>
      <c r="D121" s="5"/>
      <c r="E121" s="5"/>
      <c r="F121" s="5"/>
      <c r="G121" s="5"/>
      <c r="H121" s="5"/>
      <c r="I121" s="230"/>
      <c r="J121" s="230"/>
      <c r="K121" s="230"/>
      <c r="L121" s="230"/>
      <c r="M121" s="230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">
      <c r="A122" s="5"/>
      <c r="B122" s="5"/>
      <c r="C122" s="5"/>
      <c r="D122" s="5"/>
      <c r="E122" s="5"/>
      <c r="F122" s="5"/>
      <c r="G122" s="5"/>
      <c r="H122" s="5"/>
      <c r="I122" s="230"/>
      <c r="J122" s="230"/>
      <c r="K122" s="230"/>
      <c r="L122" s="230"/>
      <c r="M122" s="230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">
      <c r="A123" s="5"/>
      <c r="B123" s="5"/>
      <c r="C123" s="5"/>
      <c r="D123" s="5"/>
      <c r="E123" s="5"/>
      <c r="F123" s="5"/>
      <c r="G123" s="5"/>
      <c r="H123" s="5"/>
      <c r="I123" s="230"/>
      <c r="J123" s="230"/>
      <c r="K123" s="230"/>
      <c r="L123" s="230"/>
      <c r="M123" s="230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">
      <c r="A124" s="5"/>
      <c r="B124" s="5"/>
      <c r="C124" s="5"/>
      <c r="D124" s="5"/>
      <c r="E124" s="5"/>
      <c r="F124" s="5"/>
      <c r="G124" s="5"/>
      <c r="H124" s="5"/>
      <c r="I124" s="230"/>
      <c r="J124" s="230"/>
      <c r="K124" s="230"/>
      <c r="L124" s="230"/>
      <c r="M124" s="230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">
      <c r="A125" s="5"/>
      <c r="B125" s="5"/>
      <c r="C125" s="5"/>
      <c r="D125" s="5"/>
      <c r="E125" s="5"/>
      <c r="F125" s="5"/>
      <c r="G125" s="5"/>
      <c r="H125" s="5"/>
      <c r="I125" s="230"/>
      <c r="J125" s="230"/>
      <c r="K125" s="230"/>
      <c r="L125" s="230"/>
      <c r="M125" s="230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">
      <c r="A126" s="5"/>
      <c r="B126" s="5"/>
      <c r="C126" s="5"/>
      <c r="D126" s="5"/>
      <c r="E126" s="5"/>
      <c r="F126" s="5"/>
      <c r="G126" s="5"/>
      <c r="H126" s="5"/>
      <c r="I126" s="230"/>
      <c r="J126" s="230"/>
      <c r="K126" s="230"/>
      <c r="L126" s="230"/>
      <c r="M126" s="230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">
      <c r="A127" s="5"/>
      <c r="B127" s="5"/>
      <c r="C127" s="5"/>
      <c r="D127" s="5"/>
      <c r="E127" s="5"/>
      <c r="F127" s="5"/>
      <c r="G127" s="5"/>
      <c r="H127" s="5"/>
      <c r="I127" s="230"/>
      <c r="J127" s="230"/>
      <c r="K127" s="230"/>
      <c r="L127" s="230"/>
      <c r="M127" s="230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">
      <c r="A128" s="5"/>
      <c r="B128" s="5"/>
      <c r="C128" s="5"/>
      <c r="D128" s="5"/>
      <c r="E128" s="5"/>
      <c r="F128" s="5"/>
      <c r="G128" s="5"/>
      <c r="H128" s="5"/>
      <c r="I128" s="230"/>
      <c r="J128" s="230"/>
      <c r="K128" s="230"/>
      <c r="L128" s="230"/>
      <c r="M128" s="230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6" thickBot="1" x14ac:dyDescent="0.25">
      <c r="A129" s="5"/>
      <c r="B129" s="5"/>
      <c r="C129" s="5"/>
      <c r="D129" s="5"/>
      <c r="E129" s="5"/>
      <c r="F129" s="5"/>
      <c r="G129" s="5"/>
      <c r="H129" s="5"/>
      <c r="I129" s="230"/>
      <c r="J129" s="230"/>
      <c r="K129" s="230"/>
      <c r="L129" s="230"/>
      <c r="M129" s="230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6" thickBot="1" x14ac:dyDescent="0.2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0"/>
      <c r="J130" s="230"/>
      <c r="K130" s="230"/>
      <c r="L130" s="230"/>
      <c r="M130" s="230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">
      <c r="A131" s="5"/>
      <c r="B131" s="5"/>
      <c r="C131" s="5"/>
      <c r="D131" s="5"/>
      <c r="E131" s="5"/>
      <c r="F131" s="5"/>
      <c r="G131" s="5"/>
      <c r="H131" s="5"/>
      <c r="I131" s="230"/>
      <c r="J131" s="230"/>
      <c r="K131" s="230"/>
      <c r="L131" s="230"/>
      <c r="M131" s="230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">
      <c r="A132" s="5"/>
      <c r="B132" s="5"/>
      <c r="C132" s="5"/>
      <c r="D132" s="5"/>
      <c r="E132" s="5"/>
      <c r="F132" s="5"/>
      <c r="G132" s="5"/>
      <c r="H132" s="5"/>
      <c r="I132" s="230"/>
      <c r="J132" s="230"/>
      <c r="K132" s="230"/>
      <c r="L132" s="230"/>
      <c r="M132" s="230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">
      <c r="A133" s="5"/>
      <c r="B133" s="5"/>
      <c r="C133" s="5"/>
      <c r="D133" s="5"/>
      <c r="E133" s="5"/>
      <c r="F133" s="5"/>
      <c r="G133" s="5"/>
      <c r="H133" s="5"/>
      <c r="I133" s="230"/>
      <c r="J133" s="230"/>
      <c r="K133" s="230"/>
      <c r="L133" s="230"/>
      <c r="M133" s="230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">
      <c r="A134" s="5"/>
      <c r="B134" s="5"/>
      <c r="C134" s="5"/>
      <c r="D134" s="5"/>
      <c r="E134" s="5"/>
      <c r="F134" s="5"/>
      <c r="G134" s="5"/>
      <c r="H134" s="5"/>
      <c r="I134" s="230"/>
      <c r="J134" s="230"/>
      <c r="K134" s="230"/>
      <c r="L134" s="230"/>
      <c r="M134" s="230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">
      <c r="A135" s="5"/>
      <c r="B135" s="5"/>
      <c r="C135" s="5"/>
      <c r="D135" s="5"/>
      <c r="E135" s="5"/>
      <c r="F135" s="5"/>
      <c r="G135" s="5"/>
      <c r="H135" s="5"/>
      <c r="I135" s="230"/>
      <c r="J135" s="230"/>
      <c r="K135" s="230"/>
      <c r="L135" s="230"/>
      <c r="M135" s="230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">
      <c r="A136" s="5"/>
      <c r="B136" s="5"/>
      <c r="C136" s="5"/>
      <c r="D136" s="5"/>
      <c r="E136" s="5"/>
      <c r="F136" s="5"/>
      <c r="G136" s="5"/>
      <c r="H136" s="5"/>
      <c r="I136" s="230"/>
      <c r="J136" s="230"/>
      <c r="K136" s="230"/>
      <c r="L136" s="230"/>
      <c r="M136" s="230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">
      <c r="A137" s="5"/>
      <c r="B137" s="5"/>
      <c r="C137" s="5"/>
      <c r="D137" s="5"/>
      <c r="E137" s="5"/>
      <c r="F137" s="5"/>
      <c r="G137" s="5"/>
      <c r="H137" s="5"/>
      <c r="I137" s="230"/>
      <c r="J137" s="230"/>
      <c r="K137" s="230"/>
      <c r="L137" s="230"/>
      <c r="M137" s="230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">
      <c r="A138" s="5"/>
      <c r="B138" s="5"/>
      <c r="C138" s="5"/>
      <c r="D138" s="5"/>
      <c r="E138" s="5"/>
      <c r="F138" s="5"/>
      <c r="G138" s="5"/>
      <c r="H138" s="5"/>
      <c r="I138" s="230"/>
      <c r="J138" s="230"/>
      <c r="K138" s="230"/>
      <c r="L138" s="230"/>
      <c r="M138" s="230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">
      <c r="A139" s="5"/>
      <c r="B139" s="5"/>
      <c r="C139" s="5"/>
      <c r="D139" s="5"/>
      <c r="E139" s="5"/>
      <c r="F139" s="5"/>
      <c r="G139" s="5"/>
      <c r="H139" s="5"/>
      <c r="I139" s="230"/>
      <c r="J139" s="230"/>
      <c r="K139" s="230"/>
      <c r="L139" s="230"/>
      <c r="M139" s="230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">
      <c r="A140" s="5"/>
      <c r="B140" s="5"/>
      <c r="C140" s="5"/>
      <c r="D140" s="5"/>
      <c r="E140" s="5"/>
      <c r="F140" s="5"/>
      <c r="G140" s="5"/>
      <c r="H140" s="5"/>
      <c r="I140" s="230"/>
      <c r="J140" s="230"/>
      <c r="K140" s="230"/>
      <c r="L140" s="230"/>
      <c r="M140" s="230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">
      <c r="A141" s="5"/>
      <c r="B141" s="5"/>
      <c r="C141" s="5"/>
      <c r="D141" s="5"/>
      <c r="E141" s="5"/>
      <c r="F141" s="5"/>
      <c r="G141" s="5"/>
      <c r="H141" s="5"/>
      <c r="I141" s="230"/>
      <c r="J141" s="230"/>
      <c r="K141" s="230"/>
      <c r="L141" s="230"/>
      <c r="M141" s="230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">
      <c r="A142" s="5"/>
      <c r="B142" s="5"/>
      <c r="C142" s="5"/>
      <c r="D142" s="5"/>
      <c r="E142" s="5"/>
      <c r="F142" s="5"/>
      <c r="G142" s="5"/>
      <c r="H142" s="5"/>
      <c r="I142" s="230"/>
      <c r="J142" s="230"/>
      <c r="K142" s="230"/>
      <c r="L142" s="230"/>
      <c r="M142" s="230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">
      <c r="A143" s="5"/>
      <c r="B143" s="5"/>
      <c r="C143" s="5"/>
      <c r="D143" s="5"/>
      <c r="E143" s="5"/>
      <c r="F143" s="5"/>
      <c r="G143" s="5"/>
      <c r="H143" s="5"/>
      <c r="I143" s="230"/>
      <c r="J143" s="230"/>
      <c r="K143" s="230"/>
      <c r="L143" s="230"/>
      <c r="M143" s="230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">
      <c r="A144" s="5"/>
      <c r="B144" s="5"/>
      <c r="C144" s="5"/>
      <c r="D144" s="5"/>
      <c r="E144" s="5"/>
      <c r="F144" s="5"/>
      <c r="G144" s="5"/>
      <c r="H144" s="5"/>
      <c r="I144" s="230"/>
      <c r="J144" s="230"/>
      <c r="K144" s="230"/>
      <c r="L144" s="230"/>
      <c r="M144" s="230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">
      <c r="A145" s="5"/>
      <c r="B145" s="5"/>
      <c r="C145" s="5"/>
      <c r="D145" s="5"/>
      <c r="E145" s="5"/>
      <c r="F145" s="5"/>
      <c r="G145" s="5"/>
      <c r="H145" s="5"/>
      <c r="I145" s="230"/>
      <c r="J145" s="230"/>
      <c r="K145" s="230"/>
      <c r="L145" s="230"/>
      <c r="M145" s="230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">
      <c r="A146" s="5"/>
      <c r="B146" s="5"/>
      <c r="C146" s="5"/>
      <c r="D146" s="5"/>
      <c r="E146" s="5"/>
      <c r="F146" s="5"/>
      <c r="G146" s="5"/>
      <c r="H146" s="5"/>
      <c r="I146" s="230"/>
      <c r="J146" s="230"/>
      <c r="K146" s="230"/>
      <c r="L146" s="230"/>
      <c r="M146" s="230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6" thickBot="1" x14ac:dyDescent="0.25">
      <c r="A147" s="5"/>
      <c r="B147" s="5"/>
      <c r="C147" s="5"/>
      <c r="D147" s="5"/>
      <c r="E147" s="5"/>
      <c r="F147" s="5"/>
      <c r="G147" s="5"/>
      <c r="H147" s="5"/>
      <c r="I147" s="230"/>
      <c r="J147" s="230"/>
      <c r="K147" s="230"/>
      <c r="L147" s="230"/>
      <c r="M147" s="230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6" thickBot="1" x14ac:dyDescent="0.2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0"/>
      <c r="J148" s="230"/>
      <c r="K148" s="230"/>
      <c r="L148" s="230"/>
      <c r="M148" s="230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">
      <c r="A149" s="5"/>
      <c r="B149" s="5"/>
      <c r="C149" s="5"/>
      <c r="D149" s="5"/>
      <c r="E149" s="5"/>
      <c r="F149" s="5"/>
      <c r="G149" s="5"/>
      <c r="H149" s="5"/>
      <c r="I149" s="230"/>
      <c r="J149" s="230"/>
      <c r="K149" s="230"/>
      <c r="L149" s="230"/>
      <c r="M149" s="230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">
      <c r="A150" s="5"/>
      <c r="B150" s="5"/>
      <c r="C150" s="5"/>
      <c r="D150" s="5"/>
      <c r="E150" s="5"/>
      <c r="F150" s="5"/>
      <c r="G150" s="5"/>
      <c r="H150" s="5"/>
      <c r="I150" s="230"/>
      <c r="J150" s="230"/>
      <c r="K150" s="230"/>
      <c r="L150" s="230"/>
      <c r="M150" s="230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">
      <c r="A151" s="5"/>
      <c r="B151" s="5"/>
      <c r="C151" s="5"/>
      <c r="D151" s="5"/>
      <c r="E151" s="5"/>
      <c r="F151" s="5"/>
      <c r="G151" s="5"/>
      <c r="H151" s="5"/>
      <c r="I151" s="230"/>
      <c r="J151" s="230"/>
      <c r="K151" s="230"/>
      <c r="L151" s="230"/>
      <c r="M151" s="230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">
      <c r="A152" s="5"/>
      <c r="B152" s="5"/>
      <c r="C152" s="5"/>
      <c r="D152" s="5"/>
      <c r="E152" s="5"/>
      <c r="F152" s="5"/>
      <c r="G152" s="5"/>
      <c r="H152" s="5"/>
      <c r="I152" s="230"/>
      <c r="J152" s="230"/>
      <c r="K152" s="230"/>
      <c r="L152" s="230"/>
      <c r="M152" s="230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">
      <c r="A153" s="5"/>
      <c r="B153" s="5"/>
      <c r="C153" s="5"/>
      <c r="D153" s="5"/>
      <c r="E153" s="5"/>
      <c r="F153" s="5"/>
      <c r="G153" s="5"/>
      <c r="H153" s="5"/>
      <c r="I153" s="230"/>
      <c r="J153" s="230"/>
      <c r="K153" s="230"/>
      <c r="L153" s="230"/>
      <c r="M153" s="230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">
      <c r="A154" s="5"/>
      <c r="B154" s="5"/>
      <c r="C154" s="5"/>
      <c r="D154" s="5"/>
      <c r="E154" s="5"/>
      <c r="F154" s="5"/>
      <c r="G154" s="5"/>
      <c r="H154" s="5"/>
      <c r="I154" s="230"/>
      <c r="J154" s="230"/>
      <c r="K154" s="230"/>
      <c r="L154" s="230"/>
      <c r="M154" s="230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">
      <c r="A155" s="5"/>
      <c r="B155" s="5"/>
      <c r="C155" s="5"/>
      <c r="D155" s="5"/>
      <c r="E155" s="5"/>
      <c r="F155" s="5"/>
      <c r="G155" s="5"/>
      <c r="H155" s="5"/>
      <c r="I155" s="230"/>
      <c r="J155" s="230"/>
      <c r="K155" s="230"/>
      <c r="L155" s="230"/>
      <c r="M155" s="230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">
      <c r="A156" s="5"/>
      <c r="B156" s="5"/>
      <c r="C156" s="5"/>
      <c r="D156" s="5"/>
      <c r="E156" s="5"/>
      <c r="F156" s="5"/>
      <c r="G156" s="5"/>
      <c r="H156" s="5"/>
      <c r="I156" s="230"/>
      <c r="J156" s="230"/>
      <c r="K156" s="230"/>
      <c r="L156" s="230"/>
      <c r="M156" s="230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">
      <c r="A157" s="5"/>
      <c r="B157" s="5"/>
      <c r="C157" s="5"/>
      <c r="D157" s="5"/>
      <c r="E157" s="5"/>
      <c r="F157" s="5"/>
      <c r="G157" s="5"/>
      <c r="H157" s="5"/>
      <c r="I157" s="230"/>
      <c r="J157" s="230"/>
      <c r="K157" s="230"/>
      <c r="L157" s="230"/>
      <c r="M157" s="230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">
      <c r="A158" s="5"/>
      <c r="B158" s="5"/>
      <c r="C158" s="5"/>
      <c r="D158" s="5"/>
      <c r="E158" s="5"/>
      <c r="F158" s="5"/>
      <c r="G158" s="5"/>
      <c r="H158" s="5"/>
      <c r="I158" s="230"/>
      <c r="J158" s="230"/>
      <c r="K158" s="230"/>
      <c r="L158" s="230"/>
      <c r="M158" s="230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">
      <c r="A159" s="5"/>
      <c r="B159" s="5"/>
      <c r="C159" s="5"/>
      <c r="D159" s="5"/>
      <c r="E159" s="5"/>
      <c r="F159" s="5"/>
      <c r="G159" s="5"/>
      <c r="H159" s="5"/>
      <c r="I159" s="230"/>
      <c r="J159" s="230"/>
      <c r="K159" s="230"/>
      <c r="L159" s="230"/>
      <c r="M159" s="230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">
      <c r="A160" s="5"/>
      <c r="B160" s="5"/>
      <c r="C160" s="5"/>
      <c r="D160" s="5"/>
      <c r="E160" s="5"/>
      <c r="F160" s="5"/>
      <c r="G160" s="5"/>
      <c r="H160" s="5"/>
      <c r="I160" s="230"/>
      <c r="J160" s="230"/>
      <c r="K160" s="230"/>
      <c r="L160" s="230"/>
      <c r="M160" s="230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">
      <c r="A161" s="5"/>
      <c r="B161" s="5"/>
      <c r="C161" s="5"/>
      <c r="D161" s="5"/>
      <c r="E161" s="5"/>
      <c r="F161" s="5"/>
      <c r="G161" s="5"/>
      <c r="H161" s="5"/>
      <c r="I161" s="230"/>
      <c r="J161" s="230"/>
      <c r="K161" s="230"/>
      <c r="L161" s="230"/>
      <c r="M161" s="230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">
      <c r="A162" s="5"/>
      <c r="B162" s="5"/>
      <c r="C162" s="5"/>
      <c r="D162" s="5"/>
      <c r="E162" s="5"/>
      <c r="F162" s="5"/>
      <c r="G162" s="5"/>
      <c r="H162" s="5"/>
      <c r="I162" s="230"/>
      <c r="J162" s="230"/>
      <c r="K162" s="230"/>
      <c r="L162" s="230"/>
      <c r="M162" s="230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">
      <c r="A163" s="5"/>
      <c r="B163" s="5"/>
      <c r="C163" s="5"/>
      <c r="D163" s="5"/>
      <c r="E163" s="5"/>
      <c r="F163" s="5"/>
      <c r="G163" s="5"/>
      <c r="H163" s="5"/>
      <c r="I163" s="230"/>
      <c r="J163" s="230"/>
      <c r="K163" s="230"/>
      <c r="L163" s="230"/>
      <c r="M163" s="230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">
      <c r="A164" s="5"/>
      <c r="B164" s="5"/>
      <c r="C164" s="5"/>
      <c r="D164" s="5"/>
      <c r="E164" s="5"/>
      <c r="F164" s="5"/>
      <c r="G164" s="5"/>
      <c r="H164" s="5"/>
      <c r="I164" s="230"/>
      <c r="J164" s="230"/>
      <c r="K164" s="230"/>
      <c r="L164" s="230"/>
      <c r="M164" s="230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6" thickBot="1" x14ac:dyDescent="0.25">
      <c r="A165" s="5"/>
      <c r="B165" s="5"/>
      <c r="C165" s="5"/>
      <c r="D165" s="5"/>
      <c r="E165" s="5"/>
      <c r="F165" s="5"/>
      <c r="G165" s="5"/>
      <c r="H165" s="5"/>
      <c r="I165" s="230"/>
      <c r="J165" s="230"/>
      <c r="K165" s="230"/>
      <c r="L165" s="230"/>
      <c r="M165" s="230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6" thickBot="1" x14ac:dyDescent="0.2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0"/>
      <c r="J166" s="230"/>
      <c r="K166" s="230"/>
      <c r="L166" s="230"/>
      <c r="M166" s="230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">
      <c r="A167" s="5"/>
      <c r="B167" s="5"/>
      <c r="C167" s="5"/>
      <c r="D167" s="5"/>
      <c r="E167" s="5"/>
      <c r="F167" s="5"/>
      <c r="G167" s="5"/>
      <c r="H167" s="5"/>
      <c r="I167" s="230"/>
      <c r="J167" s="230"/>
      <c r="K167" s="230"/>
      <c r="L167" s="230"/>
      <c r="M167" s="230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">
      <c r="A168" s="5"/>
      <c r="B168" s="5"/>
      <c r="C168" s="5"/>
      <c r="D168" s="5"/>
      <c r="E168" s="5"/>
      <c r="F168" s="5"/>
      <c r="G168" s="5"/>
      <c r="H168" s="5"/>
      <c r="I168" s="230"/>
      <c r="J168" s="230"/>
      <c r="K168" s="230"/>
      <c r="L168" s="230"/>
      <c r="M168" s="230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">
      <c r="A169" s="5"/>
      <c r="B169" s="5"/>
      <c r="C169" s="5"/>
      <c r="D169" s="5"/>
      <c r="E169" s="5"/>
      <c r="F169" s="5"/>
      <c r="G169" s="5"/>
      <c r="H169" s="5"/>
      <c r="I169" s="230"/>
      <c r="J169" s="230"/>
      <c r="K169" s="230"/>
      <c r="L169" s="230"/>
      <c r="M169" s="230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">
      <c r="A170" s="5"/>
      <c r="B170" s="5"/>
      <c r="C170" s="5"/>
      <c r="D170" s="5"/>
      <c r="E170" s="5"/>
      <c r="F170" s="5"/>
      <c r="G170" s="5"/>
      <c r="H170" s="5"/>
      <c r="I170" s="230"/>
      <c r="J170" s="230"/>
      <c r="K170" s="230"/>
      <c r="L170" s="230"/>
      <c r="M170" s="230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">
      <c r="A171" s="5"/>
      <c r="B171" s="5"/>
      <c r="C171" s="5"/>
      <c r="D171" s="5"/>
      <c r="E171" s="5"/>
      <c r="F171" s="5"/>
      <c r="G171" s="5"/>
      <c r="H171" s="5"/>
      <c r="I171" s="230"/>
      <c r="J171" s="230"/>
      <c r="K171" s="230"/>
      <c r="L171" s="230"/>
      <c r="M171" s="230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">
      <c r="A172" s="5"/>
      <c r="B172" s="5"/>
      <c r="C172" s="5"/>
      <c r="D172" s="5"/>
      <c r="E172" s="5"/>
      <c r="F172" s="5"/>
      <c r="G172" s="5"/>
      <c r="H172" s="5"/>
      <c r="I172" s="230"/>
      <c r="J172" s="230"/>
      <c r="K172" s="230"/>
      <c r="L172" s="230"/>
      <c r="M172" s="230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">
      <c r="A173" s="5"/>
      <c r="B173" s="5"/>
      <c r="C173" s="5"/>
      <c r="D173" s="5"/>
      <c r="E173" s="5"/>
      <c r="F173" s="5"/>
      <c r="G173" s="5"/>
      <c r="H173" s="5"/>
      <c r="I173" s="230"/>
      <c r="J173" s="230"/>
      <c r="K173" s="230"/>
      <c r="L173" s="230"/>
      <c r="M173" s="230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">
      <c r="A174" s="5"/>
      <c r="B174" s="5"/>
      <c r="C174" s="5"/>
      <c r="D174" s="5"/>
      <c r="E174" s="5"/>
      <c r="F174" s="5"/>
      <c r="G174" s="5"/>
      <c r="H174" s="5"/>
      <c r="I174" s="230"/>
      <c r="J174" s="230"/>
      <c r="K174" s="230"/>
      <c r="L174" s="230"/>
      <c r="M174" s="230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">
      <c r="A175" s="5"/>
      <c r="B175" s="5"/>
      <c r="C175" s="5"/>
      <c r="D175" s="5"/>
      <c r="E175" s="5"/>
      <c r="F175" s="5"/>
      <c r="G175" s="5"/>
      <c r="H175" s="5"/>
      <c r="I175" s="230"/>
      <c r="J175" s="230"/>
      <c r="K175" s="230"/>
      <c r="L175" s="230"/>
      <c r="M175" s="230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">
      <c r="A176" s="5"/>
      <c r="B176" s="5"/>
      <c r="C176" s="5"/>
      <c r="D176" s="5"/>
      <c r="E176" s="5"/>
      <c r="F176" s="5"/>
      <c r="G176" s="5"/>
      <c r="H176" s="5"/>
      <c r="I176" s="230"/>
      <c r="J176" s="230"/>
      <c r="K176" s="230"/>
      <c r="L176" s="230"/>
      <c r="M176" s="230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">
      <c r="A177" s="5"/>
      <c r="B177" s="5"/>
      <c r="C177" s="5"/>
      <c r="D177" s="5"/>
      <c r="E177" s="5"/>
      <c r="F177" s="5"/>
      <c r="G177" s="5"/>
      <c r="H177" s="5"/>
      <c r="I177" s="230"/>
      <c r="J177" s="230"/>
      <c r="K177" s="230"/>
      <c r="L177" s="230"/>
      <c r="M177" s="230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">
      <c r="A178" s="5"/>
      <c r="B178" s="5"/>
      <c r="C178" s="5"/>
      <c r="D178" s="5"/>
      <c r="E178" s="5"/>
      <c r="F178" s="5"/>
      <c r="G178" s="5"/>
      <c r="H178" s="5"/>
      <c r="I178" s="230"/>
      <c r="J178" s="230"/>
      <c r="K178" s="230"/>
      <c r="L178" s="230"/>
      <c r="M178" s="230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">
      <c r="A179" s="5"/>
      <c r="B179" s="5"/>
      <c r="C179" s="5"/>
      <c r="D179" s="5"/>
      <c r="E179" s="5"/>
      <c r="F179" s="5"/>
      <c r="G179" s="5"/>
      <c r="H179" s="5"/>
      <c r="I179" s="230"/>
      <c r="J179" s="230"/>
      <c r="K179" s="230"/>
      <c r="L179" s="230"/>
      <c r="M179" s="230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">
      <c r="A180" s="5"/>
      <c r="B180" s="5"/>
      <c r="C180" s="5"/>
      <c r="D180" s="5"/>
      <c r="E180" s="5"/>
      <c r="F180" s="5"/>
      <c r="G180" s="5"/>
      <c r="H180" s="5"/>
      <c r="I180" s="230"/>
      <c r="J180" s="230"/>
      <c r="K180" s="230"/>
      <c r="L180" s="230"/>
      <c r="M180" s="230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">
      <c r="A181" s="5"/>
      <c r="B181" s="5"/>
      <c r="C181" s="5"/>
      <c r="D181" s="5"/>
      <c r="E181" s="5"/>
      <c r="F181" s="5"/>
      <c r="G181" s="5"/>
      <c r="H181" s="5"/>
      <c r="I181" s="230"/>
      <c r="J181" s="230"/>
      <c r="K181" s="230"/>
      <c r="L181" s="230"/>
      <c r="M181" s="230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">
      <c r="A182" s="5"/>
      <c r="B182" s="5"/>
      <c r="C182" s="5"/>
      <c r="D182" s="5"/>
      <c r="E182" s="5"/>
      <c r="F182" s="5"/>
      <c r="G182" s="5"/>
      <c r="H182" s="5"/>
      <c r="I182" s="230"/>
      <c r="J182" s="230"/>
      <c r="K182" s="230"/>
      <c r="L182" s="230"/>
      <c r="M182" s="230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6" thickBot="1" x14ac:dyDescent="0.25">
      <c r="A183" s="5"/>
      <c r="B183" s="5"/>
      <c r="C183" s="5"/>
      <c r="D183" s="5"/>
      <c r="E183" s="5"/>
      <c r="F183" s="5"/>
      <c r="G183" s="5"/>
      <c r="H183" s="5"/>
      <c r="I183" s="230"/>
      <c r="J183" s="230"/>
      <c r="K183" s="230"/>
      <c r="L183" s="230"/>
      <c r="M183" s="230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6" thickBot="1" x14ac:dyDescent="0.2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0"/>
      <c r="J184" s="230"/>
      <c r="K184" s="230"/>
      <c r="L184" s="230"/>
      <c r="M184" s="230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">
      <c r="A185" s="5"/>
      <c r="B185" s="5"/>
      <c r="C185" s="5"/>
      <c r="D185" s="5"/>
      <c r="E185" s="5"/>
      <c r="F185" s="5"/>
      <c r="G185" s="5"/>
      <c r="H185" s="5"/>
      <c r="I185" s="230"/>
      <c r="J185" s="230"/>
      <c r="K185" s="230"/>
      <c r="L185" s="230"/>
      <c r="M185" s="230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">
      <c r="A186" s="5"/>
      <c r="B186" s="5"/>
      <c r="C186" s="5"/>
      <c r="D186" s="5"/>
      <c r="E186" s="5"/>
      <c r="F186" s="5"/>
      <c r="G186" s="5"/>
      <c r="H186" s="5"/>
      <c r="I186" s="230"/>
      <c r="J186" s="230"/>
      <c r="K186" s="230"/>
      <c r="L186" s="230"/>
      <c r="M186" s="230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">
      <c r="A187" s="5"/>
      <c r="B187" s="5"/>
      <c r="C187" s="5"/>
      <c r="D187" s="5"/>
      <c r="E187" s="5"/>
      <c r="F187" s="5"/>
      <c r="G187" s="5"/>
      <c r="H187" s="5"/>
      <c r="I187" s="230"/>
      <c r="J187" s="230"/>
      <c r="K187" s="230"/>
      <c r="L187" s="230"/>
      <c r="M187" s="230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">
      <c r="A188" s="5"/>
      <c r="B188" s="5"/>
      <c r="C188" s="5"/>
      <c r="D188" s="5"/>
      <c r="E188" s="5"/>
      <c r="F188" s="5"/>
      <c r="G188" s="5"/>
      <c r="H188" s="5"/>
      <c r="I188" s="230"/>
      <c r="J188" s="230"/>
      <c r="K188" s="230"/>
      <c r="L188" s="230"/>
      <c r="M188" s="230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">
      <c r="A189" s="5"/>
      <c r="B189" s="5"/>
      <c r="C189" s="5"/>
      <c r="D189" s="5"/>
      <c r="E189" s="5"/>
      <c r="F189" s="5"/>
      <c r="G189" s="5"/>
      <c r="H189" s="5"/>
      <c r="I189" s="230"/>
      <c r="J189" s="230"/>
      <c r="K189" s="230"/>
      <c r="L189" s="230"/>
      <c r="M189" s="230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">
      <c r="A190" s="5"/>
      <c r="B190" s="5"/>
      <c r="C190" s="5"/>
      <c r="D190" s="5"/>
      <c r="E190" s="5"/>
      <c r="F190" s="5"/>
      <c r="G190" s="5"/>
      <c r="H190" s="5"/>
      <c r="I190" s="230"/>
      <c r="J190" s="230"/>
      <c r="K190" s="230"/>
      <c r="L190" s="230"/>
      <c r="M190" s="230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">
      <c r="A191" s="5"/>
      <c r="B191" s="5"/>
      <c r="C191" s="5"/>
      <c r="D191" s="5"/>
      <c r="E191" s="5"/>
      <c r="F191" s="5"/>
      <c r="G191" s="5"/>
      <c r="H191" s="5"/>
      <c r="I191" s="230"/>
      <c r="J191" s="230"/>
      <c r="K191" s="230"/>
      <c r="L191" s="230"/>
      <c r="M191" s="230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">
      <c r="A192" s="5"/>
      <c r="B192" s="5"/>
      <c r="C192" s="5"/>
      <c r="D192" s="5"/>
      <c r="E192" s="5"/>
      <c r="F192" s="5"/>
      <c r="G192" s="5"/>
      <c r="H192" s="5"/>
      <c r="I192" s="230"/>
      <c r="J192" s="230"/>
      <c r="K192" s="230"/>
      <c r="L192" s="230"/>
      <c r="M192" s="230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">
      <c r="A193" s="5"/>
      <c r="B193" s="5"/>
      <c r="C193" s="5"/>
      <c r="D193" s="5"/>
      <c r="E193" s="5"/>
      <c r="F193" s="5"/>
      <c r="G193" s="5"/>
      <c r="H193" s="5"/>
      <c r="I193" s="230"/>
      <c r="J193" s="230"/>
      <c r="K193" s="230"/>
      <c r="L193" s="230"/>
      <c r="M193" s="230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">
      <c r="A194" s="5"/>
      <c r="B194" s="5"/>
      <c r="C194" s="5"/>
      <c r="D194" s="5"/>
      <c r="E194" s="5"/>
      <c r="F194" s="5"/>
      <c r="G194" s="5"/>
      <c r="H194" s="5"/>
      <c r="I194" s="230"/>
      <c r="J194" s="230"/>
      <c r="K194" s="230"/>
      <c r="L194" s="230"/>
      <c r="M194" s="230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">
      <c r="A195" s="5"/>
      <c r="B195" s="5"/>
      <c r="C195" s="5"/>
      <c r="D195" s="5"/>
      <c r="E195" s="5"/>
      <c r="F195" s="5"/>
      <c r="G195" s="5"/>
      <c r="H195" s="5"/>
      <c r="I195" s="230"/>
      <c r="J195" s="230"/>
      <c r="K195" s="230"/>
      <c r="L195" s="230"/>
      <c r="M195" s="230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">
      <c r="A196" s="5"/>
      <c r="B196" s="5"/>
      <c r="C196" s="5"/>
      <c r="D196" s="5"/>
      <c r="E196" s="5"/>
      <c r="F196" s="5"/>
      <c r="G196" s="5"/>
      <c r="H196" s="5"/>
      <c r="I196" s="230"/>
      <c r="J196" s="230"/>
      <c r="K196" s="230"/>
      <c r="L196" s="230"/>
      <c r="M196" s="230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">
      <c r="A197" s="5"/>
      <c r="B197" s="5"/>
      <c r="C197" s="5"/>
      <c r="D197" s="5"/>
      <c r="E197" s="5"/>
      <c r="F197" s="5"/>
      <c r="G197" s="5"/>
      <c r="H197" s="5"/>
      <c r="I197" s="230"/>
      <c r="J197" s="230"/>
      <c r="K197" s="230"/>
      <c r="L197" s="230"/>
      <c r="M197" s="230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">
      <c r="A198" s="5"/>
      <c r="B198" s="5"/>
      <c r="C198" s="5"/>
      <c r="D198" s="5"/>
      <c r="E198" s="5"/>
      <c r="F198" s="5"/>
      <c r="G198" s="5"/>
      <c r="H198" s="5"/>
      <c r="I198" s="230"/>
      <c r="J198" s="230"/>
      <c r="K198" s="230"/>
      <c r="L198" s="230"/>
      <c r="M198" s="230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">
      <c r="A199" s="5"/>
      <c r="B199" s="5"/>
      <c r="C199" s="5"/>
      <c r="D199" s="5"/>
      <c r="E199" s="5"/>
      <c r="F199" s="5"/>
      <c r="G199" s="5"/>
      <c r="H199" s="5"/>
      <c r="I199" s="230"/>
      <c r="J199" s="230"/>
      <c r="K199" s="230"/>
      <c r="L199" s="230"/>
      <c r="M199" s="230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">
      <c r="A200" s="5"/>
      <c r="B200" s="5"/>
      <c r="C200" s="5"/>
      <c r="D200" s="5"/>
      <c r="E200" s="5"/>
      <c r="F200" s="5"/>
      <c r="G200" s="5"/>
      <c r="H200" s="5"/>
      <c r="I200" s="230"/>
      <c r="J200" s="230"/>
      <c r="K200" s="230"/>
      <c r="L200" s="230"/>
      <c r="M200" s="230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">
      <c r="A201" s="5"/>
      <c r="B201" s="5"/>
      <c r="C201" s="5"/>
      <c r="D201" s="5"/>
      <c r="E201" s="5"/>
      <c r="F201" s="5"/>
      <c r="G201" s="5"/>
      <c r="H201" s="5"/>
      <c r="I201" s="230"/>
      <c r="J201" s="230"/>
      <c r="K201" s="230"/>
      <c r="L201" s="230"/>
      <c r="M201" s="230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">
      <c r="A202" s="5"/>
      <c r="B202" s="5"/>
      <c r="C202" s="5"/>
      <c r="D202" s="5"/>
      <c r="E202" s="5"/>
      <c r="F202" s="5"/>
      <c r="G202" s="5"/>
      <c r="H202" s="5"/>
      <c r="I202" s="230"/>
      <c r="J202" s="230"/>
      <c r="K202" s="230"/>
      <c r="L202" s="230"/>
      <c r="M202" s="230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0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80" zoomScaleNormal="80" workbookViewId="0">
      <selection activeCell="C54" sqref="C54:C73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3" customWidth="1"/>
    <col min="7" max="7" width="17.5" style="3" customWidth="1"/>
    <col min="8" max="8" width="21.664062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 x14ac:dyDescent="0.2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35">
      <c r="A2" s="5"/>
      <c r="B2" s="307" t="s">
        <v>272</v>
      </c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8"/>
      <c r="P2" s="309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">
      <c r="A4" s="99"/>
      <c r="B4" s="99"/>
      <c r="C4" s="99"/>
      <c r="D4" s="99"/>
      <c r="E4" s="99"/>
      <c r="G4" s="180"/>
      <c r="H4" s="339" t="s">
        <v>315</v>
      </c>
      <c r="I4" s="339"/>
      <c r="K4" s="336" t="s">
        <v>253</v>
      </c>
      <c r="L4" s="337"/>
      <c r="M4" s="267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6" thickBot="1" x14ac:dyDescent="0.25">
      <c r="A6" s="99"/>
      <c r="B6" s="99"/>
      <c r="C6" s="99"/>
      <c r="D6" s="99"/>
      <c r="E6" s="99"/>
      <c r="F6" s="228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35">
      <c r="A7" s="274"/>
      <c r="B7" s="275"/>
      <c r="C7" s="275"/>
      <c r="D7" s="275"/>
      <c r="E7" s="276"/>
      <c r="F7" s="276" t="s">
        <v>192</v>
      </c>
      <c r="G7" s="277"/>
      <c r="H7" s="275"/>
      <c r="I7" s="275"/>
      <c r="J7" s="278"/>
      <c r="K7" s="272"/>
      <c r="L7" s="273"/>
      <c r="M7" s="273"/>
      <c r="N7" s="279" t="s">
        <v>191</v>
      </c>
      <c r="O7" s="279"/>
      <c r="P7" s="280"/>
      <c r="Q7" s="281"/>
      <c r="R7" s="328" t="s">
        <v>310</v>
      </c>
      <c r="S7" s="329"/>
      <c r="T7" s="329"/>
      <c r="U7" s="329"/>
      <c r="V7" s="330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">
      <c r="A8" s="25"/>
      <c r="C8" s="25"/>
      <c r="D8" s="25"/>
      <c r="E8" s="25"/>
      <c r="F8" s="220"/>
      <c r="G8" s="220"/>
      <c r="H8" s="5"/>
      <c r="I8" s="5"/>
      <c r="J8" s="213"/>
      <c r="K8" s="224"/>
      <c r="L8" s="25"/>
      <c r="M8" s="25"/>
      <c r="N8" s="25"/>
      <c r="O8" s="25"/>
      <c r="P8" s="25"/>
      <c r="Q8" s="264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">
      <c r="A9" s="259" t="s">
        <v>311</v>
      </c>
      <c r="C9" s="25"/>
      <c r="D9" s="25"/>
      <c r="E9" s="25"/>
      <c r="F9" s="260"/>
      <c r="G9" s="259" t="s">
        <v>314</v>
      </c>
      <c r="J9" s="213"/>
      <c r="K9" s="224"/>
      <c r="O9" s="25"/>
      <c r="P9" s="25"/>
      <c r="Q9" s="264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">
      <c r="A10" s="259" t="s">
        <v>317</v>
      </c>
      <c r="C10" s="25"/>
      <c r="D10" s="25"/>
      <c r="E10" s="25"/>
      <c r="F10" s="260"/>
      <c r="G10" s="259" t="s">
        <v>316</v>
      </c>
      <c r="J10" s="213"/>
      <c r="K10" s="224"/>
      <c r="O10" s="25"/>
      <c r="P10" s="25"/>
      <c r="Q10" s="264"/>
      <c r="R10" s="25"/>
      <c r="S10" s="185" t="str">
        <f>B14</f>
        <v>Pin taeda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3.115001495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">
      <c r="A11" s="259" t="s">
        <v>312</v>
      </c>
      <c r="B11" s="25"/>
      <c r="C11" s="25"/>
      <c r="D11" s="25"/>
      <c r="E11" s="25"/>
      <c r="F11" s="260"/>
      <c r="G11" s="259" t="s">
        <v>313</v>
      </c>
      <c r="J11" s="213"/>
      <c r="K11" s="224"/>
      <c r="M11" s="5"/>
      <c r="N11" s="5"/>
      <c r="O11" s="25"/>
      <c r="P11" s="25"/>
      <c r="Q11" s="264"/>
      <c r="R11" s="25"/>
      <c r="S11" s="185" t="str">
        <f>B45</f>
        <v>Peuplier Koster</v>
      </c>
      <c r="T11" s="271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0.59999850500000007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">
      <c r="B12" s="25"/>
      <c r="C12" s="25"/>
      <c r="D12" s="25"/>
      <c r="E12" s="25"/>
      <c r="F12" s="260"/>
      <c r="G12" s="1"/>
      <c r="J12" s="213"/>
      <c r="K12" s="224"/>
      <c r="L12" s="216"/>
      <c r="M12" s="25"/>
      <c r="N12" s="25"/>
      <c r="O12" s="25"/>
      <c r="P12" s="25"/>
      <c r="Q12" s="264"/>
      <c r="R12" s="25"/>
      <c r="S12" s="185" t="str">
        <f>B76</f>
        <v/>
      </c>
      <c r="T12" s="271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">
      <c r="B13" s="25"/>
      <c r="C13" s="25"/>
      <c r="D13" s="25"/>
      <c r="E13" s="25"/>
      <c r="F13" s="260"/>
      <c r="J13" s="25"/>
      <c r="K13" s="224"/>
      <c r="L13" s="184" t="s">
        <v>257</v>
      </c>
      <c r="M13" s="25"/>
      <c r="N13" s="25"/>
      <c r="O13" s="25"/>
      <c r="P13" s="25"/>
      <c r="Q13" s="264"/>
      <c r="R13" s="25"/>
      <c r="S13" s="185" t="str">
        <f>B107</f>
        <v/>
      </c>
      <c r="T13" s="271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">
      <c r="A14" s="49" t="s">
        <v>165</v>
      </c>
      <c r="B14" s="186" t="str">
        <f>IF('Données projet'!$B$9="","",'Données projet'!$B$9)</f>
        <v>Pin taeda</v>
      </c>
      <c r="C14" s="5"/>
      <c r="D14" s="5"/>
      <c r="E14" s="5"/>
      <c r="F14" s="260"/>
      <c r="G14" s="220"/>
      <c r="H14" s="185" t="s">
        <v>178</v>
      </c>
      <c r="I14" s="185" t="s">
        <v>290</v>
      </c>
      <c r="J14" s="214"/>
      <c r="K14" s="183"/>
      <c r="L14" s="216"/>
      <c r="M14" s="25"/>
      <c r="N14" s="25"/>
      <c r="O14" s="5"/>
      <c r="P14" s="5"/>
      <c r="Q14" s="265"/>
      <c r="R14" s="5"/>
      <c r="S14" s="185" t="str">
        <f>B138</f>
        <v/>
      </c>
      <c r="T14" s="271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">
      <c r="A15" s="5"/>
      <c r="B15" s="5"/>
      <c r="C15" s="5"/>
      <c r="D15" s="5"/>
      <c r="E15" s="5"/>
      <c r="F15" s="260"/>
      <c r="G15" s="340" t="s">
        <v>318</v>
      </c>
      <c r="H15" s="203"/>
      <c r="I15" s="204"/>
      <c r="J15" s="215"/>
      <c r="K15" s="224"/>
      <c r="L15" s="216"/>
      <c r="M15" s="25"/>
      <c r="N15" s="25"/>
      <c r="O15" s="25"/>
      <c r="P15" s="25"/>
      <c r="Q15" s="264"/>
      <c r="R15" s="25"/>
      <c r="S15" s="185" t="str">
        <f>B169</f>
        <v/>
      </c>
      <c r="T15" s="271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">
      <c r="A16" s="256" t="s">
        <v>180</v>
      </c>
      <c r="B16" s="51" t="s">
        <v>256</v>
      </c>
      <c r="C16" s="51" t="s">
        <v>255</v>
      </c>
      <c r="D16" s="256" t="s">
        <v>252</v>
      </c>
      <c r="E16" s="256" t="s">
        <v>320</v>
      </c>
      <c r="F16" s="260"/>
      <c r="G16" s="340"/>
      <c r="H16" s="203"/>
      <c r="I16" s="204"/>
      <c r="J16" s="215"/>
      <c r="K16" s="224"/>
      <c r="L16" s="336" t="s">
        <v>254</v>
      </c>
      <c r="M16" s="337"/>
      <c r="N16" s="2"/>
      <c r="O16" s="25"/>
      <c r="P16" s="25"/>
      <c r="Q16" s="264"/>
      <c r="R16" s="25"/>
      <c r="S16" s="185" t="str">
        <f>B200</f>
        <v/>
      </c>
      <c r="T16" s="271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ht="16" x14ac:dyDescent="0.2">
      <c r="A17" s="209">
        <v>0</v>
      </c>
      <c r="B17" s="212" t="s">
        <v>132</v>
      </c>
      <c r="C17" s="211" t="s">
        <v>132</v>
      </c>
      <c r="D17" s="210" t="s">
        <v>132</v>
      </c>
      <c r="E17" s="206"/>
      <c r="F17" s="260"/>
      <c r="G17" s="340"/>
      <c r="J17" s="215"/>
      <c r="K17" s="224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4"/>
      <c r="R17" s="25"/>
      <c r="S17" s="185" t="str">
        <f>B231</f>
        <v/>
      </c>
      <c r="T17" s="271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ht="16" x14ac:dyDescent="0.2">
      <c r="A18" s="209">
        <v>1</v>
      </c>
      <c r="B18" s="212" t="s">
        <v>132</v>
      </c>
      <c r="C18" s="211" t="s">
        <v>132</v>
      </c>
      <c r="D18" s="210" t="s">
        <v>132</v>
      </c>
      <c r="E18" s="206"/>
      <c r="F18" s="260"/>
      <c r="G18" s="340"/>
      <c r="J18" s="215"/>
      <c r="K18" s="224"/>
      <c r="L18" s="294" t="s">
        <v>255</v>
      </c>
      <c r="M18" s="296"/>
      <c r="N18" s="205"/>
      <c r="O18" s="25"/>
      <c r="P18" s="25"/>
      <c r="Q18" s="264"/>
      <c r="R18" s="25"/>
      <c r="S18" s="185" t="str">
        <f>B262</f>
        <v/>
      </c>
      <c r="T18" s="271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">
      <c r="A19" s="209">
        <v>2</v>
      </c>
      <c r="B19" s="212" t="s">
        <v>132</v>
      </c>
      <c r="C19" s="211" t="s">
        <v>132</v>
      </c>
      <c r="D19" s="210" t="s">
        <v>132</v>
      </c>
      <c r="E19" s="206"/>
      <c r="F19" s="260"/>
      <c r="G19" s="340"/>
      <c r="H19" s="231" t="s">
        <v>178</v>
      </c>
      <c r="I19" s="231" t="s">
        <v>287</v>
      </c>
      <c r="J19" s="259"/>
      <c r="K19" s="183"/>
      <c r="L19" s="336" t="s">
        <v>288</v>
      </c>
      <c r="M19" s="337"/>
      <c r="N19" s="191">
        <f>N17*N18</f>
        <v>0</v>
      </c>
      <c r="O19" s="25"/>
      <c r="P19" s="5"/>
      <c r="Q19" s="265"/>
      <c r="R19" s="5"/>
      <c r="S19" s="185" t="str">
        <f>B293</f>
        <v/>
      </c>
      <c r="T19" s="271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ht="16" x14ac:dyDescent="0.2">
      <c r="A20" s="209">
        <v>3</v>
      </c>
      <c r="B20" s="212" t="s">
        <v>132</v>
      </c>
      <c r="C20" s="211" t="s">
        <v>132</v>
      </c>
      <c r="D20" s="210" t="s">
        <v>132</v>
      </c>
      <c r="E20" s="206"/>
      <c r="F20" s="260"/>
      <c r="G20" s="340"/>
      <c r="H20" s="203">
        <v>0</v>
      </c>
      <c r="I20" s="204"/>
      <c r="J20" s="5"/>
      <c r="K20" s="183"/>
      <c r="O20" s="25"/>
      <c r="P20" s="5"/>
      <c r="Q20" s="265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ht="16" x14ac:dyDescent="0.2">
      <c r="A21" s="209">
        <v>4</v>
      </c>
      <c r="B21" s="212" t="s">
        <v>132</v>
      </c>
      <c r="C21" s="211" t="s">
        <v>132</v>
      </c>
      <c r="D21" s="210" t="s">
        <v>132</v>
      </c>
      <c r="E21" s="206"/>
      <c r="F21" s="260"/>
      <c r="H21" s="203">
        <v>1</v>
      </c>
      <c r="I21" s="204"/>
      <c r="K21" s="183"/>
      <c r="O21" s="25"/>
      <c r="P21" s="5"/>
      <c r="Q21" s="265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">
      <c r="A22" s="209">
        <v>5</v>
      </c>
      <c r="B22" s="212" t="s">
        <v>132</v>
      </c>
      <c r="C22" s="211" t="s">
        <v>132</v>
      </c>
      <c r="D22" s="210" t="s">
        <v>132</v>
      </c>
      <c r="E22" s="206"/>
      <c r="F22" s="260"/>
      <c r="H22" s="203">
        <v>2</v>
      </c>
      <c r="I22" s="204"/>
      <c r="K22" s="183"/>
      <c r="O22" s="25"/>
      <c r="P22" s="5"/>
      <c r="Q22" s="265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">
      <c r="A23" s="192">
        <f>'Données projet'!A36</f>
        <v>14</v>
      </c>
      <c r="B23" s="193">
        <f>'Données projet'!D36</f>
        <v>34.25</v>
      </c>
      <c r="C23" s="206"/>
      <c r="D23" s="194">
        <f>B23*C23</f>
        <v>0</v>
      </c>
      <c r="E23" s="206"/>
      <c r="F23" s="260"/>
      <c r="H23" s="203">
        <v>3</v>
      </c>
      <c r="I23" s="204"/>
      <c r="K23" s="224"/>
      <c r="L23" s="338" t="s">
        <v>260</v>
      </c>
      <c r="M23" s="338"/>
      <c r="N23" s="338"/>
      <c r="O23" s="25"/>
      <c r="P23" s="25"/>
      <c r="Q23" s="264"/>
      <c r="R23" s="25"/>
      <c r="S23" s="185" t="s">
        <v>264</v>
      </c>
      <c r="T23" s="333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3"/>
      <c r="V23" s="333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">
      <c r="A24" s="192">
        <f>'Données projet'!A37</f>
        <v>19</v>
      </c>
      <c r="B24" s="193">
        <f>'Données projet'!D37</f>
        <v>59.5</v>
      </c>
      <c r="C24" s="206"/>
      <c r="D24" s="194">
        <f t="shared" ref="D24:D42" si="2">B24*C24</f>
        <v>0</v>
      </c>
      <c r="E24" s="206"/>
      <c r="F24" s="263"/>
      <c r="H24" s="203">
        <v>4</v>
      </c>
      <c r="I24" s="204"/>
      <c r="K24" s="224"/>
      <c r="O24" s="25"/>
      <c r="P24" s="25"/>
      <c r="Q24" s="264"/>
      <c r="R24" s="25"/>
      <c r="S24" s="185" t="s">
        <v>261</v>
      </c>
      <c r="T24" s="334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4"/>
      <c r="V24" s="334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">
      <c r="A25" s="192">
        <f>'Données projet'!A38</f>
        <v>25</v>
      </c>
      <c r="B25" s="193">
        <f>'Données projet'!D38</f>
        <v>60.96</v>
      </c>
      <c r="C25" s="206"/>
      <c r="D25" s="194">
        <f t="shared" si="2"/>
        <v>0</v>
      </c>
      <c r="E25" s="206"/>
      <c r="F25" s="263"/>
      <c r="G25" s="1"/>
      <c r="H25" s="203">
        <v>5</v>
      </c>
      <c r="I25" s="204"/>
      <c r="K25" s="224"/>
      <c r="L25" s="270" t="s">
        <v>285</v>
      </c>
      <c r="M25" s="270"/>
      <c r="N25" s="270"/>
      <c r="O25" s="270"/>
      <c r="P25" s="205"/>
      <c r="Q25" s="264"/>
      <c r="R25" s="25"/>
      <c r="S25" s="198" t="s">
        <v>266</v>
      </c>
      <c r="T25" s="335">
        <f ca="1">T23-T24</f>
        <v>0</v>
      </c>
      <c r="U25" s="335"/>
      <c r="V25" s="33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">
      <c r="A26" s="192">
        <f>'Données projet'!A39</f>
        <v>32</v>
      </c>
      <c r="B26" s="193">
        <f>'Données projet'!D39</f>
        <v>76.42</v>
      </c>
      <c r="C26" s="206"/>
      <c r="D26" s="194">
        <f t="shared" si="2"/>
        <v>0</v>
      </c>
      <c r="E26" s="206"/>
      <c r="F26" s="263"/>
      <c r="G26" s="258"/>
      <c r="H26" s="203"/>
      <c r="I26" s="204"/>
      <c r="K26" s="224"/>
      <c r="L26" s="322" t="s">
        <v>258</v>
      </c>
      <c r="M26" s="323"/>
      <c r="N26" s="323"/>
      <c r="O26" s="323"/>
      <c r="P26" s="324"/>
      <c r="Q26" s="264"/>
      <c r="R26" s="25"/>
      <c r="S26" s="198" t="s">
        <v>265</v>
      </c>
      <c r="T26" s="332" t="str">
        <f ca="1">IF(T25&lt;0,"Votre projet est additionnel","Votre projet n'est pas additionnel")</f>
        <v>Votre projet n'est pas additionnel</v>
      </c>
      <c r="U26" s="332"/>
      <c r="V26" s="332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">
      <c r="A27" s="192">
        <f>'Données projet'!A40</f>
        <v>45</v>
      </c>
      <c r="B27" s="193">
        <f>'Données projet'!D40</f>
        <v>503.89</v>
      </c>
      <c r="C27" s="206"/>
      <c r="D27" s="194">
        <f t="shared" si="2"/>
        <v>0</v>
      </c>
      <c r="E27" s="206"/>
      <c r="F27" s="263"/>
      <c r="G27" s="258"/>
      <c r="H27" s="203"/>
      <c r="I27" s="204"/>
      <c r="K27" s="224"/>
      <c r="L27" s="325"/>
      <c r="M27" s="326"/>
      <c r="N27" s="326"/>
      <c r="O27" s="326"/>
      <c r="P27" s="327"/>
      <c r="Q27" s="264"/>
      <c r="R27" s="25"/>
      <c r="S27" s="331" t="s">
        <v>267</v>
      </c>
      <c r="T27" s="331"/>
      <c r="U27" s="331"/>
      <c r="V27" s="331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3"/>
      <c r="G28" s="221"/>
      <c r="H28" s="203"/>
      <c r="I28" s="204"/>
      <c r="K28" s="224"/>
      <c r="Q28" s="264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3"/>
      <c r="G29" s="217"/>
      <c r="H29" s="203"/>
      <c r="I29" s="204"/>
      <c r="K29" s="224"/>
      <c r="O29" s="25"/>
      <c r="P29" s="25"/>
      <c r="Q29" s="264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3"/>
      <c r="G30" s="217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5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3"/>
      <c r="G31" s="217"/>
      <c r="H31" s="203"/>
      <c r="I31" s="204"/>
      <c r="K31" s="183"/>
      <c r="Q31" s="264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3"/>
      <c r="G32" s="217"/>
      <c r="H32" s="203"/>
      <c r="I32" s="204"/>
      <c r="K32" s="183"/>
      <c r="N32" s="5"/>
      <c r="O32" s="269" t="s">
        <v>178</v>
      </c>
      <c r="P32" s="269" t="s">
        <v>252</v>
      </c>
      <c r="Q32" s="264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3"/>
      <c r="G33" s="217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4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3"/>
      <c r="G34" s="217"/>
      <c r="H34" s="203"/>
      <c r="I34" s="204"/>
      <c r="K34" s="183"/>
      <c r="L34" s="283"/>
      <c r="M34" s="283"/>
      <c r="N34" s="284"/>
      <c r="O34" s="207">
        <f>IF(O33+1&lt;=MIN('Données projet'!$E$9:$E$18),O33+1,"STOP")</f>
        <v>1</v>
      </c>
      <c r="P34" s="197">
        <f t="shared" si="3"/>
        <v>0</v>
      </c>
      <c r="Q34" s="264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3"/>
      <c r="G35" s="217"/>
      <c r="H35" s="203"/>
      <c r="I35" s="204"/>
      <c r="K35" s="183"/>
      <c r="L35" s="283"/>
      <c r="M35" s="283"/>
      <c r="N35" s="284"/>
      <c r="O35" s="207">
        <f>IF(O34+1&lt;=MIN('Données projet'!$E$9:$E$18),O34+1,"STOP")</f>
        <v>2</v>
      </c>
      <c r="P35" s="197">
        <f t="shared" si="3"/>
        <v>0</v>
      </c>
      <c r="Q35" s="264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3"/>
      <c r="G36" s="217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4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3"/>
      <c r="G37" s="217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4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3"/>
      <c r="G38" s="217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4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3"/>
      <c r="G39" s="217"/>
      <c r="H39" s="203"/>
      <c r="I39" s="204"/>
      <c r="K39" s="224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4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3"/>
      <c r="G40" s="217"/>
      <c r="H40" s="203"/>
      <c r="I40" s="204"/>
      <c r="K40" s="224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4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3"/>
      <c r="G41" s="217"/>
      <c r="H41" s="203"/>
      <c r="I41" s="204"/>
      <c r="K41" s="224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4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3"/>
      <c r="G42" s="217"/>
      <c r="H42" s="203"/>
      <c r="I42" s="204"/>
      <c r="K42" s="224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4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">
      <c r="A43" s="199"/>
      <c r="B43" s="199"/>
      <c r="C43" s="199"/>
      <c r="D43" s="255"/>
      <c r="E43" s="255"/>
      <c r="F43" s="268"/>
      <c r="G43" s="217"/>
      <c r="H43" s="203"/>
      <c r="I43" s="204"/>
      <c r="K43" s="224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">
      <c r="A44" s="5"/>
      <c r="B44" s="5"/>
      <c r="C44" s="5"/>
      <c r="D44" s="5"/>
      <c r="E44" s="5"/>
      <c r="F44" s="260"/>
      <c r="G44" s="217"/>
      <c r="H44" s="203"/>
      <c r="I44" s="204"/>
      <c r="K44" s="224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">
      <c r="A45" s="49" t="s">
        <v>166</v>
      </c>
      <c r="B45" s="186" t="str">
        <f>IF('Données projet'!$B$10="","",'Données projet'!$B$10)</f>
        <v>Peuplier Koster</v>
      </c>
      <c r="C45" s="5"/>
      <c r="D45" s="5"/>
      <c r="E45" s="5"/>
      <c r="F45" s="260"/>
      <c r="G45" s="217"/>
      <c r="H45" s="203"/>
      <c r="I45" s="204"/>
      <c r="J45" s="25"/>
      <c r="K45" s="224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">
      <c r="A46" s="5"/>
      <c r="B46" s="5"/>
      <c r="C46" s="5"/>
      <c r="D46" s="5"/>
      <c r="E46" s="5"/>
      <c r="F46" s="260"/>
      <c r="G46" s="217"/>
      <c r="H46" s="203"/>
      <c r="I46" s="204"/>
      <c r="J46" s="25"/>
      <c r="K46" s="224"/>
      <c r="L46" s="219"/>
      <c r="M46" s="219"/>
      <c r="N46" s="219"/>
      <c r="O46" s="207">
        <f>IF(O45+1&lt;=MIN('Données projet'!$E$9:$E$18),O45+1,"STOP")</f>
        <v>13</v>
      </c>
      <c r="P46" s="200">
        <f t="shared" si="3"/>
        <v>0</v>
      </c>
      <c r="Q46" s="26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">
      <c r="A47" s="256" t="s">
        <v>180</v>
      </c>
      <c r="B47" s="51" t="s">
        <v>256</v>
      </c>
      <c r="C47" s="51" t="s">
        <v>255</v>
      </c>
      <c r="D47" s="256" t="s">
        <v>252</v>
      </c>
      <c r="E47" s="256" t="s">
        <v>320</v>
      </c>
      <c r="F47" s="261"/>
      <c r="G47" s="217"/>
      <c r="H47" s="203"/>
      <c r="I47" s="204"/>
      <c r="J47" s="25"/>
      <c r="K47" s="224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ht="16" x14ac:dyDescent="0.2">
      <c r="A48" s="209">
        <v>0</v>
      </c>
      <c r="B48" s="212" t="s">
        <v>132</v>
      </c>
      <c r="C48" s="211" t="s">
        <v>132</v>
      </c>
      <c r="D48" s="210" t="s">
        <v>132</v>
      </c>
      <c r="E48" s="206"/>
      <c r="F48" s="261"/>
      <c r="G48" s="217"/>
      <c r="H48" s="203"/>
      <c r="I48" s="204"/>
      <c r="J48" s="25"/>
      <c r="K48" s="224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">
      <c r="A49" s="209">
        <v>1</v>
      </c>
      <c r="B49" s="212" t="s">
        <v>132</v>
      </c>
      <c r="C49" s="211" t="s">
        <v>132</v>
      </c>
      <c r="D49" s="210" t="s">
        <v>132</v>
      </c>
      <c r="E49" s="206"/>
      <c r="F49" s="261"/>
      <c r="G49" s="218"/>
      <c r="H49" s="203"/>
      <c r="I49" s="204"/>
      <c r="J49" s="219"/>
      <c r="K49" s="226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6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ht="16" x14ac:dyDescent="0.2">
      <c r="A50" s="209">
        <v>2</v>
      </c>
      <c r="B50" s="212" t="s">
        <v>132</v>
      </c>
      <c r="C50" s="211" t="s">
        <v>132</v>
      </c>
      <c r="D50" s="210" t="s">
        <v>132</v>
      </c>
      <c r="E50" s="206"/>
      <c r="F50" s="261"/>
      <c r="G50" s="220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ht="16" x14ac:dyDescent="0.2">
      <c r="A51" s="209">
        <v>3</v>
      </c>
      <c r="B51" s="212" t="s">
        <v>132</v>
      </c>
      <c r="C51" s="211" t="s">
        <v>132</v>
      </c>
      <c r="D51" s="210" t="s">
        <v>132</v>
      </c>
      <c r="E51" s="206"/>
      <c r="F51" s="261"/>
      <c r="G51" s="220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ht="16" x14ac:dyDescent="0.2">
      <c r="A52" s="209">
        <v>4</v>
      </c>
      <c r="B52" s="212" t="s">
        <v>132</v>
      </c>
      <c r="C52" s="211" t="s">
        <v>132</v>
      </c>
      <c r="D52" s="210" t="s">
        <v>132</v>
      </c>
      <c r="E52" s="206"/>
      <c r="F52" s="261"/>
      <c r="G52" s="220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">
      <c r="A53" s="209">
        <v>5</v>
      </c>
      <c r="B53" s="212" t="s">
        <v>132</v>
      </c>
      <c r="C53" s="211" t="s">
        <v>132</v>
      </c>
      <c r="D53" s="210" t="s">
        <v>132</v>
      </c>
      <c r="E53" s="206"/>
      <c r="F53" s="261"/>
      <c r="G53" s="221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">
      <c r="A54" s="192">
        <f>'Données projet'!A62</f>
        <v>6</v>
      </c>
      <c r="B54" s="193">
        <f>'Données projet'!D62</f>
        <v>0</v>
      </c>
      <c r="C54" s="204"/>
      <c r="D54" s="191">
        <f>B54*C54</f>
        <v>0</v>
      </c>
      <c r="E54" s="206"/>
      <c r="F54" s="262"/>
      <c r="G54" s="221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">
      <c r="A55" s="192">
        <f>'Données projet'!A63</f>
        <v>7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2"/>
      <c r="G55" s="221"/>
      <c r="H55" s="203"/>
      <c r="I55" s="204"/>
      <c r="J55" s="25"/>
      <c r="K55" s="183"/>
      <c r="L55" s="5"/>
      <c r="M55" s="5"/>
      <c r="N55" s="5"/>
      <c r="O55" s="207" t="str">
        <f>IF(O54+1&lt;=MIN('Données projet'!$E$9:$E$18),O54+1,"STOP")</f>
        <v>STOP</v>
      </c>
      <c r="P55" s="197" t="e">
        <f t="shared" si="3"/>
        <v>#VALUE!</v>
      </c>
      <c r="Q55" s="26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">
      <c r="A56" s="192">
        <f>'Données projet'!A64</f>
        <v>8</v>
      </c>
      <c r="B56" s="193">
        <f>'Données projet'!D64</f>
        <v>0</v>
      </c>
      <c r="C56" s="204"/>
      <c r="D56" s="191">
        <f t="shared" si="4"/>
        <v>0</v>
      </c>
      <c r="E56" s="206"/>
      <c r="F56" s="262"/>
      <c r="G56" s="221"/>
      <c r="H56" s="203"/>
      <c r="I56" s="204"/>
      <c r="J56" s="25"/>
      <c r="K56" s="183"/>
      <c r="L56" s="5"/>
      <c r="M56" s="5"/>
      <c r="N56" s="5"/>
      <c r="O56" s="207" t="e">
        <f>IF(O55+1&lt;=MIN('Données projet'!$E$9:$E$18),O55+1,"STOP")</f>
        <v>#VALUE!</v>
      </c>
      <c r="P56" s="197" t="e">
        <f t="shared" si="3"/>
        <v>#VALUE!</v>
      </c>
      <c r="Q56" s="26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">
      <c r="A57" s="192">
        <f>'Données projet'!A65</f>
        <v>9</v>
      </c>
      <c r="B57" s="193">
        <f>'Données projet'!D65</f>
        <v>0</v>
      </c>
      <c r="C57" s="204"/>
      <c r="D57" s="191">
        <f t="shared" si="4"/>
        <v>0</v>
      </c>
      <c r="E57" s="206"/>
      <c r="F57" s="262"/>
      <c r="G57" s="221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3"/>
        <v>#VALUE!</v>
      </c>
      <c r="Q57" s="26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">
      <c r="A58" s="192">
        <f>'Données projet'!A66</f>
        <v>10</v>
      </c>
      <c r="B58" s="193">
        <f>'Données projet'!D66</f>
        <v>0</v>
      </c>
      <c r="C58" s="204"/>
      <c r="D58" s="191">
        <f t="shared" si="4"/>
        <v>0</v>
      </c>
      <c r="E58" s="206"/>
      <c r="F58" s="262"/>
      <c r="G58" s="221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3"/>
        <v>#VALUE!</v>
      </c>
      <c r="Q58" s="26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">
      <c r="A59" s="192">
        <f>'Données projet'!A67</f>
        <v>11</v>
      </c>
      <c r="B59" s="193">
        <f>'Données projet'!D67</f>
        <v>0</v>
      </c>
      <c r="C59" s="204"/>
      <c r="D59" s="191">
        <f t="shared" si="4"/>
        <v>0</v>
      </c>
      <c r="E59" s="206"/>
      <c r="F59" s="262"/>
      <c r="G59" s="221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3"/>
        <v>#VALUE!</v>
      </c>
      <c r="Q59" s="26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">
      <c r="A60" s="192">
        <f>'Données projet'!A68</f>
        <v>12</v>
      </c>
      <c r="B60" s="193">
        <f>'Données projet'!D68</f>
        <v>0</v>
      </c>
      <c r="C60" s="204"/>
      <c r="D60" s="191">
        <f t="shared" si="4"/>
        <v>0</v>
      </c>
      <c r="E60" s="206"/>
      <c r="F60" s="262"/>
      <c r="G60" s="222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3"/>
        <v>#VALUE!</v>
      </c>
      <c r="Q60" s="26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">
      <c r="A61" s="192">
        <f>'Données projet'!A69</f>
        <v>13</v>
      </c>
      <c r="B61" s="193">
        <f>'Données projet'!D69</f>
        <v>0</v>
      </c>
      <c r="C61" s="204"/>
      <c r="D61" s="191">
        <f t="shared" si="4"/>
        <v>0</v>
      </c>
      <c r="E61" s="206"/>
      <c r="F61" s="262"/>
      <c r="G61" s="222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">
      <c r="A62" s="192">
        <f>'Données projet'!A70</f>
        <v>14</v>
      </c>
      <c r="B62" s="193">
        <f>'Données projet'!D70</f>
        <v>0</v>
      </c>
      <c r="C62" s="204"/>
      <c r="D62" s="191">
        <f t="shared" si="4"/>
        <v>0</v>
      </c>
      <c r="E62" s="206"/>
      <c r="F62" s="262"/>
      <c r="G62" s="222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">
      <c r="A63" s="192">
        <f>'Données projet'!A71</f>
        <v>15</v>
      </c>
      <c r="B63" s="193">
        <f>'Données projet'!D71</f>
        <v>0</v>
      </c>
      <c r="C63" s="204"/>
      <c r="D63" s="191">
        <f t="shared" si="4"/>
        <v>0</v>
      </c>
      <c r="E63" s="206"/>
      <c r="F63" s="262"/>
      <c r="G63" s="222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">
      <c r="A64" s="192">
        <f>'Données projet'!A72</f>
        <v>16</v>
      </c>
      <c r="B64" s="193">
        <f>'Données projet'!D72</f>
        <v>0</v>
      </c>
      <c r="C64" s="204"/>
      <c r="D64" s="191">
        <f t="shared" si="4"/>
        <v>0</v>
      </c>
      <c r="E64" s="206"/>
      <c r="F64" s="262"/>
      <c r="G64" s="222"/>
      <c r="H64" s="203"/>
      <c r="I64" s="204"/>
      <c r="J64" s="223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">
      <c r="A65" s="192">
        <f>'Données projet'!A73</f>
        <v>17</v>
      </c>
      <c r="B65" s="193">
        <f>'Données projet'!D73</f>
        <v>0</v>
      </c>
      <c r="C65" s="204"/>
      <c r="D65" s="191">
        <f t="shared" si="4"/>
        <v>0</v>
      </c>
      <c r="E65" s="206"/>
      <c r="F65" s="262"/>
      <c r="G65" s="222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">
      <c r="A66" s="192">
        <f>'Données projet'!A74</f>
        <v>18</v>
      </c>
      <c r="B66" s="193">
        <f>'Données projet'!D74</f>
        <v>0</v>
      </c>
      <c r="C66" s="204"/>
      <c r="D66" s="191">
        <f t="shared" si="4"/>
        <v>0</v>
      </c>
      <c r="E66" s="206"/>
      <c r="F66" s="262"/>
      <c r="G66" s="222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">
      <c r="A67" s="192">
        <f>'Données projet'!A75</f>
        <v>19</v>
      </c>
      <c r="B67" s="193">
        <f>'Données projet'!D75</f>
        <v>0</v>
      </c>
      <c r="C67" s="204"/>
      <c r="D67" s="191">
        <f t="shared" si="4"/>
        <v>0</v>
      </c>
      <c r="E67" s="206"/>
      <c r="F67" s="262"/>
      <c r="G67" s="222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">
      <c r="A68" s="192">
        <f>'Données projet'!A76</f>
        <v>20</v>
      </c>
      <c r="B68" s="193">
        <f>'Données projet'!D76</f>
        <v>0</v>
      </c>
      <c r="C68" s="204"/>
      <c r="D68" s="191">
        <f t="shared" si="4"/>
        <v>0</v>
      </c>
      <c r="E68" s="206"/>
      <c r="F68" s="262"/>
      <c r="G68" s="222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">
      <c r="A69" s="192">
        <f>'Données projet'!A77</f>
        <v>21</v>
      </c>
      <c r="B69" s="193">
        <f>'Données projet'!D77</f>
        <v>494</v>
      </c>
      <c r="C69" s="204"/>
      <c r="D69" s="191">
        <f t="shared" si="4"/>
        <v>0</v>
      </c>
      <c r="E69" s="206"/>
      <c r="F69" s="262"/>
      <c r="G69" s="222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2"/>
      <c r="G70" s="222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2"/>
      <c r="G71" s="222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2"/>
      <c r="G72" s="222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2"/>
      <c r="G73" s="222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">
      <c r="A74" s="5"/>
      <c r="B74" s="5"/>
      <c r="C74" s="5"/>
      <c r="D74" s="5"/>
      <c r="E74" s="5"/>
      <c r="F74" s="260"/>
      <c r="G74" s="222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">
      <c r="A75" s="5"/>
      <c r="B75" s="5"/>
      <c r="C75" s="5"/>
      <c r="D75" s="5"/>
      <c r="E75" s="5"/>
      <c r="F75" s="260"/>
      <c r="G75" s="222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0"/>
      <c r="G76" s="222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">
      <c r="A77" s="5"/>
      <c r="B77" s="5"/>
      <c r="C77" s="5"/>
      <c r="D77" s="5"/>
      <c r="E77" s="5"/>
      <c r="F77" s="260"/>
      <c r="G77" s="222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ht="16" x14ac:dyDescent="0.2">
      <c r="A78" s="256" t="s">
        <v>180</v>
      </c>
      <c r="B78" s="51" t="s">
        <v>256</v>
      </c>
      <c r="C78" s="51" t="s">
        <v>255</v>
      </c>
      <c r="D78" s="256" t="s">
        <v>252</v>
      </c>
      <c r="E78" s="256" t="s">
        <v>320</v>
      </c>
      <c r="F78" s="261"/>
      <c r="G78" s="222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ht="16" x14ac:dyDescent="0.2">
      <c r="A79" s="209">
        <v>0</v>
      </c>
      <c r="B79" s="212" t="s">
        <v>132</v>
      </c>
      <c r="C79" s="211" t="s">
        <v>132</v>
      </c>
      <c r="D79" s="210" t="s">
        <v>132</v>
      </c>
      <c r="E79" s="206"/>
      <c r="F79" s="261"/>
      <c r="G79" s="222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ht="16" x14ac:dyDescent="0.2">
      <c r="A80" s="209">
        <v>1</v>
      </c>
      <c r="B80" s="212" t="s">
        <v>132</v>
      </c>
      <c r="C80" s="211" t="s">
        <v>132</v>
      </c>
      <c r="D80" s="210" t="s">
        <v>132</v>
      </c>
      <c r="E80" s="206"/>
      <c r="F80" s="261"/>
      <c r="G80" s="220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ht="16" x14ac:dyDescent="0.2">
      <c r="A81" s="209">
        <v>2</v>
      </c>
      <c r="B81" s="212" t="s">
        <v>132</v>
      </c>
      <c r="C81" s="211" t="s">
        <v>132</v>
      </c>
      <c r="D81" s="210" t="s">
        <v>132</v>
      </c>
      <c r="E81" s="206"/>
      <c r="F81" s="261"/>
      <c r="G81" s="220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ht="16" x14ac:dyDescent="0.2">
      <c r="A82" s="209">
        <v>3</v>
      </c>
      <c r="B82" s="212" t="s">
        <v>132</v>
      </c>
      <c r="C82" s="211" t="s">
        <v>132</v>
      </c>
      <c r="D82" s="210" t="s">
        <v>132</v>
      </c>
      <c r="E82" s="206"/>
      <c r="F82" s="261"/>
      <c r="G82" s="220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ht="16" x14ac:dyDescent="0.2">
      <c r="A83" s="209">
        <v>4</v>
      </c>
      <c r="B83" s="212" t="s">
        <v>132</v>
      </c>
      <c r="C83" s="211" t="s">
        <v>132</v>
      </c>
      <c r="D83" s="210" t="s">
        <v>132</v>
      </c>
      <c r="E83" s="206"/>
      <c r="F83" s="261"/>
      <c r="G83" s="220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">
      <c r="A84" s="209">
        <v>5</v>
      </c>
      <c r="B84" s="212" t="s">
        <v>132</v>
      </c>
      <c r="C84" s="211" t="s">
        <v>132</v>
      </c>
      <c r="D84" s="210" t="s">
        <v>132</v>
      </c>
      <c r="E84" s="206"/>
      <c r="F84" s="261"/>
      <c r="G84" s="221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">
      <c r="A85" s="192">
        <f>'Données projet'!A88</f>
        <v>0</v>
      </c>
      <c r="B85" s="193">
        <f>'Données projet'!D88</f>
        <v>0</v>
      </c>
      <c r="C85" s="204">
        <f>225*'Données projet'!E88+13.8*('Données projet'!F88+'Données projet'!G88)+10*'Données projet'!H88</f>
        <v>0</v>
      </c>
      <c r="D85" s="191">
        <f>B85*C85</f>
        <v>0</v>
      </c>
      <c r="E85" s="206"/>
      <c r="F85" s="262"/>
      <c r="G85" s="221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">
      <c r="A86" s="192">
        <f>'Données projet'!A89</f>
        <v>0</v>
      </c>
      <c r="B86" s="193">
        <f>'Données projet'!D89</f>
        <v>0</v>
      </c>
      <c r="C86" s="204">
        <f>225*'Données projet'!E89+13.8*('Données projet'!F89+'Données projet'!G89)+10*'Données projet'!H89</f>
        <v>0</v>
      </c>
      <c r="D86" s="191">
        <f t="shared" ref="D86:D104" si="6">B86*C86</f>
        <v>0</v>
      </c>
      <c r="E86" s="206"/>
      <c r="F86" s="262"/>
      <c r="G86" s="221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">
      <c r="A87" s="192">
        <f>'Données projet'!A90</f>
        <v>0</v>
      </c>
      <c r="B87" s="193">
        <f>'Données projet'!D90</f>
        <v>0</v>
      </c>
      <c r="C87" s="204">
        <f>225*'Données projet'!E90+13.8*('Données projet'!F90+'Données projet'!G90)+10*'Données projet'!H90</f>
        <v>0</v>
      </c>
      <c r="D87" s="191">
        <f t="shared" si="6"/>
        <v>0</v>
      </c>
      <c r="E87" s="206"/>
      <c r="F87" s="262"/>
      <c r="G87" s="221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">
      <c r="A88" s="192">
        <f>'Données projet'!A91</f>
        <v>0</v>
      </c>
      <c r="B88" s="193">
        <f>'Données projet'!D91</f>
        <v>0</v>
      </c>
      <c r="C88" s="204">
        <f>225*'Données projet'!E91+13.8*('Données projet'!F91+'Données projet'!G91)+10*'Données projet'!H91</f>
        <v>0</v>
      </c>
      <c r="D88" s="191">
        <f t="shared" si="6"/>
        <v>0</v>
      </c>
      <c r="E88" s="206"/>
      <c r="F88" s="262"/>
      <c r="G88" s="221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">
      <c r="A89" s="192">
        <f>'Données projet'!A92</f>
        <v>0</v>
      </c>
      <c r="B89" s="193">
        <f>'Données projet'!D92</f>
        <v>0</v>
      </c>
      <c r="C89" s="204">
        <f>225*'Données projet'!E92+13.8*('Données projet'!F92+'Données projet'!G92)+10*'Données projet'!H92</f>
        <v>0</v>
      </c>
      <c r="D89" s="191">
        <f t="shared" si="6"/>
        <v>0</v>
      </c>
      <c r="E89" s="206"/>
      <c r="F89" s="262"/>
      <c r="G89" s="221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">
      <c r="A90" s="192">
        <f>'Données projet'!A93</f>
        <v>0</v>
      </c>
      <c r="B90" s="193">
        <f>'Données projet'!D93</f>
        <v>0</v>
      </c>
      <c r="C90" s="204">
        <f>225*'Données projet'!E93+13.8*('Données projet'!F93+'Données projet'!G93)+10*'Données projet'!H93</f>
        <v>0</v>
      </c>
      <c r="D90" s="191">
        <f t="shared" si="6"/>
        <v>0</v>
      </c>
      <c r="E90" s="206"/>
      <c r="F90" s="262"/>
      <c r="G90" s="221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">
      <c r="A91" s="192">
        <f>'Données projet'!A94</f>
        <v>0</v>
      </c>
      <c r="B91" s="193">
        <f>'Données projet'!D94</f>
        <v>0</v>
      </c>
      <c r="C91" s="204">
        <f>225*'Données projet'!E94+13.8*('Données projet'!F94+'Données projet'!G94)+10*'Données projet'!H94</f>
        <v>0</v>
      </c>
      <c r="D91" s="191">
        <f t="shared" si="6"/>
        <v>0</v>
      </c>
      <c r="E91" s="206"/>
      <c r="F91" s="262"/>
      <c r="G91" s="222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">
      <c r="A92" s="192">
        <f>'Données projet'!A95</f>
        <v>0</v>
      </c>
      <c r="B92" s="193">
        <f>'Données projet'!D95</f>
        <v>0</v>
      </c>
      <c r="C92" s="204">
        <f>225*'Données projet'!E95+13.8*('Données projet'!F95+'Données projet'!G95)+10*'Données projet'!H95</f>
        <v>0</v>
      </c>
      <c r="D92" s="191">
        <f t="shared" si="6"/>
        <v>0</v>
      </c>
      <c r="E92" s="206"/>
      <c r="F92" s="262"/>
      <c r="G92" s="222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">
      <c r="A93" s="192">
        <f>'Données projet'!A96</f>
        <v>0</v>
      </c>
      <c r="B93" s="193">
        <f>'Données projet'!D96</f>
        <v>0</v>
      </c>
      <c r="C93" s="204">
        <f>225*'Données projet'!E96+13.8*('Données projet'!F96+'Données projet'!G96)+10*'Données projet'!H96</f>
        <v>0</v>
      </c>
      <c r="D93" s="191">
        <f t="shared" si="6"/>
        <v>0</v>
      </c>
      <c r="E93" s="206"/>
      <c r="F93" s="262"/>
      <c r="G93" s="222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">
      <c r="A94" s="192">
        <f>'Données projet'!A97</f>
        <v>0</v>
      </c>
      <c r="B94" s="193">
        <f>'Données projet'!D97</f>
        <v>0</v>
      </c>
      <c r="C94" s="204">
        <f>225*'Données projet'!E97+13.8*('Données projet'!F97+'Données projet'!G97)+10*'Données projet'!H97</f>
        <v>0</v>
      </c>
      <c r="D94" s="191">
        <f t="shared" si="6"/>
        <v>0</v>
      </c>
      <c r="E94" s="206"/>
      <c r="F94" s="262"/>
      <c r="G94" s="222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">
      <c r="A95" s="192">
        <f>'Données projet'!A98</f>
        <v>0</v>
      </c>
      <c r="B95" s="193">
        <f>'Données projet'!D98</f>
        <v>0</v>
      </c>
      <c r="C95" s="204">
        <f>225*'Données projet'!E98+13.8*('Données projet'!F98+'Données projet'!G98)+10*'Données projet'!H98</f>
        <v>0</v>
      </c>
      <c r="D95" s="191">
        <f t="shared" si="6"/>
        <v>0</v>
      </c>
      <c r="E95" s="206"/>
      <c r="F95" s="262"/>
      <c r="G95" s="222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">
      <c r="A96" s="192">
        <f>'Données projet'!A99</f>
        <v>0</v>
      </c>
      <c r="B96" s="193">
        <f>'Données projet'!D99</f>
        <v>0</v>
      </c>
      <c r="C96" s="204">
        <f>225*'Données projet'!E99+13.8*('Données projet'!F99+'Données projet'!G99)+10*'Données projet'!H99</f>
        <v>0</v>
      </c>
      <c r="D96" s="191">
        <f t="shared" si="6"/>
        <v>0</v>
      </c>
      <c r="E96" s="206"/>
      <c r="F96" s="262"/>
      <c r="G96" s="222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">
      <c r="A97" s="192">
        <f>'Données projet'!A100</f>
        <v>0</v>
      </c>
      <c r="B97" s="193">
        <f>'Données projet'!D100</f>
        <v>0</v>
      </c>
      <c r="C97" s="204">
        <f>225*'Données projet'!E100+13.8*('Données projet'!F100+'Données projet'!G100)+10*'Données projet'!H100</f>
        <v>0</v>
      </c>
      <c r="D97" s="191">
        <f t="shared" si="6"/>
        <v>0</v>
      </c>
      <c r="E97" s="206"/>
      <c r="F97" s="262"/>
      <c r="G97" s="222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">
      <c r="A98" s="192">
        <f>'Données projet'!A101</f>
        <v>0</v>
      </c>
      <c r="B98" s="193">
        <f>'Données projet'!D101</f>
        <v>0</v>
      </c>
      <c r="C98" s="204">
        <f>225*'Données projet'!E101+13.8*('Données projet'!F101+'Données projet'!G101)+10*'Données projet'!H101</f>
        <v>0</v>
      </c>
      <c r="D98" s="191">
        <f t="shared" si="6"/>
        <v>0</v>
      </c>
      <c r="E98" s="206"/>
      <c r="F98" s="262"/>
      <c r="G98" s="222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">
      <c r="A99" s="192">
        <f>'Données projet'!A102</f>
        <v>0</v>
      </c>
      <c r="B99" s="193">
        <f>'Données projet'!D102</f>
        <v>0</v>
      </c>
      <c r="C99" s="204">
        <f>225*'Données projet'!E102+13.8*('Données projet'!F102+'Données projet'!G102)+10*'Données projet'!H102</f>
        <v>0</v>
      </c>
      <c r="D99" s="191">
        <f t="shared" si="6"/>
        <v>0</v>
      </c>
      <c r="E99" s="206"/>
      <c r="F99" s="262"/>
      <c r="G99" s="222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">
      <c r="A100" s="192">
        <f>'Données projet'!A103</f>
        <v>0</v>
      </c>
      <c r="B100" s="193">
        <f>'Données projet'!D103</f>
        <v>0</v>
      </c>
      <c r="C100" s="204">
        <f>225*'Données projet'!E103+13.8*('Données projet'!F103+'Données projet'!G103)+10*'Données projet'!H103</f>
        <v>0</v>
      </c>
      <c r="D100" s="191">
        <f t="shared" si="6"/>
        <v>0</v>
      </c>
      <c r="E100" s="206"/>
      <c r="F100" s="262"/>
      <c r="G100" s="222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">
      <c r="A101" s="192">
        <f>'Données projet'!A104</f>
        <v>0</v>
      </c>
      <c r="B101" s="193">
        <f>'Données projet'!D104</f>
        <v>0</v>
      </c>
      <c r="C101" s="204">
        <f>225*'Données projet'!E104+13.8*('Données projet'!F104+'Données projet'!G104)+10*'Données projet'!H104</f>
        <v>0</v>
      </c>
      <c r="D101" s="191">
        <f t="shared" si="6"/>
        <v>0</v>
      </c>
      <c r="E101" s="206"/>
      <c r="F101" s="262"/>
      <c r="G101" s="222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">
      <c r="A102" s="192">
        <f>'Données projet'!A105</f>
        <v>0</v>
      </c>
      <c r="B102" s="193">
        <f>'Données projet'!D105</f>
        <v>0</v>
      </c>
      <c r="C102" s="204">
        <f>225*'Données projet'!E105+13.8*('Données projet'!F105+'Données projet'!G105)+10*'Données projet'!H105</f>
        <v>0</v>
      </c>
      <c r="D102" s="191">
        <f t="shared" si="6"/>
        <v>0</v>
      </c>
      <c r="E102" s="206"/>
      <c r="F102" s="262"/>
      <c r="G102" s="222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">
      <c r="A103" s="192">
        <f>'Données projet'!A106</f>
        <v>0</v>
      </c>
      <c r="B103" s="193">
        <f>'Données projet'!D106</f>
        <v>0</v>
      </c>
      <c r="C103" s="204">
        <f>225*'Données projet'!E106+13.8*('Données projet'!F106+'Données projet'!G106)+10*'Données projet'!H106</f>
        <v>0</v>
      </c>
      <c r="D103" s="191">
        <f t="shared" si="6"/>
        <v>0</v>
      </c>
      <c r="E103" s="206"/>
      <c r="F103" s="262"/>
      <c r="G103" s="222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">
      <c r="A104" s="192">
        <f>'Données projet'!A107</f>
        <v>0</v>
      </c>
      <c r="B104" s="193">
        <f>'Données projet'!D107</f>
        <v>0</v>
      </c>
      <c r="C104" s="204">
        <f>225*'Données projet'!E107+13.8*('Données projet'!F107+'Données projet'!G107)+10*'Données projet'!H107</f>
        <v>0</v>
      </c>
      <c r="D104" s="191">
        <f t="shared" si="6"/>
        <v>0</v>
      </c>
      <c r="E104" s="206"/>
      <c r="F104" s="262"/>
      <c r="G104" s="222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">
      <c r="A105" s="5"/>
      <c r="B105" s="5"/>
      <c r="C105" s="5"/>
      <c r="D105" s="5"/>
      <c r="E105" s="5"/>
      <c r="F105" s="260"/>
      <c r="G105" s="222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">
      <c r="A106" s="5"/>
      <c r="B106" s="5"/>
      <c r="C106" s="5"/>
      <c r="D106" s="5"/>
      <c r="E106" s="5"/>
      <c r="F106" s="260"/>
      <c r="G106" s="222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0"/>
      <c r="G107" s="222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">
      <c r="A108" s="5"/>
      <c r="B108" s="5"/>
      <c r="C108" s="5"/>
      <c r="D108" s="5"/>
      <c r="E108" s="5"/>
      <c r="F108" s="260"/>
      <c r="G108" s="222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ht="16" x14ac:dyDescent="0.2">
      <c r="A109" s="256" t="s">
        <v>180</v>
      </c>
      <c r="B109" s="51" t="s">
        <v>256</v>
      </c>
      <c r="C109" s="51" t="s">
        <v>255</v>
      </c>
      <c r="D109" s="256" t="s">
        <v>252</v>
      </c>
      <c r="E109" s="256" t="s">
        <v>320</v>
      </c>
      <c r="F109" s="261"/>
      <c r="G109" s="222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ht="16" x14ac:dyDescent="0.2">
      <c r="A110" s="209">
        <v>0</v>
      </c>
      <c r="B110" s="212" t="s">
        <v>132</v>
      </c>
      <c r="C110" s="211" t="s">
        <v>132</v>
      </c>
      <c r="D110" s="210" t="s">
        <v>132</v>
      </c>
      <c r="E110" s="206"/>
      <c r="F110" s="261"/>
      <c r="G110" s="222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ht="16" x14ac:dyDescent="0.2">
      <c r="A111" s="209">
        <v>1</v>
      </c>
      <c r="B111" s="212" t="s">
        <v>132</v>
      </c>
      <c r="C111" s="211" t="s">
        <v>132</v>
      </c>
      <c r="D111" s="210" t="s">
        <v>132</v>
      </c>
      <c r="E111" s="206"/>
      <c r="F111" s="261"/>
      <c r="G111" s="220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ht="16" x14ac:dyDescent="0.2">
      <c r="A112" s="209">
        <v>2</v>
      </c>
      <c r="B112" s="212" t="s">
        <v>132</v>
      </c>
      <c r="C112" s="211" t="s">
        <v>132</v>
      </c>
      <c r="D112" s="210" t="s">
        <v>132</v>
      </c>
      <c r="E112" s="206"/>
      <c r="F112" s="261"/>
      <c r="G112" s="220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ht="16" x14ac:dyDescent="0.2">
      <c r="A113" s="209">
        <v>3</v>
      </c>
      <c r="B113" s="212" t="s">
        <v>132</v>
      </c>
      <c r="C113" s="211" t="s">
        <v>132</v>
      </c>
      <c r="D113" s="210" t="s">
        <v>132</v>
      </c>
      <c r="E113" s="206"/>
      <c r="F113" s="261"/>
      <c r="G113" s="220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ht="16" x14ac:dyDescent="0.2">
      <c r="A114" s="209">
        <v>4</v>
      </c>
      <c r="B114" s="212" t="s">
        <v>132</v>
      </c>
      <c r="C114" s="211" t="s">
        <v>132</v>
      </c>
      <c r="D114" s="210" t="s">
        <v>132</v>
      </c>
      <c r="E114" s="206"/>
      <c r="F114" s="261"/>
      <c r="G114" s="220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">
      <c r="A115" s="209">
        <v>5</v>
      </c>
      <c r="B115" s="212" t="s">
        <v>132</v>
      </c>
      <c r="C115" s="211" t="s">
        <v>132</v>
      </c>
      <c r="D115" s="210" t="s">
        <v>132</v>
      </c>
      <c r="E115" s="206"/>
      <c r="F115" s="261"/>
      <c r="G115" s="221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">
      <c r="A116" s="192">
        <f>'Données projet'!A114</f>
        <v>0</v>
      </c>
      <c r="B116" s="193">
        <f>'Données projet'!D114</f>
        <v>0</v>
      </c>
      <c r="C116" s="204">
        <f>225*'Données projet'!E114+13.8*('Données projet'!F114+'Données projet'!G114)+10*'Données projet'!H114</f>
        <v>0</v>
      </c>
      <c r="D116" s="191">
        <f>B116*C116</f>
        <v>0</v>
      </c>
      <c r="E116" s="206"/>
      <c r="F116" s="262"/>
      <c r="G116" s="221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">
      <c r="A117" s="192">
        <f>'Données projet'!A115</f>
        <v>0</v>
      </c>
      <c r="B117" s="193">
        <f>'Données projet'!D115</f>
        <v>0</v>
      </c>
      <c r="C117" s="204">
        <f>225*'Données projet'!E115+13.8*('Données projet'!F115+'Données projet'!G115)+10*'Données projet'!H115</f>
        <v>0</v>
      </c>
      <c r="D117" s="191">
        <f t="shared" ref="D117:D135" si="8">B117*C117</f>
        <v>0</v>
      </c>
      <c r="E117" s="206"/>
      <c r="F117" s="262"/>
      <c r="G117" s="221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">
      <c r="A118" s="192">
        <f>'Données projet'!A116</f>
        <v>0</v>
      </c>
      <c r="B118" s="193">
        <f>'Données projet'!D116</f>
        <v>0</v>
      </c>
      <c r="C118" s="204">
        <f>225*'Données projet'!E116+13.8*('Données projet'!F116+'Données projet'!G116)+10*'Données projet'!H116</f>
        <v>0</v>
      </c>
      <c r="D118" s="191">
        <f t="shared" si="8"/>
        <v>0</v>
      </c>
      <c r="E118" s="206"/>
      <c r="F118" s="262"/>
      <c r="G118" s="221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">
      <c r="A119" s="192">
        <f>'Données projet'!A117</f>
        <v>0</v>
      </c>
      <c r="B119" s="193">
        <f>'Données projet'!D117</f>
        <v>0</v>
      </c>
      <c r="C119" s="204">
        <f>225*'Données projet'!E117+13.8*('Données projet'!F117+'Données projet'!G117)+10*'Données projet'!H117</f>
        <v>0</v>
      </c>
      <c r="D119" s="191">
        <f t="shared" si="8"/>
        <v>0</v>
      </c>
      <c r="E119" s="206"/>
      <c r="F119" s="262"/>
      <c r="G119" s="221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">
      <c r="A120" s="192">
        <f>'Données projet'!A118</f>
        <v>0</v>
      </c>
      <c r="B120" s="193">
        <f>'Données projet'!D118</f>
        <v>0</v>
      </c>
      <c r="C120" s="204">
        <f>225*'Données projet'!E118+13.8*('Données projet'!F118+'Données projet'!G118)+10*'Données projet'!H118</f>
        <v>0</v>
      </c>
      <c r="D120" s="191">
        <f t="shared" si="8"/>
        <v>0</v>
      </c>
      <c r="E120" s="206"/>
      <c r="F120" s="262"/>
      <c r="G120" s="221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">
      <c r="A121" s="192">
        <f>'Données projet'!A119</f>
        <v>0</v>
      </c>
      <c r="B121" s="193">
        <f>'Données projet'!D119</f>
        <v>0</v>
      </c>
      <c r="C121" s="204">
        <f>225*'Données projet'!E119+13.8*('Données projet'!F119+'Données projet'!G119)+10*'Données projet'!H119</f>
        <v>0</v>
      </c>
      <c r="D121" s="191">
        <f t="shared" si="8"/>
        <v>0</v>
      </c>
      <c r="E121" s="206"/>
      <c r="F121" s="262"/>
      <c r="G121" s="221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">
      <c r="A122" s="192">
        <f>'Données projet'!A120</f>
        <v>0</v>
      </c>
      <c r="B122" s="193">
        <f>'Données projet'!D120</f>
        <v>0</v>
      </c>
      <c r="C122" s="204">
        <f>225*'Données projet'!E120+13.8*('Données projet'!F120+'Données projet'!G120)+10*'Données projet'!H120</f>
        <v>0</v>
      </c>
      <c r="D122" s="191">
        <f t="shared" si="8"/>
        <v>0</v>
      </c>
      <c r="E122" s="206"/>
      <c r="F122" s="262"/>
      <c r="G122" s="222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">
      <c r="A123" s="192">
        <f>'Données projet'!A121</f>
        <v>0</v>
      </c>
      <c r="B123" s="193">
        <f>'Données projet'!D121</f>
        <v>0</v>
      </c>
      <c r="C123" s="204">
        <f>225*'Données projet'!E121+13.8*('Données projet'!F121+'Données projet'!G121)+10*'Données projet'!H121</f>
        <v>0</v>
      </c>
      <c r="D123" s="191">
        <f t="shared" si="8"/>
        <v>0</v>
      </c>
      <c r="E123" s="206"/>
      <c r="F123" s="262"/>
      <c r="G123" s="222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">
      <c r="A124" s="192">
        <f>'Données projet'!A122</f>
        <v>0</v>
      </c>
      <c r="B124" s="193">
        <f>'Données projet'!D122</f>
        <v>0</v>
      </c>
      <c r="C124" s="204">
        <f>225*'Données projet'!E122+13.8*('Données projet'!F122+'Données projet'!G122)+10*'Données projet'!H122</f>
        <v>0</v>
      </c>
      <c r="D124" s="191">
        <f t="shared" si="8"/>
        <v>0</v>
      </c>
      <c r="E124" s="206"/>
      <c r="F124" s="262"/>
      <c r="G124" s="222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">
      <c r="A125" s="192">
        <f>'Données projet'!A123</f>
        <v>0</v>
      </c>
      <c r="B125" s="193">
        <f>'Données projet'!D123</f>
        <v>0</v>
      </c>
      <c r="C125" s="204">
        <f>225*'Données projet'!E123+13.8*('Données projet'!F123+'Données projet'!G123)+10*'Données projet'!H123</f>
        <v>0</v>
      </c>
      <c r="D125" s="191">
        <f t="shared" si="8"/>
        <v>0</v>
      </c>
      <c r="E125" s="206"/>
      <c r="F125" s="262"/>
      <c r="G125" s="222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">
      <c r="A126" s="192">
        <f>'Données projet'!A124</f>
        <v>0</v>
      </c>
      <c r="B126" s="193">
        <f>'Données projet'!D124</f>
        <v>0</v>
      </c>
      <c r="C126" s="204">
        <f>225*'Données projet'!E124+13.8*('Données projet'!F124+'Données projet'!G124)+10*'Données projet'!H124</f>
        <v>0</v>
      </c>
      <c r="D126" s="191">
        <f t="shared" si="8"/>
        <v>0</v>
      </c>
      <c r="E126" s="206"/>
      <c r="F126" s="262"/>
      <c r="G126" s="222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">
      <c r="A127" s="192">
        <f>'Données projet'!A125</f>
        <v>0</v>
      </c>
      <c r="B127" s="193">
        <f>'Données projet'!D125</f>
        <v>0</v>
      </c>
      <c r="C127" s="204">
        <f>225*'Données projet'!E125+13.8*('Données projet'!F125+'Données projet'!G125)+10*'Données projet'!H125</f>
        <v>0</v>
      </c>
      <c r="D127" s="191">
        <f t="shared" si="8"/>
        <v>0</v>
      </c>
      <c r="E127" s="206"/>
      <c r="F127" s="262"/>
      <c r="G127" s="222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">
      <c r="A128" s="192">
        <f>'Données projet'!A126</f>
        <v>0</v>
      </c>
      <c r="B128" s="193">
        <f>'Données projet'!D126</f>
        <v>0</v>
      </c>
      <c r="C128" s="204">
        <f>225*'Données projet'!E126+13.8*('Données projet'!F126+'Données projet'!G126)+10*'Données projet'!H126</f>
        <v>0</v>
      </c>
      <c r="D128" s="191">
        <f t="shared" si="8"/>
        <v>0</v>
      </c>
      <c r="E128" s="206"/>
      <c r="F128" s="262"/>
      <c r="G128" s="222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">
      <c r="A129" s="192">
        <f>'Données projet'!A127</f>
        <v>0</v>
      </c>
      <c r="B129" s="193">
        <f>'Données projet'!D127</f>
        <v>0</v>
      </c>
      <c r="C129" s="204">
        <f>225*'Données projet'!E127+13.8*('Données projet'!F127+'Données projet'!G127)+10*'Données projet'!H127</f>
        <v>0</v>
      </c>
      <c r="D129" s="191">
        <f t="shared" si="8"/>
        <v>0</v>
      </c>
      <c r="E129" s="206"/>
      <c r="F129" s="262"/>
      <c r="G129" s="222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">
      <c r="A130" s="192">
        <f>'Données projet'!A128</f>
        <v>0</v>
      </c>
      <c r="B130" s="193">
        <f>'Données projet'!D128</f>
        <v>0</v>
      </c>
      <c r="C130" s="204">
        <f>225*'Données projet'!E128+13.8*('Données projet'!F128+'Données projet'!G128)+10*'Données projet'!H128</f>
        <v>0</v>
      </c>
      <c r="D130" s="191">
        <f t="shared" si="8"/>
        <v>0</v>
      </c>
      <c r="E130" s="206"/>
      <c r="F130" s="262"/>
      <c r="G130" s="222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">
      <c r="A131" s="192">
        <f>'Données projet'!A129</f>
        <v>0</v>
      </c>
      <c r="B131" s="193">
        <f>'Données projet'!D129</f>
        <v>0</v>
      </c>
      <c r="C131" s="204">
        <f>225*'Données projet'!E129+13.8*('Données projet'!F129+'Données projet'!G129)+10*'Données projet'!H129</f>
        <v>0</v>
      </c>
      <c r="D131" s="191">
        <f t="shared" si="8"/>
        <v>0</v>
      </c>
      <c r="E131" s="206"/>
      <c r="F131" s="262"/>
      <c r="G131" s="222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">
      <c r="A132" s="192">
        <f>'Données projet'!A130</f>
        <v>0</v>
      </c>
      <c r="B132" s="193">
        <f>'Données projet'!D130</f>
        <v>0</v>
      </c>
      <c r="C132" s="204">
        <f>225*'Données projet'!E130+13.8*('Données projet'!F130+'Données projet'!G130)+10*'Données projet'!H130</f>
        <v>0</v>
      </c>
      <c r="D132" s="191">
        <f t="shared" si="8"/>
        <v>0</v>
      </c>
      <c r="E132" s="206"/>
      <c r="F132" s="262"/>
      <c r="G132" s="222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">
      <c r="A133" s="192">
        <f>'Données projet'!A131</f>
        <v>0</v>
      </c>
      <c r="B133" s="193">
        <f>'Données projet'!D131</f>
        <v>0</v>
      </c>
      <c r="C133" s="204">
        <f>225*'Données projet'!E131+13.8*('Données projet'!F131+'Données projet'!G131)+10*'Données projet'!H131</f>
        <v>0</v>
      </c>
      <c r="D133" s="191">
        <f t="shared" si="8"/>
        <v>0</v>
      </c>
      <c r="E133" s="206"/>
      <c r="F133" s="262"/>
      <c r="G133" s="222"/>
      <c r="H133" s="203"/>
      <c r="I133" s="204"/>
      <c r="J133" s="5"/>
      <c r="K133" s="183"/>
      <c r="Q133" s="26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">
      <c r="A134" s="192">
        <f>'Données projet'!A132</f>
        <v>0</v>
      </c>
      <c r="B134" s="193">
        <f>'Données projet'!D132</f>
        <v>0</v>
      </c>
      <c r="C134" s="204">
        <f>225*'Données projet'!E132+13.8*('Données projet'!F132+'Données projet'!G132)+10*'Données projet'!H132</f>
        <v>0</v>
      </c>
      <c r="D134" s="191">
        <f t="shared" si="8"/>
        <v>0</v>
      </c>
      <c r="E134" s="206"/>
      <c r="F134" s="262"/>
      <c r="G134" s="222"/>
      <c r="H134" s="203"/>
      <c r="I134" s="204"/>
      <c r="J134" s="5"/>
      <c r="K134" s="183"/>
      <c r="Q134" s="26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">
      <c r="A135" s="192">
        <f>'Données projet'!A133</f>
        <v>0</v>
      </c>
      <c r="B135" s="193">
        <f>'Données projet'!D133</f>
        <v>0</v>
      </c>
      <c r="C135" s="204">
        <f>225*'Données projet'!E133+13.8*('Données projet'!F133+'Données projet'!G133)+10*'Données projet'!H133</f>
        <v>0</v>
      </c>
      <c r="D135" s="191">
        <f t="shared" si="8"/>
        <v>0</v>
      </c>
      <c r="E135" s="206"/>
      <c r="F135" s="262"/>
      <c r="G135" s="222"/>
      <c r="H135" s="203"/>
      <c r="I135" s="204"/>
      <c r="J135" s="5"/>
      <c r="K135" s="183"/>
      <c r="Q135" s="26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">
      <c r="A136" s="5"/>
      <c r="B136" s="5"/>
      <c r="C136" s="5"/>
      <c r="D136" s="5"/>
      <c r="E136" s="5"/>
      <c r="F136" s="260"/>
      <c r="G136" s="222"/>
      <c r="H136" s="203"/>
      <c r="I136" s="204"/>
      <c r="J136" s="5"/>
      <c r="K136" s="183"/>
      <c r="L136" s="5"/>
      <c r="M136" s="5"/>
      <c r="N136" s="5"/>
      <c r="Q136" s="26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">
      <c r="A137" s="5"/>
      <c r="B137" s="5"/>
      <c r="C137" s="5"/>
      <c r="D137" s="5"/>
      <c r="E137" s="5"/>
      <c r="F137" s="260"/>
      <c r="G137" s="222"/>
      <c r="H137" s="203"/>
      <c r="I137" s="204"/>
      <c r="J137" s="5"/>
      <c r="K137" s="183"/>
      <c r="L137" s="5"/>
      <c r="M137" s="5"/>
      <c r="N137" s="5"/>
      <c r="Q137" s="26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0"/>
      <c r="G138" s="222"/>
      <c r="H138" s="203"/>
      <c r="I138" s="204"/>
      <c r="J138" s="5"/>
      <c r="K138" s="183"/>
      <c r="L138" s="5"/>
      <c r="M138" s="5"/>
      <c r="N138" s="5"/>
      <c r="Q138" s="26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">
      <c r="A139" s="5"/>
      <c r="B139" s="5"/>
      <c r="C139" s="5"/>
      <c r="D139" s="5"/>
      <c r="E139" s="5"/>
      <c r="F139" s="260"/>
      <c r="G139" s="222"/>
      <c r="H139" s="203"/>
      <c r="I139" s="204"/>
      <c r="J139" s="5"/>
      <c r="K139" s="183"/>
      <c r="L139" s="5"/>
      <c r="M139" s="5"/>
      <c r="N139" s="5"/>
      <c r="Q139" s="26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ht="16" x14ac:dyDescent="0.2">
      <c r="A140" s="256" t="s">
        <v>180</v>
      </c>
      <c r="B140" s="51" t="s">
        <v>256</v>
      </c>
      <c r="C140" s="51" t="s">
        <v>255</v>
      </c>
      <c r="D140" s="256" t="s">
        <v>252</v>
      </c>
      <c r="E140" s="256" t="s">
        <v>320</v>
      </c>
      <c r="F140" s="261"/>
      <c r="G140" s="222"/>
      <c r="H140" s="203"/>
      <c r="I140" s="204"/>
      <c r="J140" s="5"/>
      <c r="K140" s="183"/>
      <c r="L140" s="5"/>
      <c r="M140" s="5"/>
      <c r="N140" s="5"/>
      <c r="Q140" s="26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ht="16" x14ac:dyDescent="0.2">
      <c r="A141" s="209">
        <v>0</v>
      </c>
      <c r="B141" s="212" t="s">
        <v>132</v>
      </c>
      <c r="C141" s="211" t="s">
        <v>132</v>
      </c>
      <c r="D141" s="210" t="s">
        <v>132</v>
      </c>
      <c r="E141" s="206"/>
      <c r="F141" s="261"/>
      <c r="G141" s="222"/>
      <c r="H141" s="203"/>
      <c r="I141" s="204"/>
      <c r="J141" s="5"/>
      <c r="K141" s="183"/>
      <c r="L141" s="5"/>
      <c r="M141" s="5"/>
      <c r="N141" s="5"/>
      <c r="Q141" s="26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ht="16" x14ac:dyDescent="0.2">
      <c r="A142" s="209">
        <v>1</v>
      </c>
      <c r="B142" s="212" t="s">
        <v>132</v>
      </c>
      <c r="C142" s="211" t="s">
        <v>132</v>
      </c>
      <c r="D142" s="210" t="s">
        <v>132</v>
      </c>
      <c r="E142" s="206"/>
      <c r="F142" s="261"/>
      <c r="G142" s="220"/>
      <c r="H142" s="203"/>
      <c r="I142" s="204"/>
      <c r="J142" s="5"/>
      <c r="K142" s="183"/>
      <c r="L142" s="5"/>
      <c r="M142" s="5"/>
      <c r="N142" s="5"/>
      <c r="Q142" s="26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ht="16" x14ac:dyDescent="0.2">
      <c r="A143" s="209">
        <v>2</v>
      </c>
      <c r="B143" s="212" t="s">
        <v>132</v>
      </c>
      <c r="C143" s="211" t="s">
        <v>132</v>
      </c>
      <c r="D143" s="210" t="s">
        <v>132</v>
      </c>
      <c r="E143" s="206"/>
      <c r="F143" s="261"/>
      <c r="G143" s="220"/>
      <c r="H143" s="203"/>
      <c r="I143" s="204"/>
      <c r="J143" s="5"/>
      <c r="K143" s="183"/>
      <c r="L143" s="5"/>
      <c r="M143" s="5"/>
      <c r="N143" s="5"/>
      <c r="Q143" s="26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ht="16" x14ac:dyDescent="0.2">
      <c r="A144" s="209">
        <v>3</v>
      </c>
      <c r="B144" s="212" t="s">
        <v>132</v>
      </c>
      <c r="C144" s="211" t="s">
        <v>132</v>
      </c>
      <c r="D144" s="210" t="s">
        <v>132</v>
      </c>
      <c r="E144" s="206"/>
      <c r="F144" s="261"/>
      <c r="G144" s="220"/>
      <c r="H144" s="203"/>
      <c r="I144" s="204"/>
      <c r="J144" s="5"/>
      <c r="K144" s="183"/>
      <c r="L144" s="5"/>
      <c r="M144" s="5"/>
      <c r="N144" s="5"/>
      <c r="Q144" s="26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ht="16" x14ac:dyDescent="0.2">
      <c r="A145" s="209">
        <v>4</v>
      </c>
      <c r="B145" s="212" t="s">
        <v>132</v>
      </c>
      <c r="C145" s="211" t="s">
        <v>132</v>
      </c>
      <c r="D145" s="210" t="s">
        <v>132</v>
      </c>
      <c r="E145" s="206"/>
      <c r="F145" s="261"/>
      <c r="G145" s="220"/>
      <c r="H145" s="203"/>
      <c r="I145" s="204"/>
      <c r="J145" s="5"/>
      <c r="K145" s="183"/>
      <c r="L145" s="5"/>
      <c r="M145" s="5"/>
      <c r="N145" s="5"/>
      <c r="Q145" s="26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">
      <c r="A146" s="209">
        <v>5</v>
      </c>
      <c r="B146" s="212" t="s">
        <v>132</v>
      </c>
      <c r="C146" s="211" t="s">
        <v>132</v>
      </c>
      <c r="D146" s="210" t="s">
        <v>132</v>
      </c>
      <c r="E146" s="206"/>
      <c r="F146" s="261"/>
      <c r="G146" s="221"/>
      <c r="H146" s="203"/>
      <c r="I146" s="204"/>
      <c r="J146" s="5"/>
      <c r="K146" s="183"/>
      <c r="L146" s="5"/>
      <c r="M146" s="5"/>
      <c r="N146" s="5"/>
      <c r="Q146" s="26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">
      <c r="A147" s="45">
        <f>'Données projet'!A140</f>
        <v>0</v>
      </c>
      <c r="B147" s="187">
        <f>'Données projet'!D140</f>
        <v>0</v>
      </c>
      <c r="C147" s="204">
        <f>225*'Données projet'!E140+13.8*('Données projet'!F140+'Données projet'!G140)+10*'Données projet'!H140</f>
        <v>0</v>
      </c>
      <c r="D147" s="194">
        <f>B147*C147</f>
        <v>0</v>
      </c>
      <c r="E147" s="206"/>
      <c r="F147" s="263"/>
      <c r="G147" s="221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">
      <c r="A148" s="45">
        <f>'Données projet'!A141</f>
        <v>0</v>
      </c>
      <c r="B148" s="187">
        <f>'Données projet'!D141</f>
        <v>0</v>
      </c>
      <c r="C148" s="204">
        <f>225*'Données projet'!E141+13.8*('Données projet'!F141+'Données projet'!G141)+10*'Données projet'!H141</f>
        <v>0</v>
      </c>
      <c r="D148" s="194">
        <f t="shared" ref="D148:D166" si="10">B148*C148</f>
        <v>0</v>
      </c>
      <c r="E148" s="206"/>
      <c r="F148" s="263"/>
      <c r="G148" s="221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">
      <c r="A149" s="45">
        <f>'Données projet'!A142</f>
        <v>0</v>
      </c>
      <c r="B149" s="187">
        <f>'Données projet'!D142</f>
        <v>0</v>
      </c>
      <c r="C149" s="204">
        <f>225*'Données projet'!E142+13.8*('Données projet'!F142+'Données projet'!G142)+10*'Données projet'!H142</f>
        <v>0</v>
      </c>
      <c r="D149" s="194">
        <f t="shared" si="10"/>
        <v>0</v>
      </c>
      <c r="E149" s="206"/>
      <c r="F149" s="263"/>
      <c r="G149" s="221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">
      <c r="A150" s="45">
        <f>'Données projet'!A143</f>
        <v>0</v>
      </c>
      <c r="B150" s="187">
        <f>'Données projet'!D143</f>
        <v>0</v>
      </c>
      <c r="C150" s="204">
        <f>225*'Données projet'!E143+13.8*('Données projet'!F143+'Données projet'!G143)+10*'Données projet'!H143</f>
        <v>0</v>
      </c>
      <c r="D150" s="194">
        <f t="shared" si="10"/>
        <v>0</v>
      </c>
      <c r="E150" s="206"/>
      <c r="F150" s="263"/>
      <c r="G150" s="221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">
      <c r="A151" s="45">
        <f>'Données projet'!A144</f>
        <v>0</v>
      </c>
      <c r="B151" s="187">
        <f>'Données projet'!D144</f>
        <v>0</v>
      </c>
      <c r="C151" s="204">
        <f>225*'Données projet'!E144+13.8*('Données projet'!F144+'Données projet'!G144)+10*'Données projet'!H144</f>
        <v>0</v>
      </c>
      <c r="D151" s="194">
        <f t="shared" si="10"/>
        <v>0</v>
      </c>
      <c r="E151" s="206"/>
      <c r="F151" s="263"/>
      <c r="G151" s="221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">
      <c r="A152" s="45">
        <f>'Données projet'!A145</f>
        <v>0</v>
      </c>
      <c r="B152" s="187">
        <f>'Données projet'!D145</f>
        <v>0</v>
      </c>
      <c r="C152" s="204">
        <f>225*'Données projet'!E145+13.8*('Données projet'!F145+'Données projet'!G145)+10*'Données projet'!H145</f>
        <v>0</v>
      </c>
      <c r="D152" s="194">
        <f t="shared" si="10"/>
        <v>0</v>
      </c>
      <c r="E152" s="206"/>
      <c r="F152" s="263"/>
      <c r="G152" s="221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">
      <c r="A153" s="45">
        <f>'Données projet'!A146</f>
        <v>0</v>
      </c>
      <c r="B153" s="187">
        <f>'Données projet'!D146</f>
        <v>0</v>
      </c>
      <c r="C153" s="204">
        <f>225*'Données projet'!E146+13.8*('Données projet'!F146+'Données projet'!G146)+10*'Données projet'!H146</f>
        <v>0</v>
      </c>
      <c r="D153" s="194">
        <f t="shared" si="10"/>
        <v>0</v>
      </c>
      <c r="E153" s="206"/>
      <c r="F153" s="263"/>
      <c r="G153" s="217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">
      <c r="A154" s="45">
        <f>'Données projet'!A147</f>
        <v>0</v>
      </c>
      <c r="B154" s="187">
        <f>'Données projet'!D147</f>
        <v>0</v>
      </c>
      <c r="C154" s="204">
        <f>225*'Données projet'!E147+13.8*('Données projet'!F147+'Données projet'!G147)+10*'Données projet'!H147</f>
        <v>0</v>
      </c>
      <c r="D154" s="194">
        <f t="shared" si="10"/>
        <v>0</v>
      </c>
      <c r="E154" s="206"/>
      <c r="F154" s="263"/>
      <c r="G154" s="217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">
      <c r="A155" s="45">
        <f>'Données projet'!A148</f>
        <v>0</v>
      </c>
      <c r="B155" s="187">
        <f>'Données projet'!D148</f>
        <v>0</v>
      </c>
      <c r="C155" s="204">
        <f>225*'Données projet'!E148+13.8*('Données projet'!F148+'Données projet'!G148)+10*'Données projet'!H148</f>
        <v>0</v>
      </c>
      <c r="D155" s="194">
        <f t="shared" si="10"/>
        <v>0</v>
      </c>
      <c r="E155" s="206"/>
      <c r="F155" s="263"/>
      <c r="G155" s="217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">
      <c r="A156" s="45">
        <f>'Données projet'!A149</f>
        <v>0</v>
      </c>
      <c r="B156" s="187">
        <f>'Données projet'!D149</f>
        <v>0</v>
      </c>
      <c r="C156" s="204">
        <f>225*'Données projet'!E149+13.8*('Données projet'!F149+'Données projet'!G149)+10*'Données projet'!H149</f>
        <v>0</v>
      </c>
      <c r="D156" s="194">
        <f t="shared" si="10"/>
        <v>0</v>
      </c>
      <c r="E156" s="206"/>
      <c r="F156" s="263"/>
      <c r="G156" s="217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">
      <c r="A157" s="45">
        <f>'Données projet'!A150</f>
        <v>0</v>
      </c>
      <c r="B157" s="187">
        <f>'Données projet'!D150</f>
        <v>0</v>
      </c>
      <c r="C157" s="204">
        <f>225*'Données projet'!E150+13.8*('Données projet'!F150+'Données projet'!G150)+10*'Données projet'!H150</f>
        <v>0</v>
      </c>
      <c r="D157" s="194">
        <f t="shared" si="10"/>
        <v>0</v>
      </c>
      <c r="E157" s="206"/>
      <c r="F157" s="263"/>
      <c r="G157" s="217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">
      <c r="A158" s="45">
        <f>'Données projet'!A151</f>
        <v>0</v>
      </c>
      <c r="B158" s="187">
        <f>'Données projet'!D151</f>
        <v>0</v>
      </c>
      <c r="C158" s="204">
        <f>225*'Données projet'!E151+13.8*('Données projet'!F151+'Données projet'!G151)+10*'Données projet'!H151</f>
        <v>0</v>
      </c>
      <c r="D158" s="194">
        <f t="shared" si="10"/>
        <v>0</v>
      </c>
      <c r="E158" s="206"/>
      <c r="F158" s="263"/>
      <c r="G158" s="217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">
      <c r="A159" s="45">
        <f>'Données projet'!A152</f>
        <v>0</v>
      </c>
      <c r="B159" s="187">
        <f>'Données projet'!D152</f>
        <v>0</v>
      </c>
      <c r="C159" s="204">
        <f>225*'Données projet'!E152+13.8*('Données projet'!F152+'Données projet'!G152)+10*'Données projet'!H152</f>
        <v>0</v>
      </c>
      <c r="D159" s="194">
        <f t="shared" si="10"/>
        <v>0</v>
      </c>
      <c r="E159" s="206"/>
      <c r="F159" s="263"/>
      <c r="G159" s="217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">
      <c r="A160" s="45">
        <f>'Données projet'!A153</f>
        <v>0</v>
      </c>
      <c r="B160" s="187">
        <f>'Données projet'!D153</f>
        <v>0</v>
      </c>
      <c r="C160" s="204">
        <f>225*'Données projet'!E153+13.8*('Données projet'!F153+'Données projet'!G153)+10*'Données projet'!H153</f>
        <v>0</v>
      </c>
      <c r="D160" s="194">
        <f t="shared" si="10"/>
        <v>0</v>
      </c>
      <c r="E160" s="206"/>
      <c r="F160" s="263"/>
      <c r="G160" s="217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">
      <c r="A161" s="45">
        <f>'Données projet'!A154</f>
        <v>0</v>
      </c>
      <c r="B161" s="187">
        <f>'Données projet'!D154</f>
        <v>0</v>
      </c>
      <c r="C161" s="204">
        <f>225*'Données projet'!E154+13.8*('Données projet'!F154+'Données projet'!G154)+10*'Données projet'!H154</f>
        <v>0</v>
      </c>
      <c r="D161" s="194">
        <f t="shared" si="10"/>
        <v>0</v>
      </c>
      <c r="E161" s="206"/>
      <c r="F161" s="263"/>
      <c r="G161" s="217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">
      <c r="A162" s="45">
        <f>'Données projet'!A155</f>
        <v>0</v>
      </c>
      <c r="B162" s="187">
        <f>'Données projet'!D155</f>
        <v>0</v>
      </c>
      <c r="C162" s="204">
        <f>225*'Données projet'!E155+13.8*('Données projet'!F155+'Données projet'!G155)+10*'Données projet'!H155</f>
        <v>0</v>
      </c>
      <c r="D162" s="194">
        <f t="shared" si="10"/>
        <v>0</v>
      </c>
      <c r="E162" s="206"/>
      <c r="F162" s="263"/>
      <c r="G162" s="217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">
      <c r="A163" s="45">
        <f>'Données projet'!A156</f>
        <v>0</v>
      </c>
      <c r="B163" s="187">
        <f>'Données projet'!D156</f>
        <v>0</v>
      </c>
      <c r="C163" s="204">
        <f>225*'Données projet'!E156+13.8*('Données projet'!F156+'Données projet'!G156)+10*'Données projet'!H156</f>
        <v>0</v>
      </c>
      <c r="D163" s="194">
        <f t="shared" si="10"/>
        <v>0</v>
      </c>
      <c r="E163" s="206"/>
      <c r="F163" s="263"/>
      <c r="G163" s="217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">
      <c r="A164" s="45">
        <f>'Données projet'!A157</f>
        <v>0</v>
      </c>
      <c r="B164" s="187">
        <f>'Données projet'!D157</f>
        <v>0</v>
      </c>
      <c r="C164" s="204">
        <f>225*'Données projet'!E157+13.8*('Données projet'!F157+'Données projet'!G157)+10*'Données projet'!H157</f>
        <v>0</v>
      </c>
      <c r="D164" s="194">
        <f t="shared" si="10"/>
        <v>0</v>
      </c>
      <c r="E164" s="206"/>
      <c r="F164" s="263"/>
      <c r="G164" s="217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">
      <c r="A165" s="45">
        <f>'Données projet'!A158</f>
        <v>0</v>
      </c>
      <c r="B165" s="187">
        <f>'Données projet'!D158</f>
        <v>0</v>
      </c>
      <c r="C165" s="204">
        <f>225*'Données projet'!E158+13.8*('Données projet'!F158+'Données projet'!G158)+10*'Données projet'!H158</f>
        <v>0</v>
      </c>
      <c r="D165" s="194">
        <f t="shared" si="10"/>
        <v>0</v>
      </c>
      <c r="E165" s="206"/>
      <c r="F165" s="263"/>
      <c r="G165" s="217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">
      <c r="A166" s="45">
        <f>'Données projet'!A159</f>
        <v>0</v>
      </c>
      <c r="B166" s="187">
        <f>'Données projet'!D159</f>
        <v>0</v>
      </c>
      <c r="C166" s="204">
        <f>225*'Données projet'!E159+13.8*('Données projet'!F159+'Données projet'!G159)+10*'Données projet'!H159</f>
        <v>0</v>
      </c>
      <c r="D166" s="194">
        <f t="shared" si="10"/>
        <v>0</v>
      </c>
      <c r="E166" s="206"/>
      <c r="F166" s="263"/>
      <c r="G166" s="217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">
      <c r="A167" s="5"/>
      <c r="B167" s="5"/>
      <c r="C167" s="5"/>
      <c r="D167" s="5"/>
      <c r="E167" s="5"/>
      <c r="F167" s="260"/>
      <c r="G167" s="217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">
      <c r="A168" s="5"/>
      <c r="B168" s="5"/>
      <c r="C168" s="5"/>
      <c r="D168" s="5"/>
      <c r="E168" s="5"/>
      <c r="F168" s="260"/>
      <c r="G168" s="217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0"/>
      <c r="G169" s="217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">
      <c r="A170" s="5"/>
      <c r="B170" s="5"/>
      <c r="C170" s="5"/>
      <c r="D170" s="5"/>
      <c r="E170" s="5"/>
      <c r="F170" s="260"/>
      <c r="G170" s="217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ht="16" x14ac:dyDescent="0.2">
      <c r="A171" s="256" t="s">
        <v>180</v>
      </c>
      <c r="B171" s="51" t="s">
        <v>256</v>
      </c>
      <c r="C171" s="51" t="s">
        <v>255</v>
      </c>
      <c r="D171" s="256" t="s">
        <v>252</v>
      </c>
      <c r="E171" s="256" t="s">
        <v>320</v>
      </c>
      <c r="F171" s="261"/>
      <c r="G171" s="217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ht="16" x14ac:dyDescent="0.2">
      <c r="A172" s="209">
        <v>0</v>
      </c>
      <c r="B172" s="212" t="s">
        <v>132</v>
      </c>
      <c r="C172" s="211" t="s">
        <v>132</v>
      </c>
      <c r="D172" s="210" t="s">
        <v>132</v>
      </c>
      <c r="E172" s="206"/>
      <c r="F172" s="261"/>
      <c r="G172" s="217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ht="16" x14ac:dyDescent="0.2">
      <c r="A173" s="209">
        <v>1</v>
      </c>
      <c r="B173" s="212" t="s">
        <v>132</v>
      </c>
      <c r="C173" s="211" t="s">
        <v>132</v>
      </c>
      <c r="D173" s="210" t="s">
        <v>132</v>
      </c>
      <c r="E173" s="206"/>
      <c r="F173" s="261"/>
      <c r="G173" s="220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ht="16" x14ac:dyDescent="0.2">
      <c r="A174" s="209">
        <v>2</v>
      </c>
      <c r="B174" s="212" t="s">
        <v>132</v>
      </c>
      <c r="C174" s="211" t="s">
        <v>132</v>
      </c>
      <c r="D174" s="210" t="s">
        <v>132</v>
      </c>
      <c r="E174" s="206"/>
      <c r="F174" s="261"/>
      <c r="G174" s="220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ht="16" x14ac:dyDescent="0.2">
      <c r="A175" s="209">
        <v>3</v>
      </c>
      <c r="B175" s="212" t="s">
        <v>132</v>
      </c>
      <c r="C175" s="211" t="s">
        <v>132</v>
      </c>
      <c r="D175" s="210" t="s">
        <v>132</v>
      </c>
      <c r="E175" s="206"/>
      <c r="F175" s="261"/>
      <c r="G175" s="220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ht="16" x14ac:dyDescent="0.2">
      <c r="A176" s="209">
        <v>4</v>
      </c>
      <c r="B176" s="212" t="s">
        <v>132</v>
      </c>
      <c r="C176" s="211" t="s">
        <v>132</v>
      </c>
      <c r="D176" s="210" t="s">
        <v>132</v>
      </c>
      <c r="E176" s="206"/>
      <c r="F176" s="261"/>
      <c r="G176" s="220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">
      <c r="A177" s="209">
        <v>5</v>
      </c>
      <c r="B177" s="212" t="s">
        <v>132</v>
      </c>
      <c r="C177" s="211" t="s">
        <v>132</v>
      </c>
      <c r="D177" s="210" t="s">
        <v>132</v>
      </c>
      <c r="E177" s="206"/>
      <c r="F177" s="261"/>
      <c r="G177" s="221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">
      <c r="A178" s="192">
        <f>'Données projet'!A166</f>
        <v>0</v>
      </c>
      <c r="B178" s="193">
        <f>'Données projet'!D166</f>
        <v>0</v>
      </c>
      <c r="C178" s="206">
        <f>225*'Données projet'!E166+13.8*('Données projet'!F166+'Données projet'!G168)+10*'Données projet'!H166</f>
        <v>0</v>
      </c>
      <c r="D178" s="191">
        <f>B178*C178</f>
        <v>0</v>
      </c>
      <c r="E178" s="206"/>
      <c r="F178" s="262"/>
      <c r="G178" s="221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">
      <c r="A179" s="192">
        <f>'Données projet'!A167</f>
        <v>0</v>
      </c>
      <c r="B179" s="193">
        <f>'Données projet'!D167</f>
        <v>0</v>
      </c>
      <c r="C179" s="206">
        <f>225*'Données projet'!E167+13.8*('Données projet'!F167+'Données projet'!G169)+10*'Données projet'!H167</f>
        <v>0</v>
      </c>
      <c r="D179" s="191">
        <f t="shared" ref="D179:D197" si="11">B179*C179</f>
        <v>0</v>
      </c>
      <c r="E179" s="206"/>
      <c r="F179" s="262"/>
      <c r="G179" s="221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">
      <c r="A180" s="192">
        <f>'Données projet'!A168</f>
        <v>0</v>
      </c>
      <c r="B180" s="193">
        <f>'Données projet'!D168</f>
        <v>0</v>
      </c>
      <c r="C180" s="206">
        <f>225*'Données projet'!E168+13.8*('Données projet'!F168+'Données projet'!G170)+10*'Données projet'!H168</f>
        <v>0</v>
      </c>
      <c r="D180" s="191">
        <f t="shared" si="11"/>
        <v>0</v>
      </c>
      <c r="E180" s="206"/>
      <c r="F180" s="262"/>
      <c r="G180" s="221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">
      <c r="A181" s="192">
        <f>'Données projet'!A169</f>
        <v>0</v>
      </c>
      <c r="B181" s="193">
        <f>'Données projet'!D169</f>
        <v>0</v>
      </c>
      <c r="C181" s="206">
        <f>225*'Données projet'!E169+13.8*('Données projet'!F169+'Données projet'!G171)+10*'Données projet'!H169</f>
        <v>0</v>
      </c>
      <c r="D181" s="191">
        <f t="shared" si="11"/>
        <v>0</v>
      </c>
      <c r="E181" s="206"/>
      <c r="F181" s="262"/>
      <c r="G181" s="221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">
      <c r="A182" s="192">
        <f>'Données projet'!A170</f>
        <v>0</v>
      </c>
      <c r="B182" s="193">
        <f>'Données projet'!D170</f>
        <v>0</v>
      </c>
      <c r="C182" s="206">
        <f>225*'Données projet'!E170+13.8*('Données projet'!F170+'Données projet'!G172)+10*'Données projet'!H170</f>
        <v>0</v>
      </c>
      <c r="D182" s="191">
        <f t="shared" si="11"/>
        <v>0</v>
      </c>
      <c r="E182" s="206"/>
      <c r="F182" s="262"/>
      <c r="G182" s="221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">
      <c r="A183" s="192">
        <f>'Données projet'!A171</f>
        <v>0</v>
      </c>
      <c r="B183" s="193">
        <f>'Données projet'!D171</f>
        <v>0</v>
      </c>
      <c r="C183" s="206">
        <f>225*'Données projet'!E171+13.8*('Données projet'!F171+'Données projet'!G173)+10*'Données projet'!H171</f>
        <v>0</v>
      </c>
      <c r="D183" s="191">
        <f t="shared" si="11"/>
        <v>0</v>
      </c>
      <c r="E183" s="206"/>
      <c r="F183" s="262"/>
      <c r="G183" s="221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">
      <c r="A184" s="192">
        <f>'Données projet'!A172</f>
        <v>0</v>
      </c>
      <c r="B184" s="193">
        <f>'Données projet'!D172</f>
        <v>0</v>
      </c>
      <c r="C184" s="206">
        <f>225*'Données projet'!E172+13.8*('Données projet'!F172+'Données projet'!G174)+10*'Données projet'!H172</f>
        <v>0</v>
      </c>
      <c r="D184" s="191">
        <f t="shared" si="11"/>
        <v>0</v>
      </c>
      <c r="E184" s="206"/>
      <c r="F184" s="262"/>
      <c r="G184" s="222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">
      <c r="A185" s="192">
        <f>'Données projet'!A173</f>
        <v>0</v>
      </c>
      <c r="B185" s="193">
        <f>'Données projet'!D173</f>
        <v>0</v>
      </c>
      <c r="C185" s="206">
        <f>225*'Données projet'!E173+13.8*('Données projet'!F173+'Données projet'!G175)+10*'Données projet'!H173</f>
        <v>0</v>
      </c>
      <c r="D185" s="191">
        <f t="shared" si="11"/>
        <v>0</v>
      </c>
      <c r="E185" s="206"/>
      <c r="F185" s="262"/>
      <c r="G185" s="222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">
      <c r="A186" s="192">
        <f>'Données projet'!A174</f>
        <v>0</v>
      </c>
      <c r="B186" s="193">
        <f>'Données projet'!D174</f>
        <v>0</v>
      </c>
      <c r="C186" s="206">
        <f>225*'Données projet'!E174+13.8*('Données projet'!F174+'Données projet'!G176)+10*'Données projet'!H174</f>
        <v>0</v>
      </c>
      <c r="D186" s="191">
        <f t="shared" si="11"/>
        <v>0</v>
      </c>
      <c r="E186" s="206"/>
      <c r="F186" s="262"/>
      <c r="G186" s="222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">
      <c r="A187" s="192">
        <f>'Données projet'!A175</f>
        <v>0</v>
      </c>
      <c r="B187" s="193">
        <f>'Données projet'!D175</f>
        <v>0</v>
      </c>
      <c r="C187" s="206">
        <f>225*'Données projet'!E175+13.8*('Données projet'!F175+'Données projet'!G177)+10*'Données projet'!H175</f>
        <v>0</v>
      </c>
      <c r="D187" s="191">
        <f t="shared" si="11"/>
        <v>0</v>
      </c>
      <c r="E187" s="206"/>
      <c r="F187" s="262"/>
      <c r="G187" s="222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">
      <c r="A188" s="192">
        <f>'Données projet'!A176</f>
        <v>0</v>
      </c>
      <c r="B188" s="193">
        <f>'Données projet'!D176</f>
        <v>0</v>
      </c>
      <c r="C188" s="206">
        <f>225*'Données projet'!E176+13.8*('Données projet'!F176+'Données projet'!G178)+10*'Données projet'!H176</f>
        <v>0</v>
      </c>
      <c r="D188" s="191">
        <f t="shared" si="11"/>
        <v>0</v>
      </c>
      <c r="E188" s="206"/>
      <c r="F188" s="262"/>
      <c r="G188" s="222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">
      <c r="A189" s="192">
        <f>'Données projet'!A177</f>
        <v>0</v>
      </c>
      <c r="B189" s="193">
        <f>'Données projet'!D177</f>
        <v>0</v>
      </c>
      <c r="C189" s="206">
        <f>225*'Données projet'!E177+13.8*('Données projet'!F177+'Données projet'!G179)+10*'Données projet'!H177</f>
        <v>0</v>
      </c>
      <c r="D189" s="191">
        <f t="shared" si="11"/>
        <v>0</v>
      </c>
      <c r="E189" s="206"/>
      <c r="F189" s="262"/>
      <c r="G189" s="222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">
      <c r="A190" s="192">
        <f>'Données projet'!A178</f>
        <v>0</v>
      </c>
      <c r="B190" s="193">
        <f>'Données projet'!D178</f>
        <v>0</v>
      </c>
      <c r="C190" s="206">
        <f>225*'Données projet'!E178+13.8*('Données projet'!F178+'Données projet'!G180)+10*'Données projet'!H178</f>
        <v>0</v>
      </c>
      <c r="D190" s="191">
        <f t="shared" si="11"/>
        <v>0</v>
      </c>
      <c r="E190" s="206"/>
      <c r="F190" s="262"/>
      <c r="G190" s="222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">
      <c r="A191" s="192">
        <f>'Données projet'!A179</f>
        <v>0</v>
      </c>
      <c r="B191" s="193">
        <f>'Données projet'!D179</f>
        <v>0</v>
      </c>
      <c r="C191" s="206">
        <f>225*'Données projet'!E179+13.8*('Données projet'!F179+'Données projet'!G181)+10*'Données projet'!H179</f>
        <v>0</v>
      </c>
      <c r="D191" s="191">
        <f t="shared" si="11"/>
        <v>0</v>
      </c>
      <c r="E191" s="206"/>
      <c r="F191" s="262"/>
      <c r="G191" s="222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">
      <c r="A192" s="192">
        <f>'Données projet'!A180</f>
        <v>0</v>
      </c>
      <c r="B192" s="193">
        <f>'Données projet'!D180</f>
        <v>0</v>
      </c>
      <c r="C192" s="206">
        <f>225*'Données projet'!E180+13.8*('Données projet'!F180+'Données projet'!G182)+10*'Données projet'!H180</f>
        <v>0</v>
      </c>
      <c r="D192" s="191">
        <f t="shared" si="11"/>
        <v>0</v>
      </c>
      <c r="E192" s="206"/>
      <c r="F192" s="262"/>
      <c r="G192" s="222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">
      <c r="A193" s="192">
        <f>'Données projet'!A181</f>
        <v>0</v>
      </c>
      <c r="B193" s="193">
        <f>'Données projet'!D181</f>
        <v>0</v>
      </c>
      <c r="C193" s="206">
        <f>225*'Données projet'!E181+13.8*('Données projet'!F181+'Données projet'!G183)+10*'Données projet'!H181</f>
        <v>0</v>
      </c>
      <c r="D193" s="191">
        <f t="shared" si="11"/>
        <v>0</v>
      </c>
      <c r="E193" s="206"/>
      <c r="F193" s="262"/>
      <c r="G193" s="222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">
      <c r="A194" s="192">
        <f>'Données projet'!A182</f>
        <v>0</v>
      </c>
      <c r="B194" s="193">
        <f>'Données projet'!D182</f>
        <v>0</v>
      </c>
      <c r="C194" s="206">
        <f>225*'Données projet'!E182+13.8*('Données projet'!F182+'Données projet'!G184)+10*'Données projet'!H182</f>
        <v>0</v>
      </c>
      <c r="D194" s="191">
        <f t="shared" si="11"/>
        <v>0</v>
      </c>
      <c r="E194" s="206"/>
      <c r="F194" s="262"/>
      <c r="G194" s="222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">
      <c r="A195" s="192">
        <f>'Données projet'!A183</f>
        <v>0</v>
      </c>
      <c r="B195" s="193">
        <f>'Données projet'!D183</f>
        <v>0</v>
      </c>
      <c r="C195" s="206">
        <f>225*'Données projet'!E183+13.8*('Données projet'!F183+'Données projet'!G185)+10*'Données projet'!H183</f>
        <v>0</v>
      </c>
      <c r="D195" s="191">
        <f t="shared" si="11"/>
        <v>0</v>
      </c>
      <c r="E195" s="206"/>
      <c r="F195" s="262"/>
      <c r="G195" s="222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">
      <c r="A196" s="192">
        <f>'Données projet'!A184</f>
        <v>0</v>
      </c>
      <c r="B196" s="193">
        <f>'Données projet'!D184</f>
        <v>0</v>
      </c>
      <c r="C196" s="206">
        <f>225*'Données projet'!E184+13.8*('Données projet'!F184+'Données projet'!G186)+10*'Données projet'!H184</f>
        <v>0</v>
      </c>
      <c r="D196" s="191">
        <f t="shared" si="11"/>
        <v>0</v>
      </c>
      <c r="E196" s="206"/>
      <c r="F196" s="262"/>
      <c r="G196" s="222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">
      <c r="A197" s="192">
        <f>'Données projet'!A185</f>
        <v>0</v>
      </c>
      <c r="B197" s="193">
        <f>'Données projet'!D185</f>
        <v>0</v>
      </c>
      <c r="C197" s="206">
        <f>225*'Données projet'!E185+13.8*('Données projet'!F185+'Données projet'!G187)+10*'Données projet'!H185</f>
        <v>0</v>
      </c>
      <c r="D197" s="191">
        <f t="shared" si="11"/>
        <v>0</v>
      </c>
      <c r="E197" s="206"/>
      <c r="F197" s="262"/>
      <c r="G197" s="222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">
      <c r="A198" s="5"/>
      <c r="B198" s="5"/>
      <c r="C198" s="5"/>
      <c r="D198" s="5"/>
      <c r="E198" s="5"/>
      <c r="F198" s="260"/>
      <c r="G198" s="222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">
      <c r="A199" s="5"/>
      <c r="B199" s="5"/>
      <c r="C199" s="5"/>
      <c r="D199" s="5"/>
      <c r="E199" s="5"/>
      <c r="F199" s="260"/>
      <c r="G199" s="222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0"/>
      <c r="G200" s="222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">
      <c r="A201" s="49"/>
      <c r="B201" s="5"/>
      <c r="C201" s="5"/>
      <c r="D201" s="5"/>
      <c r="E201" s="5"/>
      <c r="F201" s="260"/>
      <c r="G201" s="222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ht="16" x14ac:dyDescent="0.2">
      <c r="A202" s="256" t="s">
        <v>180</v>
      </c>
      <c r="B202" s="51" t="s">
        <v>256</v>
      </c>
      <c r="C202" s="51" t="s">
        <v>255</v>
      </c>
      <c r="D202" s="256" t="s">
        <v>252</v>
      </c>
      <c r="E202" s="256" t="s">
        <v>320</v>
      </c>
      <c r="F202" s="261"/>
      <c r="G202" s="222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ht="16" x14ac:dyDescent="0.2">
      <c r="A203" s="209">
        <v>0</v>
      </c>
      <c r="B203" s="212" t="s">
        <v>132</v>
      </c>
      <c r="C203" s="211" t="s">
        <v>132</v>
      </c>
      <c r="D203" s="210" t="s">
        <v>132</v>
      </c>
      <c r="E203" s="206"/>
      <c r="F203" s="261"/>
      <c r="G203" s="222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ht="16" x14ac:dyDescent="0.2">
      <c r="A204" s="209">
        <v>1</v>
      </c>
      <c r="B204" s="212" t="s">
        <v>132</v>
      </c>
      <c r="C204" s="211" t="s">
        <v>132</v>
      </c>
      <c r="D204" s="210" t="s">
        <v>132</v>
      </c>
      <c r="E204" s="206"/>
      <c r="F204" s="261"/>
      <c r="G204" s="220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ht="16" x14ac:dyDescent="0.2">
      <c r="A205" s="209">
        <v>2</v>
      </c>
      <c r="B205" s="212" t="s">
        <v>132</v>
      </c>
      <c r="C205" s="211" t="s">
        <v>132</v>
      </c>
      <c r="D205" s="210" t="s">
        <v>132</v>
      </c>
      <c r="E205" s="206"/>
      <c r="F205" s="261"/>
      <c r="G205" s="220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ht="16" x14ac:dyDescent="0.2">
      <c r="A206" s="209">
        <v>3</v>
      </c>
      <c r="B206" s="212" t="s">
        <v>132</v>
      </c>
      <c r="C206" s="211" t="s">
        <v>132</v>
      </c>
      <c r="D206" s="210" t="s">
        <v>132</v>
      </c>
      <c r="E206" s="206"/>
      <c r="F206" s="261"/>
      <c r="G206" s="220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ht="16" x14ac:dyDescent="0.2">
      <c r="A207" s="209">
        <v>4</v>
      </c>
      <c r="B207" s="212" t="s">
        <v>132</v>
      </c>
      <c r="C207" s="211" t="s">
        <v>132</v>
      </c>
      <c r="D207" s="210" t="s">
        <v>132</v>
      </c>
      <c r="E207" s="206"/>
      <c r="F207" s="261"/>
      <c r="G207" s="220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ht="16" x14ac:dyDescent="0.2">
      <c r="A208" s="209">
        <v>5</v>
      </c>
      <c r="B208" s="212" t="s">
        <v>132</v>
      </c>
      <c r="C208" s="211" t="s">
        <v>132</v>
      </c>
      <c r="D208" s="210" t="s">
        <v>132</v>
      </c>
      <c r="E208" s="206"/>
      <c r="F208" s="261"/>
      <c r="G208" s="221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">
      <c r="A209" s="192">
        <f>'Données projet'!A192</f>
        <v>0</v>
      </c>
      <c r="B209" s="193">
        <f>'Données projet'!D192</f>
        <v>0</v>
      </c>
      <c r="C209" s="206">
        <f>225*'Données projet'!E192+13.8*('Données projet'!F192+'Données projet'!G192)+10*'Données projet'!H192</f>
        <v>0</v>
      </c>
      <c r="D209" s="191">
        <f>B209*C209</f>
        <v>0</v>
      </c>
      <c r="E209" s="206"/>
      <c r="F209" s="262"/>
      <c r="G209" s="221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">
      <c r="A210" s="192">
        <f>'Données projet'!A193</f>
        <v>0</v>
      </c>
      <c r="B210" s="193">
        <f>'Données projet'!D193</f>
        <v>0</v>
      </c>
      <c r="C210" s="206">
        <f>225*'Données projet'!E193+13.8*('Données projet'!F193+'Données projet'!G193)+10*'Données projet'!H193</f>
        <v>0</v>
      </c>
      <c r="D210" s="191">
        <f t="shared" ref="D210:D228" si="12">B210*C210</f>
        <v>0</v>
      </c>
      <c r="E210" s="206"/>
      <c r="F210" s="262"/>
      <c r="G210" s="221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">
      <c r="A211" s="192">
        <f>'Données projet'!A194</f>
        <v>0</v>
      </c>
      <c r="B211" s="193">
        <f>'Données projet'!D194</f>
        <v>0</v>
      </c>
      <c r="C211" s="206">
        <f>225*'Données projet'!E194+13.8*('Données projet'!F194+'Données projet'!G194)+10*'Données projet'!H194</f>
        <v>0</v>
      </c>
      <c r="D211" s="191">
        <f t="shared" si="12"/>
        <v>0</v>
      </c>
      <c r="E211" s="206"/>
      <c r="F211" s="262"/>
      <c r="G211" s="221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">
      <c r="A212" s="192">
        <f>'Données projet'!A195</f>
        <v>0</v>
      </c>
      <c r="B212" s="193">
        <f>'Données projet'!D195</f>
        <v>0</v>
      </c>
      <c r="C212" s="206">
        <f>225*'Données projet'!E195+13.8*('Données projet'!F195+'Données projet'!G195)+10*'Données projet'!H195</f>
        <v>0</v>
      </c>
      <c r="D212" s="191">
        <f t="shared" si="12"/>
        <v>0</v>
      </c>
      <c r="E212" s="206"/>
      <c r="F212" s="262"/>
      <c r="G212" s="221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">
      <c r="A213" s="192">
        <f>'Données projet'!A196</f>
        <v>0</v>
      </c>
      <c r="B213" s="193">
        <f>'Données projet'!D196</f>
        <v>0</v>
      </c>
      <c r="C213" s="206">
        <f>225*'Données projet'!E196+13.8*('Données projet'!F196+'Données projet'!G196)+10*'Données projet'!H196</f>
        <v>0</v>
      </c>
      <c r="D213" s="191">
        <f t="shared" si="12"/>
        <v>0</v>
      </c>
      <c r="E213" s="206"/>
      <c r="F213" s="262"/>
      <c r="G213" s="221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">
      <c r="A214" s="192">
        <f>'Données projet'!A197</f>
        <v>0</v>
      </c>
      <c r="B214" s="193">
        <f>'Données projet'!D197</f>
        <v>0</v>
      </c>
      <c r="C214" s="206">
        <f>225*'Données projet'!E197+13.8*('Données projet'!F197+'Données projet'!G197)+10*'Données projet'!H197</f>
        <v>0</v>
      </c>
      <c r="D214" s="191">
        <f t="shared" si="12"/>
        <v>0</v>
      </c>
      <c r="E214" s="206"/>
      <c r="F214" s="262"/>
      <c r="G214" s="221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">
      <c r="A215" s="192">
        <f>'Données projet'!A198</f>
        <v>0</v>
      </c>
      <c r="B215" s="193">
        <f>'Données projet'!D198</f>
        <v>0</v>
      </c>
      <c r="C215" s="206">
        <f>225*'Données projet'!E198+13.8*('Données projet'!F198+'Données projet'!G198)+10*'Données projet'!H198</f>
        <v>0</v>
      </c>
      <c r="D215" s="191">
        <f t="shared" si="12"/>
        <v>0</v>
      </c>
      <c r="E215" s="206"/>
      <c r="F215" s="262"/>
      <c r="G215" s="222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">
      <c r="A216" s="192">
        <f>'Données projet'!A199</f>
        <v>0</v>
      </c>
      <c r="B216" s="193">
        <f>'Données projet'!D199</f>
        <v>0</v>
      </c>
      <c r="C216" s="206">
        <f>225*'Données projet'!E199+13.8*('Données projet'!F199+'Données projet'!G199)+10*'Données projet'!H199</f>
        <v>0</v>
      </c>
      <c r="D216" s="191">
        <f t="shared" si="12"/>
        <v>0</v>
      </c>
      <c r="E216" s="206"/>
      <c r="F216" s="262"/>
      <c r="G216" s="222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">
      <c r="A217" s="192">
        <f>'Données projet'!A200</f>
        <v>0</v>
      </c>
      <c r="B217" s="193">
        <f>'Données projet'!D200</f>
        <v>0</v>
      </c>
      <c r="C217" s="206">
        <f>225*'Données projet'!E200+13.8*('Données projet'!F200+'Données projet'!G200)+10*'Données projet'!H200</f>
        <v>0</v>
      </c>
      <c r="D217" s="191">
        <f t="shared" si="12"/>
        <v>0</v>
      </c>
      <c r="E217" s="206"/>
      <c r="F217" s="262"/>
      <c r="G217" s="222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">
      <c r="A218" s="192">
        <f>'Données projet'!A201</f>
        <v>0</v>
      </c>
      <c r="B218" s="193">
        <f>'Données projet'!D201</f>
        <v>0</v>
      </c>
      <c r="C218" s="206">
        <f>225*'Données projet'!E201+13.8*('Données projet'!F201+'Données projet'!G201)+10*'Données projet'!H201</f>
        <v>0</v>
      </c>
      <c r="D218" s="191">
        <f t="shared" si="12"/>
        <v>0</v>
      </c>
      <c r="E218" s="206"/>
      <c r="F218" s="262"/>
      <c r="G218" s="222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">
      <c r="A219" s="192">
        <f>'Données projet'!A202</f>
        <v>0</v>
      </c>
      <c r="B219" s="193">
        <f>'Données projet'!D202</f>
        <v>0</v>
      </c>
      <c r="C219" s="206">
        <f>225*'Données projet'!E202+13.8*('Données projet'!F202+'Données projet'!G202)+10*'Données projet'!H202</f>
        <v>0</v>
      </c>
      <c r="D219" s="191">
        <f t="shared" si="12"/>
        <v>0</v>
      </c>
      <c r="E219" s="206"/>
      <c r="F219" s="262"/>
      <c r="G219" s="222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">
      <c r="A220" s="192">
        <f>'Données projet'!A203</f>
        <v>0</v>
      </c>
      <c r="B220" s="193">
        <f>'Données projet'!D203</f>
        <v>0</v>
      </c>
      <c r="C220" s="206">
        <f>225*'Données projet'!E203+13.8*('Données projet'!F203+'Données projet'!G203)+10*'Données projet'!H203</f>
        <v>0</v>
      </c>
      <c r="D220" s="191">
        <f t="shared" si="12"/>
        <v>0</v>
      </c>
      <c r="E220" s="206"/>
      <c r="F220" s="262"/>
      <c r="G220" s="222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">
      <c r="A221" s="192">
        <f>'Données projet'!A204</f>
        <v>0</v>
      </c>
      <c r="B221" s="193">
        <f>'Données projet'!D204</f>
        <v>0</v>
      </c>
      <c r="C221" s="206">
        <f>225*'Données projet'!E204+13.8*('Données projet'!F204+'Données projet'!G204)+10*'Données projet'!H204</f>
        <v>0</v>
      </c>
      <c r="D221" s="191">
        <f t="shared" si="12"/>
        <v>0</v>
      </c>
      <c r="E221" s="206"/>
      <c r="F221" s="262"/>
      <c r="G221" s="222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">
      <c r="A222" s="192">
        <f>'Données projet'!A205</f>
        <v>0</v>
      </c>
      <c r="B222" s="193">
        <f>'Données projet'!D205</f>
        <v>0</v>
      </c>
      <c r="C222" s="206">
        <f>225*'Données projet'!E205+13.8*('Données projet'!F205+'Données projet'!G205)+10*'Données projet'!H205</f>
        <v>0</v>
      </c>
      <c r="D222" s="191">
        <f t="shared" si="12"/>
        <v>0</v>
      </c>
      <c r="E222" s="206"/>
      <c r="F222" s="262"/>
      <c r="G222" s="222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">
      <c r="A223" s="192">
        <f>'Données projet'!A206</f>
        <v>0</v>
      </c>
      <c r="B223" s="193">
        <f>'Données projet'!D206</f>
        <v>0</v>
      </c>
      <c r="C223" s="206">
        <f>225*'Données projet'!E206+13.8*('Données projet'!F206+'Données projet'!G206)+10*'Données projet'!H206</f>
        <v>0</v>
      </c>
      <c r="D223" s="191">
        <f t="shared" si="12"/>
        <v>0</v>
      </c>
      <c r="E223" s="206"/>
      <c r="F223" s="262"/>
      <c r="G223" s="222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">
      <c r="A224" s="192">
        <f>'Données projet'!A207</f>
        <v>0</v>
      </c>
      <c r="B224" s="193">
        <f>'Données projet'!D207</f>
        <v>0</v>
      </c>
      <c r="C224" s="206">
        <f>225*'Données projet'!E207+13.8*('Données projet'!F207+'Données projet'!G207)+10*'Données projet'!H207</f>
        <v>0</v>
      </c>
      <c r="D224" s="191">
        <f t="shared" si="12"/>
        <v>0</v>
      </c>
      <c r="E224" s="206"/>
      <c r="F224" s="262"/>
      <c r="G224" s="222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">
      <c r="A225" s="192">
        <f>'Données projet'!A208</f>
        <v>0</v>
      </c>
      <c r="B225" s="193">
        <f>'Données projet'!D208</f>
        <v>0</v>
      </c>
      <c r="C225" s="206">
        <f>225*'Données projet'!E208+13.8*('Données projet'!F208+'Données projet'!G208)+10*'Données projet'!H208</f>
        <v>0</v>
      </c>
      <c r="D225" s="191">
        <f t="shared" si="12"/>
        <v>0</v>
      </c>
      <c r="E225" s="206"/>
      <c r="F225" s="262"/>
      <c r="G225" s="222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">
      <c r="A226" s="192">
        <f>'Données projet'!A209</f>
        <v>0</v>
      </c>
      <c r="B226" s="193">
        <f>'Données projet'!D209</f>
        <v>0</v>
      </c>
      <c r="C226" s="206">
        <f>225*'Données projet'!E209+13.8*('Données projet'!F209+'Données projet'!G209)+10*'Données projet'!H209</f>
        <v>0</v>
      </c>
      <c r="D226" s="191">
        <f t="shared" si="12"/>
        <v>0</v>
      </c>
      <c r="E226" s="206"/>
      <c r="F226" s="262"/>
      <c r="G226" s="222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">
      <c r="A227" s="192">
        <f>'Données projet'!A210</f>
        <v>0</v>
      </c>
      <c r="B227" s="193">
        <f>'Données projet'!D210</f>
        <v>0</v>
      </c>
      <c r="C227" s="206">
        <f>225*'Données projet'!E210+13.8*('Données projet'!F210+'Données projet'!G210)+10*'Données projet'!H210</f>
        <v>0</v>
      </c>
      <c r="D227" s="191">
        <f t="shared" si="12"/>
        <v>0</v>
      </c>
      <c r="E227" s="206"/>
      <c r="F227" s="262"/>
      <c r="G227" s="222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">
      <c r="A228" s="192">
        <f>'Données projet'!A211</f>
        <v>0</v>
      </c>
      <c r="B228" s="193">
        <f>'Données projet'!D211</f>
        <v>0</v>
      </c>
      <c r="C228" s="206">
        <f>225*'Données projet'!E211+13.8*('Données projet'!F211+'Données projet'!G211)+10*'Données projet'!H211</f>
        <v>0</v>
      </c>
      <c r="D228" s="191">
        <f t="shared" si="12"/>
        <v>0</v>
      </c>
      <c r="E228" s="206"/>
      <c r="F228" s="262"/>
      <c r="G228" s="222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">
      <c r="A229" s="5"/>
      <c r="B229" s="5"/>
      <c r="C229" s="5"/>
      <c r="D229" s="5"/>
      <c r="E229" s="5"/>
      <c r="F229" s="260"/>
      <c r="G229" s="222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">
      <c r="A230" s="5"/>
      <c r="B230" s="5"/>
      <c r="C230" s="5"/>
      <c r="D230" s="5"/>
      <c r="E230" s="5"/>
      <c r="F230" s="260"/>
      <c r="G230" s="222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0"/>
      <c r="G231" s="222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">
      <c r="A232" s="49"/>
      <c r="B232" s="5"/>
      <c r="C232" s="5"/>
      <c r="D232" s="5"/>
      <c r="E232" s="5"/>
      <c r="F232" s="260"/>
      <c r="G232" s="222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ht="16" x14ac:dyDescent="0.2">
      <c r="A233" s="256" t="s">
        <v>180</v>
      </c>
      <c r="B233" s="51" t="s">
        <v>256</v>
      </c>
      <c r="C233" s="51" t="s">
        <v>255</v>
      </c>
      <c r="D233" s="256" t="s">
        <v>252</v>
      </c>
      <c r="E233" s="256" t="s">
        <v>320</v>
      </c>
      <c r="F233" s="261"/>
      <c r="G233" s="222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ht="16" x14ac:dyDescent="0.2">
      <c r="A234" s="209">
        <v>0</v>
      </c>
      <c r="B234" s="212" t="s">
        <v>132</v>
      </c>
      <c r="C234" s="211" t="s">
        <v>132</v>
      </c>
      <c r="D234" s="210" t="s">
        <v>132</v>
      </c>
      <c r="E234" s="206"/>
      <c r="F234" s="261"/>
      <c r="G234" s="222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ht="16" x14ac:dyDescent="0.2">
      <c r="A235" s="209">
        <v>1</v>
      </c>
      <c r="B235" s="212" t="s">
        <v>132</v>
      </c>
      <c r="C235" s="211" t="s">
        <v>132</v>
      </c>
      <c r="D235" s="210" t="s">
        <v>132</v>
      </c>
      <c r="E235" s="206"/>
      <c r="F235" s="261"/>
      <c r="G235" s="220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ht="16" x14ac:dyDescent="0.2">
      <c r="A236" s="209">
        <v>2</v>
      </c>
      <c r="B236" s="212" t="s">
        <v>132</v>
      </c>
      <c r="C236" s="211" t="s">
        <v>132</v>
      </c>
      <c r="D236" s="210" t="s">
        <v>132</v>
      </c>
      <c r="E236" s="206"/>
      <c r="F236" s="261"/>
      <c r="G236" s="220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ht="16" x14ac:dyDescent="0.2">
      <c r="A237" s="209">
        <v>3</v>
      </c>
      <c r="B237" s="212" t="s">
        <v>132</v>
      </c>
      <c r="C237" s="211" t="s">
        <v>132</v>
      </c>
      <c r="D237" s="210" t="s">
        <v>132</v>
      </c>
      <c r="E237" s="206"/>
      <c r="F237" s="261"/>
      <c r="G237" s="220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ht="16" x14ac:dyDescent="0.2">
      <c r="A238" s="209">
        <v>4</v>
      </c>
      <c r="B238" s="212" t="s">
        <v>132</v>
      </c>
      <c r="C238" s="211" t="s">
        <v>132</v>
      </c>
      <c r="D238" s="210" t="s">
        <v>132</v>
      </c>
      <c r="E238" s="206"/>
      <c r="F238" s="261"/>
      <c r="G238" s="220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ht="16" x14ac:dyDescent="0.2">
      <c r="A239" s="209">
        <v>5</v>
      </c>
      <c r="B239" s="212" t="s">
        <v>132</v>
      </c>
      <c r="C239" s="211" t="s">
        <v>132</v>
      </c>
      <c r="D239" s="210" t="s">
        <v>132</v>
      </c>
      <c r="E239" s="206"/>
      <c r="F239" s="261"/>
      <c r="G239" s="221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">
      <c r="A240" s="192">
        <f>'Données projet'!A218</f>
        <v>0</v>
      </c>
      <c r="B240" s="193">
        <f>'Données projet'!D218</f>
        <v>0</v>
      </c>
      <c r="C240" s="206">
        <f>225*'Données projet'!E218+13.8*('Données projet'!F218+'Données projet'!G218)+10*'Données projet'!H218</f>
        <v>0</v>
      </c>
      <c r="D240" s="191">
        <f>B240*C240</f>
        <v>0</v>
      </c>
      <c r="E240" s="206"/>
      <c r="F240" s="262"/>
      <c r="G240" s="221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">
      <c r="A241" s="192">
        <f>'Données projet'!A219</f>
        <v>0</v>
      </c>
      <c r="B241" s="193">
        <f>'Données projet'!D219</f>
        <v>0</v>
      </c>
      <c r="C241" s="206">
        <f>225*'Données projet'!E219+13.8*('Données projet'!F219+'Données projet'!G219)+10*'Données projet'!H219</f>
        <v>0</v>
      </c>
      <c r="D241" s="191">
        <f t="shared" ref="D241:D259" si="13">B241*C241</f>
        <v>0</v>
      </c>
      <c r="E241" s="206"/>
      <c r="F241" s="262"/>
      <c r="G241" s="221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">
      <c r="A242" s="192">
        <f>'Données projet'!A220</f>
        <v>0</v>
      </c>
      <c r="B242" s="193">
        <f>'Données projet'!D220</f>
        <v>0</v>
      </c>
      <c r="C242" s="206">
        <f>225*'Données projet'!E220+13.8*('Données projet'!F220+'Données projet'!G220)+10*'Données projet'!H220</f>
        <v>0</v>
      </c>
      <c r="D242" s="191">
        <f t="shared" si="13"/>
        <v>0</v>
      </c>
      <c r="E242" s="206"/>
      <c r="F242" s="262"/>
      <c r="G242" s="221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">
      <c r="A243" s="192">
        <f>'Données projet'!A221</f>
        <v>0</v>
      </c>
      <c r="B243" s="193">
        <f>'Données projet'!D221</f>
        <v>0</v>
      </c>
      <c r="C243" s="206">
        <f>225*'Données projet'!E221+13.8*('Données projet'!F221+'Données projet'!G221)+10*'Données projet'!H221</f>
        <v>0</v>
      </c>
      <c r="D243" s="191">
        <f t="shared" si="13"/>
        <v>0</v>
      </c>
      <c r="E243" s="206"/>
      <c r="F243" s="262"/>
      <c r="G243" s="221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">
      <c r="A244" s="192">
        <f>'Données projet'!A222</f>
        <v>0</v>
      </c>
      <c r="B244" s="193">
        <f>'Données projet'!D222</f>
        <v>0</v>
      </c>
      <c r="C244" s="206">
        <f>225*'Données projet'!E222+13.8*('Données projet'!F222+'Données projet'!G222)+10*'Données projet'!H222</f>
        <v>0</v>
      </c>
      <c r="D244" s="191">
        <f t="shared" si="13"/>
        <v>0</v>
      </c>
      <c r="E244" s="206"/>
      <c r="F244" s="262"/>
      <c r="G244" s="221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">
      <c r="A245" s="192">
        <f>'Données projet'!A223</f>
        <v>0</v>
      </c>
      <c r="B245" s="193">
        <f>'Données projet'!D223</f>
        <v>0</v>
      </c>
      <c r="C245" s="206">
        <f>225*'Données projet'!E223+13.8*('Données projet'!F223+'Données projet'!G223)+10*'Données projet'!H223</f>
        <v>0</v>
      </c>
      <c r="D245" s="191">
        <f t="shared" si="13"/>
        <v>0</v>
      </c>
      <c r="E245" s="206"/>
      <c r="F245" s="262"/>
      <c r="G245" s="221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">
      <c r="A246" s="192">
        <f>'Données projet'!A224</f>
        <v>0</v>
      </c>
      <c r="B246" s="193">
        <f>'Données projet'!D224</f>
        <v>0</v>
      </c>
      <c r="C246" s="206">
        <f>225*'Données projet'!E224+13.8*('Données projet'!F224+'Données projet'!G224)+10*'Données projet'!H224</f>
        <v>0</v>
      </c>
      <c r="D246" s="191">
        <f t="shared" si="13"/>
        <v>0</v>
      </c>
      <c r="E246" s="206"/>
      <c r="F246" s="262"/>
      <c r="G246" s="222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">
      <c r="A247" s="192">
        <f>'Données projet'!A225</f>
        <v>0</v>
      </c>
      <c r="B247" s="193">
        <f>'Données projet'!D225</f>
        <v>0</v>
      </c>
      <c r="C247" s="206">
        <f>225*'Données projet'!E225+13.8*('Données projet'!F225+'Données projet'!G225)+10*'Données projet'!H225</f>
        <v>0</v>
      </c>
      <c r="D247" s="191">
        <f t="shared" si="13"/>
        <v>0</v>
      </c>
      <c r="E247" s="206"/>
      <c r="F247" s="262"/>
      <c r="G247" s="222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">
      <c r="A248" s="192">
        <f>'Données projet'!A226</f>
        <v>0</v>
      </c>
      <c r="B248" s="193">
        <f>'Données projet'!D226</f>
        <v>0</v>
      </c>
      <c r="C248" s="206">
        <f>225*'Données projet'!E226+13.8*('Données projet'!F226+'Données projet'!G226)+10*'Données projet'!H226</f>
        <v>0</v>
      </c>
      <c r="D248" s="191">
        <f t="shared" si="13"/>
        <v>0</v>
      </c>
      <c r="E248" s="206"/>
      <c r="F248" s="262"/>
      <c r="G248" s="222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">
      <c r="A249" s="192">
        <f>'Données projet'!A227</f>
        <v>0</v>
      </c>
      <c r="B249" s="193">
        <f>'Données projet'!D227</f>
        <v>0</v>
      </c>
      <c r="C249" s="206">
        <f>225*'Données projet'!E227+13.8*('Données projet'!F227+'Données projet'!G227)+10*'Données projet'!H227</f>
        <v>0</v>
      </c>
      <c r="D249" s="191">
        <f t="shared" si="13"/>
        <v>0</v>
      </c>
      <c r="E249" s="206"/>
      <c r="F249" s="262"/>
      <c r="G249" s="222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">
      <c r="A250" s="192">
        <f>'Données projet'!A228</f>
        <v>0</v>
      </c>
      <c r="B250" s="193">
        <f>'Données projet'!D228</f>
        <v>0</v>
      </c>
      <c r="C250" s="206">
        <f>225*'Données projet'!E228+13.8*('Données projet'!F228+'Données projet'!G228)+10*'Données projet'!H228</f>
        <v>0</v>
      </c>
      <c r="D250" s="191">
        <f t="shared" si="13"/>
        <v>0</v>
      </c>
      <c r="E250" s="206"/>
      <c r="F250" s="262"/>
      <c r="G250" s="222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">
      <c r="A251" s="192">
        <f>'Données projet'!A229</f>
        <v>0</v>
      </c>
      <c r="B251" s="193">
        <f>'Données projet'!D229</f>
        <v>0</v>
      </c>
      <c r="C251" s="206">
        <f>225*'Données projet'!E229+13.8*('Données projet'!F229+'Données projet'!G229)+10*'Données projet'!H229</f>
        <v>0</v>
      </c>
      <c r="D251" s="191">
        <f t="shared" si="13"/>
        <v>0</v>
      </c>
      <c r="E251" s="206"/>
      <c r="F251" s="262"/>
      <c r="G251" s="222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">
      <c r="A252" s="192">
        <f>'Données projet'!A230</f>
        <v>0</v>
      </c>
      <c r="B252" s="193">
        <f>'Données projet'!D230</f>
        <v>0</v>
      </c>
      <c r="C252" s="206">
        <f>225*'Données projet'!E230+13.8*('Données projet'!F230+'Données projet'!G230)+10*'Données projet'!H230</f>
        <v>0</v>
      </c>
      <c r="D252" s="191">
        <f t="shared" si="13"/>
        <v>0</v>
      </c>
      <c r="E252" s="206"/>
      <c r="F252" s="262"/>
      <c r="G252" s="222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">
      <c r="A253" s="192">
        <f>'Données projet'!A231</f>
        <v>0</v>
      </c>
      <c r="B253" s="193">
        <f>'Données projet'!D231</f>
        <v>0</v>
      </c>
      <c r="C253" s="206">
        <f>225*'Données projet'!E231+13.8*('Données projet'!F231+'Données projet'!G231)+10*'Données projet'!H231</f>
        <v>0</v>
      </c>
      <c r="D253" s="191">
        <f t="shared" si="13"/>
        <v>0</v>
      </c>
      <c r="E253" s="206"/>
      <c r="F253" s="262"/>
      <c r="G253" s="222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">
      <c r="A254" s="192">
        <f>'Données projet'!A232</f>
        <v>0</v>
      </c>
      <c r="B254" s="193">
        <f>'Données projet'!D232</f>
        <v>0</v>
      </c>
      <c r="C254" s="206">
        <f>225*'Données projet'!E232+13.8*('Données projet'!F232+'Données projet'!G232)+10*'Données projet'!H232</f>
        <v>0</v>
      </c>
      <c r="D254" s="191">
        <f t="shared" si="13"/>
        <v>0</v>
      </c>
      <c r="E254" s="206"/>
      <c r="F254" s="262"/>
      <c r="G254" s="222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">
      <c r="A255" s="192">
        <f>'Données projet'!A233</f>
        <v>0</v>
      </c>
      <c r="B255" s="193">
        <f>'Données projet'!D233</f>
        <v>0</v>
      </c>
      <c r="C255" s="206">
        <f>225*'Données projet'!E233+13.8*('Données projet'!F233+'Données projet'!G233)+10*'Données projet'!H233</f>
        <v>0</v>
      </c>
      <c r="D255" s="191">
        <f t="shared" si="13"/>
        <v>0</v>
      </c>
      <c r="E255" s="206"/>
      <c r="F255" s="262"/>
      <c r="G255" s="222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">
      <c r="A256" s="192">
        <f>'Données projet'!A234</f>
        <v>0</v>
      </c>
      <c r="B256" s="193">
        <f>'Données projet'!D234</f>
        <v>0</v>
      </c>
      <c r="C256" s="206">
        <f>225*'Données projet'!E234+13.8*('Données projet'!F234+'Données projet'!G234)+10*'Données projet'!H234</f>
        <v>0</v>
      </c>
      <c r="D256" s="191">
        <f t="shared" si="13"/>
        <v>0</v>
      </c>
      <c r="E256" s="206"/>
      <c r="F256" s="262"/>
      <c r="G256" s="222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">
      <c r="A257" s="192">
        <f>'Données projet'!A235</f>
        <v>0</v>
      </c>
      <c r="B257" s="193">
        <f>'Données projet'!D235</f>
        <v>0</v>
      </c>
      <c r="C257" s="206">
        <f>225*'Données projet'!E235+13.8*('Données projet'!F235+'Données projet'!G235)+10*'Données projet'!H235</f>
        <v>0</v>
      </c>
      <c r="D257" s="191">
        <f t="shared" si="13"/>
        <v>0</v>
      </c>
      <c r="E257" s="206"/>
      <c r="F257" s="262"/>
      <c r="G257" s="222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">
      <c r="A258" s="192">
        <f>'Données projet'!A236</f>
        <v>0</v>
      </c>
      <c r="B258" s="193">
        <f>'Données projet'!D236</f>
        <v>0</v>
      </c>
      <c r="C258" s="206">
        <f>225*'Données projet'!E236+13.8*('Données projet'!F236+'Données projet'!G236)+10*'Données projet'!H236</f>
        <v>0</v>
      </c>
      <c r="D258" s="191">
        <f t="shared" si="13"/>
        <v>0</v>
      </c>
      <c r="E258" s="206"/>
      <c r="F258" s="262"/>
      <c r="G258" s="222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">
      <c r="A259" s="192">
        <f>'Données projet'!A237</f>
        <v>0</v>
      </c>
      <c r="B259" s="193">
        <f>'Données projet'!D237</f>
        <v>0</v>
      </c>
      <c r="C259" s="206">
        <f>225*'Données projet'!E237+13.8*('Données projet'!F237+'Données projet'!G237)+10*'Données projet'!H237</f>
        <v>0</v>
      </c>
      <c r="D259" s="191">
        <f t="shared" si="13"/>
        <v>0</v>
      </c>
      <c r="E259" s="206"/>
      <c r="F259" s="262"/>
      <c r="G259" s="222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">
      <c r="A260" s="5"/>
      <c r="B260" s="5"/>
      <c r="C260" s="5"/>
      <c r="D260" s="5"/>
      <c r="E260" s="5"/>
      <c r="F260" s="260"/>
      <c r="G260" s="222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">
      <c r="A261" s="5"/>
      <c r="B261" s="5"/>
      <c r="C261" s="5"/>
      <c r="D261" s="5"/>
      <c r="E261" s="5"/>
      <c r="F261" s="260"/>
      <c r="G261" s="222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0"/>
      <c r="G262" s="222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">
      <c r="A263" s="49"/>
      <c r="B263" s="5"/>
      <c r="C263" s="5"/>
      <c r="D263" s="5"/>
      <c r="E263" s="5"/>
      <c r="F263" s="260"/>
      <c r="G263" s="222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ht="16" x14ac:dyDescent="0.2">
      <c r="A264" s="256" t="s">
        <v>180</v>
      </c>
      <c r="B264" s="51" t="s">
        <v>256</v>
      </c>
      <c r="C264" s="51" t="s">
        <v>255</v>
      </c>
      <c r="D264" s="256" t="s">
        <v>252</v>
      </c>
      <c r="E264" s="256" t="s">
        <v>320</v>
      </c>
      <c r="F264" s="261"/>
      <c r="G264" s="222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ht="16" x14ac:dyDescent="0.2">
      <c r="A265" s="209">
        <v>0</v>
      </c>
      <c r="B265" s="212" t="s">
        <v>132</v>
      </c>
      <c r="C265" s="211" t="s">
        <v>132</v>
      </c>
      <c r="D265" s="210" t="s">
        <v>132</v>
      </c>
      <c r="E265" s="206"/>
      <c r="F265" s="261"/>
      <c r="G265" s="222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ht="16" x14ac:dyDescent="0.2">
      <c r="A266" s="209">
        <v>1</v>
      </c>
      <c r="B266" s="212" t="s">
        <v>132</v>
      </c>
      <c r="C266" s="211" t="s">
        <v>132</v>
      </c>
      <c r="D266" s="210" t="s">
        <v>132</v>
      </c>
      <c r="E266" s="206"/>
      <c r="F266" s="261"/>
      <c r="G266" s="220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ht="16" x14ac:dyDescent="0.2">
      <c r="A267" s="209">
        <v>2</v>
      </c>
      <c r="B267" s="212" t="s">
        <v>132</v>
      </c>
      <c r="C267" s="211" t="s">
        <v>132</v>
      </c>
      <c r="D267" s="210" t="s">
        <v>132</v>
      </c>
      <c r="E267" s="206"/>
      <c r="F267" s="261"/>
      <c r="G267" s="220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ht="16" x14ac:dyDescent="0.2">
      <c r="A268" s="209">
        <v>3</v>
      </c>
      <c r="B268" s="212" t="s">
        <v>132</v>
      </c>
      <c r="C268" s="211" t="s">
        <v>132</v>
      </c>
      <c r="D268" s="210" t="s">
        <v>132</v>
      </c>
      <c r="E268" s="206"/>
      <c r="F268" s="261"/>
      <c r="G268" s="220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ht="16" x14ac:dyDescent="0.2">
      <c r="A269" s="209">
        <v>4</v>
      </c>
      <c r="B269" s="212" t="s">
        <v>132</v>
      </c>
      <c r="C269" s="211" t="s">
        <v>132</v>
      </c>
      <c r="D269" s="210" t="s">
        <v>132</v>
      </c>
      <c r="E269" s="206"/>
      <c r="F269" s="261"/>
      <c r="G269" s="220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ht="16" x14ac:dyDescent="0.2">
      <c r="A270" s="209">
        <v>5</v>
      </c>
      <c r="B270" s="212" t="s">
        <v>132</v>
      </c>
      <c r="C270" s="211" t="s">
        <v>132</v>
      </c>
      <c r="D270" s="210" t="s">
        <v>132</v>
      </c>
      <c r="E270" s="206"/>
      <c r="F270" s="261"/>
      <c r="G270" s="221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">
      <c r="A271" s="192">
        <f>'Données projet'!A244</f>
        <v>0</v>
      </c>
      <c r="B271" s="193">
        <f>'Données projet'!D244</f>
        <v>0</v>
      </c>
      <c r="C271" s="206">
        <f>225*'Données projet'!E244+13.8*('Données projet'!F244+'Données projet'!G244)+10*'Données projet'!H244</f>
        <v>0</v>
      </c>
      <c r="D271" s="191">
        <f>B271*C271</f>
        <v>0</v>
      </c>
      <c r="E271" s="206"/>
      <c r="F271" s="262"/>
      <c r="G271" s="221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">
      <c r="A272" s="192">
        <f>'Données projet'!A245</f>
        <v>0</v>
      </c>
      <c r="B272" s="193">
        <f>'Données projet'!D245</f>
        <v>0</v>
      </c>
      <c r="C272" s="206">
        <f>225*'Données projet'!E245+13.8*('Données projet'!F245+'Données projet'!G245)+10*'Données projet'!H245</f>
        <v>0</v>
      </c>
      <c r="D272" s="191">
        <f t="shared" ref="D272:D290" si="14">B272*C272</f>
        <v>0</v>
      </c>
      <c r="E272" s="206"/>
      <c r="F272" s="262"/>
      <c r="G272" s="221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">
      <c r="A273" s="192">
        <f>'Données projet'!A246</f>
        <v>0</v>
      </c>
      <c r="B273" s="193">
        <f>'Données projet'!D246</f>
        <v>0</v>
      </c>
      <c r="C273" s="206">
        <f>225*'Données projet'!E246+13.8*('Données projet'!F246+'Données projet'!G246)+10*'Données projet'!H246</f>
        <v>0</v>
      </c>
      <c r="D273" s="191">
        <f t="shared" si="14"/>
        <v>0</v>
      </c>
      <c r="E273" s="206"/>
      <c r="F273" s="262"/>
      <c r="G273" s="221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">
      <c r="A274" s="192">
        <f>'Données projet'!A247</f>
        <v>0</v>
      </c>
      <c r="B274" s="193">
        <f>'Données projet'!D247</f>
        <v>0</v>
      </c>
      <c r="C274" s="206">
        <f>225*'Données projet'!E247+13.8*('Données projet'!F247+'Données projet'!G247)+10*'Données projet'!H247</f>
        <v>0</v>
      </c>
      <c r="D274" s="191">
        <f t="shared" si="14"/>
        <v>0</v>
      </c>
      <c r="E274" s="206"/>
      <c r="F274" s="262"/>
      <c r="G274" s="221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">
      <c r="A275" s="192">
        <f>'Données projet'!A248</f>
        <v>0</v>
      </c>
      <c r="B275" s="193">
        <f>'Données projet'!D248</f>
        <v>0</v>
      </c>
      <c r="C275" s="206">
        <f>225*'Données projet'!E248+13.8*('Données projet'!F248+'Données projet'!G248)+10*'Données projet'!H248</f>
        <v>0</v>
      </c>
      <c r="D275" s="191">
        <f t="shared" si="14"/>
        <v>0</v>
      </c>
      <c r="E275" s="206"/>
      <c r="F275" s="262"/>
      <c r="G275" s="221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">
      <c r="A276" s="192">
        <f>'Données projet'!A249</f>
        <v>0</v>
      </c>
      <c r="B276" s="193">
        <f>'Données projet'!D249</f>
        <v>0</v>
      </c>
      <c r="C276" s="206">
        <f>225*'Données projet'!E249+13.8*('Données projet'!F249+'Données projet'!G249)+10*'Données projet'!H249</f>
        <v>0</v>
      </c>
      <c r="D276" s="191">
        <f t="shared" si="14"/>
        <v>0</v>
      </c>
      <c r="E276" s="206"/>
      <c r="F276" s="262"/>
      <c r="G276" s="221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">
      <c r="A277" s="192">
        <f>'Données projet'!A250</f>
        <v>0</v>
      </c>
      <c r="B277" s="193">
        <f>'Données projet'!D250</f>
        <v>0</v>
      </c>
      <c r="C277" s="206">
        <f>225*'Données projet'!E250+13.8*('Données projet'!F250+'Données projet'!G250)+10*'Données projet'!H250</f>
        <v>0</v>
      </c>
      <c r="D277" s="191">
        <f t="shared" si="14"/>
        <v>0</v>
      </c>
      <c r="E277" s="206"/>
      <c r="F277" s="262"/>
      <c r="G277" s="222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">
      <c r="A278" s="192">
        <f>'Données projet'!A251</f>
        <v>0</v>
      </c>
      <c r="B278" s="193">
        <f>'Données projet'!D251</f>
        <v>0</v>
      </c>
      <c r="C278" s="206">
        <f>225*'Données projet'!E251+13.8*('Données projet'!F251+'Données projet'!G251)+10*'Données projet'!H251</f>
        <v>0</v>
      </c>
      <c r="D278" s="191">
        <f t="shared" si="14"/>
        <v>0</v>
      </c>
      <c r="E278" s="206"/>
      <c r="F278" s="262"/>
      <c r="G278" s="222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">
      <c r="A279" s="192">
        <f>'Données projet'!A252</f>
        <v>0</v>
      </c>
      <c r="B279" s="193">
        <f>'Données projet'!D252</f>
        <v>0</v>
      </c>
      <c r="C279" s="206">
        <f>225*'Données projet'!E252+13.8*('Données projet'!F252+'Données projet'!G252)+10*'Données projet'!H252</f>
        <v>0</v>
      </c>
      <c r="D279" s="191">
        <f t="shared" si="14"/>
        <v>0</v>
      </c>
      <c r="E279" s="206"/>
      <c r="F279" s="262"/>
      <c r="G279" s="222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">
      <c r="A280" s="192">
        <f>'Données projet'!A253</f>
        <v>0</v>
      </c>
      <c r="B280" s="193">
        <f>'Données projet'!D253</f>
        <v>0</v>
      </c>
      <c r="C280" s="206">
        <f>225*'Données projet'!E253+13.8*('Données projet'!F253+'Données projet'!G253)+10*'Données projet'!H253</f>
        <v>0</v>
      </c>
      <c r="D280" s="191">
        <f t="shared" si="14"/>
        <v>0</v>
      </c>
      <c r="E280" s="206"/>
      <c r="F280" s="262"/>
      <c r="G280" s="222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">
      <c r="A281" s="192">
        <f>'Données projet'!A254</f>
        <v>0</v>
      </c>
      <c r="B281" s="193">
        <f>'Données projet'!D254</f>
        <v>0</v>
      </c>
      <c r="C281" s="206">
        <f>225*'Données projet'!E254+13.8*('Données projet'!F254+'Données projet'!G254)+10*'Données projet'!H254</f>
        <v>0</v>
      </c>
      <c r="D281" s="191">
        <f t="shared" si="14"/>
        <v>0</v>
      </c>
      <c r="E281" s="206"/>
      <c r="F281" s="262"/>
      <c r="G281" s="222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">
      <c r="A282" s="192">
        <f>'Données projet'!A255</f>
        <v>0</v>
      </c>
      <c r="B282" s="193">
        <f>'Données projet'!D255</f>
        <v>0</v>
      </c>
      <c r="C282" s="206">
        <f>225*'Données projet'!E255+13.8*('Données projet'!F255+'Données projet'!G255)+10*'Données projet'!H255</f>
        <v>0</v>
      </c>
      <c r="D282" s="191">
        <f t="shared" si="14"/>
        <v>0</v>
      </c>
      <c r="E282" s="206"/>
      <c r="F282" s="262"/>
      <c r="G282" s="222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">
      <c r="A283" s="192">
        <f>'Données projet'!A256</f>
        <v>0</v>
      </c>
      <c r="B283" s="193">
        <f>'Données projet'!D256</f>
        <v>0</v>
      </c>
      <c r="C283" s="206">
        <f>225*'Données projet'!E256+13.8*('Données projet'!F256+'Données projet'!G256)+10*'Données projet'!H256</f>
        <v>0</v>
      </c>
      <c r="D283" s="191">
        <f t="shared" si="14"/>
        <v>0</v>
      </c>
      <c r="E283" s="206"/>
      <c r="F283" s="262"/>
      <c r="G283" s="222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">
      <c r="A284" s="192">
        <f>'Données projet'!A257</f>
        <v>0</v>
      </c>
      <c r="B284" s="193">
        <f>'Données projet'!D257</f>
        <v>0</v>
      </c>
      <c r="C284" s="206">
        <f>225*'Données projet'!E257+13.8*('Données projet'!F257+'Données projet'!G257)+10*'Données projet'!H257</f>
        <v>0</v>
      </c>
      <c r="D284" s="191">
        <f t="shared" si="14"/>
        <v>0</v>
      </c>
      <c r="E284" s="206"/>
      <c r="F284" s="262"/>
      <c r="G284" s="222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">
      <c r="A285" s="192">
        <f>'Données projet'!A258</f>
        <v>0</v>
      </c>
      <c r="B285" s="193">
        <f>'Données projet'!D258</f>
        <v>0</v>
      </c>
      <c r="C285" s="206">
        <f>225*'Données projet'!E258+13.8*('Données projet'!F258+'Données projet'!G258)+10*'Données projet'!H258</f>
        <v>0</v>
      </c>
      <c r="D285" s="191">
        <f t="shared" si="14"/>
        <v>0</v>
      </c>
      <c r="E285" s="206"/>
      <c r="F285" s="262"/>
      <c r="G285" s="222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">
      <c r="A286" s="192">
        <f>'Données projet'!A259</f>
        <v>0</v>
      </c>
      <c r="B286" s="193">
        <f>'Données projet'!D259</f>
        <v>0</v>
      </c>
      <c r="C286" s="206">
        <f>225*'Données projet'!E259+13.8*('Données projet'!F259+'Données projet'!G259)+10*'Données projet'!H259</f>
        <v>0</v>
      </c>
      <c r="D286" s="191">
        <f t="shared" si="14"/>
        <v>0</v>
      </c>
      <c r="E286" s="206"/>
      <c r="F286" s="262"/>
      <c r="G286" s="222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">
      <c r="A287" s="192">
        <f>'Données projet'!A260</f>
        <v>0</v>
      </c>
      <c r="B287" s="193">
        <f>'Données projet'!D260</f>
        <v>0</v>
      </c>
      <c r="C287" s="206">
        <f>225*'Données projet'!E260+13.8*('Données projet'!F260+'Données projet'!G260)+10*'Données projet'!H260</f>
        <v>0</v>
      </c>
      <c r="D287" s="191">
        <f t="shared" si="14"/>
        <v>0</v>
      </c>
      <c r="E287" s="206"/>
      <c r="F287" s="262"/>
      <c r="G287" s="222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">
      <c r="A288" s="192">
        <f>'Données projet'!A261</f>
        <v>0</v>
      </c>
      <c r="B288" s="193">
        <f>'Données projet'!D261</f>
        <v>0</v>
      </c>
      <c r="C288" s="206">
        <f>225*'Données projet'!E261+13.8*('Données projet'!F261+'Données projet'!G261)+10*'Données projet'!H261</f>
        <v>0</v>
      </c>
      <c r="D288" s="191">
        <f t="shared" si="14"/>
        <v>0</v>
      </c>
      <c r="E288" s="206"/>
      <c r="F288" s="262"/>
      <c r="G288" s="222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">
      <c r="A289" s="192">
        <f>'Données projet'!A262</f>
        <v>0</v>
      </c>
      <c r="B289" s="193">
        <f>'Données projet'!D262</f>
        <v>0</v>
      </c>
      <c r="C289" s="206">
        <f>225*'Données projet'!E262+13.8*('Données projet'!F262+'Données projet'!G262)+10*'Données projet'!H262</f>
        <v>0</v>
      </c>
      <c r="D289" s="191">
        <f t="shared" si="14"/>
        <v>0</v>
      </c>
      <c r="E289" s="206"/>
      <c r="F289" s="262"/>
      <c r="G289" s="222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">
      <c r="A290" s="192">
        <f>'Données projet'!A263</f>
        <v>0</v>
      </c>
      <c r="B290" s="193">
        <f>'Données projet'!D263</f>
        <v>0</v>
      </c>
      <c r="C290" s="206">
        <f>225*'Données projet'!E263+13.8*('Données projet'!F263+'Données projet'!G263)+10*'Données projet'!H263</f>
        <v>0</v>
      </c>
      <c r="D290" s="191">
        <f t="shared" si="14"/>
        <v>0</v>
      </c>
      <c r="E290" s="206"/>
      <c r="F290" s="262"/>
      <c r="G290" s="222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">
      <c r="A291" s="5"/>
      <c r="B291" s="5"/>
      <c r="C291" s="5"/>
      <c r="D291" s="5"/>
      <c r="E291" s="5"/>
      <c r="F291" s="260"/>
      <c r="G291" s="222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">
      <c r="A292" s="5"/>
      <c r="B292" s="5"/>
      <c r="C292" s="5"/>
      <c r="D292" s="5"/>
      <c r="E292" s="5"/>
      <c r="F292" s="260"/>
      <c r="G292" s="222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0"/>
      <c r="G293" s="222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">
      <c r="A294" s="49"/>
      <c r="B294" s="5"/>
      <c r="C294" s="5"/>
      <c r="D294" s="5"/>
      <c r="E294" s="5"/>
      <c r="F294" s="260"/>
      <c r="G294" s="222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ht="16" x14ac:dyDescent="0.2">
      <c r="A295" s="256" t="s">
        <v>180</v>
      </c>
      <c r="B295" s="51" t="s">
        <v>256</v>
      </c>
      <c r="C295" s="51" t="s">
        <v>255</v>
      </c>
      <c r="D295" s="256" t="s">
        <v>252</v>
      </c>
      <c r="E295" s="256" t="s">
        <v>320</v>
      </c>
      <c r="F295" s="261"/>
      <c r="G295" s="222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ht="16" x14ac:dyDescent="0.2">
      <c r="A296" s="209">
        <v>0</v>
      </c>
      <c r="B296" s="212" t="s">
        <v>132</v>
      </c>
      <c r="C296" s="211" t="s">
        <v>132</v>
      </c>
      <c r="D296" s="210" t="s">
        <v>132</v>
      </c>
      <c r="E296" s="206"/>
      <c r="F296" s="261"/>
      <c r="G296" s="222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ht="16" x14ac:dyDescent="0.2">
      <c r="A297" s="209">
        <v>1</v>
      </c>
      <c r="B297" s="212" t="s">
        <v>132</v>
      </c>
      <c r="C297" s="211" t="s">
        <v>132</v>
      </c>
      <c r="D297" s="210" t="s">
        <v>132</v>
      </c>
      <c r="E297" s="206"/>
      <c r="F297" s="261"/>
      <c r="G297" s="220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ht="16" x14ac:dyDescent="0.2">
      <c r="A298" s="209">
        <v>2</v>
      </c>
      <c r="B298" s="212" t="s">
        <v>132</v>
      </c>
      <c r="C298" s="211" t="s">
        <v>132</v>
      </c>
      <c r="D298" s="210" t="s">
        <v>132</v>
      </c>
      <c r="E298" s="206"/>
      <c r="F298" s="261"/>
      <c r="G298" s="220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ht="16" x14ac:dyDescent="0.2">
      <c r="A299" s="209">
        <v>3</v>
      </c>
      <c r="B299" s="212" t="s">
        <v>132</v>
      </c>
      <c r="C299" s="211" t="s">
        <v>132</v>
      </c>
      <c r="D299" s="210" t="s">
        <v>132</v>
      </c>
      <c r="E299" s="206"/>
      <c r="F299" s="261"/>
      <c r="G299" s="220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ht="16" x14ac:dyDescent="0.2">
      <c r="A300" s="209">
        <v>4</v>
      </c>
      <c r="B300" s="212" t="s">
        <v>132</v>
      </c>
      <c r="C300" s="211" t="s">
        <v>132</v>
      </c>
      <c r="D300" s="210" t="s">
        <v>132</v>
      </c>
      <c r="E300" s="206"/>
      <c r="F300" s="261"/>
      <c r="G300" s="220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ht="16" x14ac:dyDescent="0.2">
      <c r="A301" s="209">
        <v>5</v>
      </c>
      <c r="B301" s="212" t="s">
        <v>132</v>
      </c>
      <c r="C301" s="211" t="s">
        <v>132</v>
      </c>
      <c r="D301" s="210" t="s">
        <v>132</v>
      </c>
      <c r="E301" s="206"/>
      <c r="F301" s="261"/>
      <c r="G301" s="221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">
      <c r="A302" s="192">
        <f>'Données projet'!A270</f>
        <v>0</v>
      </c>
      <c r="B302" s="193">
        <f>'Données projet'!D270</f>
        <v>0</v>
      </c>
      <c r="C302" s="204">
        <f>225*'Données projet'!E270+13.8*('Données projet'!F270+'Données projet'!G270)+10*'Données projet'!H270</f>
        <v>0</v>
      </c>
      <c r="D302" s="194">
        <f>B302*C302</f>
        <v>0</v>
      </c>
      <c r="E302" s="206"/>
      <c r="F302" s="263"/>
      <c r="G302" s="221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">
      <c r="A303" s="192">
        <f>'Données projet'!A271</f>
        <v>0</v>
      </c>
      <c r="B303" s="193">
        <f>'Données projet'!D271</f>
        <v>0</v>
      </c>
      <c r="C303" s="204">
        <f>225*'Données projet'!E271+13.8*('Données projet'!F271+'Données projet'!G271)+10*'Données projet'!H271</f>
        <v>0</v>
      </c>
      <c r="D303" s="194">
        <f t="shared" ref="D303:D321" si="15">B303*C303</f>
        <v>0</v>
      </c>
      <c r="E303" s="206"/>
      <c r="F303" s="263"/>
      <c r="G303" s="221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">
      <c r="A304" s="192">
        <f>'Données projet'!A272</f>
        <v>0</v>
      </c>
      <c r="B304" s="193">
        <f>'Données projet'!D272</f>
        <v>0</v>
      </c>
      <c r="C304" s="204">
        <f>225*'Données projet'!E272+13.8*('Données projet'!F272+'Données projet'!G272)+10*'Données projet'!H272</f>
        <v>0</v>
      </c>
      <c r="D304" s="194">
        <f t="shared" si="15"/>
        <v>0</v>
      </c>
      <c r="E304" s="206"/>
      <c r="F304" s="263"/>
      <c r="G304" s="221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">
      <c r="A305" s="192">
        <f>'Données projet'!A273</f>
        <v>0</v>
      </c>
      <c r="B305" s="193">
        <f>'Données projet'!D273</f>
        <v>0</v>
      </c>
      <c r="C305" s="204">
        <f>225*'Données projet'!E273+13.8*('Données projet'!F273+'Données projet'!G273)+10*'Données projet'!H273</f>
        <v>0</v>
      </c>
      <c r="D305" s="194">
        <f t="shared" si="15"/>
        <v>0</v>
      </c>
      <c r="E305" s="206"/>
      <c r="F305" s="263"/>
      <c r="G305" s="221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">
      <c r="A306" s="192">
        <f>'Données projet'!A274</f>
        <v>0</v>
      </c>
      <c r="B306" s="193">
        <f>'Données projet'!D274</f>
        <v>0</v>
      </c>
      <c r="C306" s="204">
        <f>225*'Données projet'!E274+13.8*('Données projet'!F274+'Données projet'!G274)+10*'Données projet'!H274</f>
        <v>0</v>
      </c>
      <c r="D306" s="194">
        <f t="shared" si="15"/>
        <v>0</v>
      </c>
      <c r="E306" s="206"/>
      <c r="F306" s="263"/>
      <c r="G306" s="221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">
      <c r="A307" s="192">
        <f>'Données projet'!A275</f>
        <v>0</v>
      </c>
      <c r="B307" s="193">
        <f>'Données projet'!D275</f>
        <v>0</v>
      </c>
      <c r="C307" s="204">
        <f>225*'Données projet'!E275+13.8*('Données projet'!F275+'Données projet'!G275)+10*'Données projet'!H275</f>
        <v>0</v>
      </c>
      <c r="D307" s="194">
        <f t="shared" si="15"/>
        <v>0</v>
      </c>
      <c r="E307" s="206"/>
      <c r="F307" s="263"/>
      <c r="G307" s="221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">
      <c r="A308" s="192">
        <f>'Données projet'!A276</f>
        <v>0</v>
      </c>
      <c r="B308" s="193">
        <f>'Données projet'!D276</f>
        <v>0</v>
      </c>
      <c r="C308" s="204">
        <f>225*'Données projet'!E276+13.8*('Données projet'!F276+'Données projet'!G276)+10*'Données projet'!H276</f>
        <v>0</v>
      </c>
      <c r="D308" s="194">
        <f t="shared" si="15"/>
        <v>0</v>
      </c>
      <c r="E308" s="206"/>
      <c r="F308" s="263"/>
      <c r="G308" s="217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">
      <c r="A309" s="192">
        <f>'Données projet'!A277</f>
        <v>0</v>
      </c>
      <c r="B309" s="193">
        <f>'Données projet'!D277</f>
        <v>0</v>
      </c>
      <c r="C309" s="204">
        <f>225*'Données projet'!E277+13.8*('Données projet'!F277+'Données projet'!G277)+10*'Données projet'!H277</f>
        <v>0</v>
      </c>
      <c r="D309" s="194">
        <f t="shared" si="15"/>
        <v>0</v>
      </c>
      <c r="E309" s="206"/>
      <c r="F309" s="263"/>
      <c r="G309" s="217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">
      <c r="A310" s="192">
        <f>'Données projet'!A278</f>
        <v>0</v>
      </c>
      <c r="B310" s="193">
        <f>'Données projet'!D278</f>
        <v>0</v>
      </c>
      <c r="C310" s="204">
        <f>225*'Données projet'!E278+13.8*('Données projet'!F278+'Données projet'!G278)+10*'Données projet'!H278</f>
        <v>0</v>
      </c>
      <c r="D310" s="194">
        <f t="shared" si="15"/>
        <v>0</v>
      </c>
      <c r="E310" s="206"/>
      <c r="F310" s="263"/>
      <c r="G310" s="217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">
      <c r="A311" s="192">
        <f>'Données projet'!A279</f>
        <v>0</v>
      </c>
      <c r="B311" s="193">
        <f>'Données projet'!D279</f>
        <v>0</v>
      </c>
      <c r="C311" s="204">
        <f>225*'Données projet'!E279+13.8*('Données projet'!F279+'Données projet'!G279)+10*'Données projet'!H279</f>
        <v>0</v>
      </c>
      <c r="D311" s="194">
        <f t="shared" si="15"/>
        <v>0</v>
      </c>
      <c r="E311" s="206"/>
      <c r="F311" s="263"/>
      <c r="G311" s="217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">
      <c r="A312" s="192">
        <f>'Données projet'!A280</f>
        <v>0</v>
      </c>
      <c r="B312" s="193">
        <f>'Données projet'!D280</f>
        <v>0</v>
      </c>
      <c r="C312" s="204">
        <f>225*'Données projet'!E280+13.8*('Données projet'!F280+'Données projet'!G280)+10*'Données projet'!H280</f>
        <v>0</v>
      </c>
      <c r="D312" s="194">
        <f t="shared" si="15"/>
        <v>0</v>
      </c>
      <c r="E312" s="206"/>
      <c r="F312" s="263"/>
      <c r="G312" s="217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">
      <c r="A313" s="192">
        <f>'Données projet'!A281</f>
        <v>0</v>
      </c>
      <c r="B313" s="193">
        <f>'Données projet'!D281</f>
        <v>0</v>
      </c>
      <c r="C313" s="204">
        <f>225*'Données projet'!E281+13.8*('Données projet'!F281+'Données projet'!G281)+10*'Données projet'!H281</f>
        <v>0</v>
      </c>
      <c r="D313" s="194">
        <f t="shared" si="15"/>
        <v>0</v>
      </c>
      <c r="E313" s="206"/>
      <c r="F313" s="263"/>
      <c r="G313" s="217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">
      <c r="A314" s="192">
        <f>'Données projet'!A282</f>
        <v>0</v>
      </c>
      <c r="B314" s="193">
        <f>'Données projet'!D282</f>
        <v>0</v>
      </c>
      <c r="C314" s="204">
        <f>225*'Données projet'!E282+13.8*('Données projet'!F282+'Données projet'!G282)+10*'Données projet'!H282</f>
        <v>0</v>
      </c>
      <c r="D314" s="194">
        <f t="shared" si="15"/>
        <v>0</v>
      </c>
      <c r="E314" s="206"/>
      <c r="F314" s="263"/>
      <c r="G314" s="217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">
      <c r="A315" s="192">
        <f>'Données projet'!A283</f>
        <v>0</v>
      </c>
      <c r="B315" s="193">
        <f>'Données projet'!D283</f>
        <v>0</v>
      </c>
      <c r="C315" s="204">
        <f>225*'Données projet'!E283+13.8*('Données projet'!F283+'Données projet'!G283)+10*'Données projet'!H283</f>
        <v>0</v>
      </c>
      <c r="D315" s="194">
        <f t="shared" si="15"/>
        <v>0</v>
      </c>
      <c r="E315" s="206"/>
      <c r="F315" s="263"/>
      <c r="G315" s="217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">
      <c r="A316" s="192">
        <f>'Données projet'!A284</f>
        <v>0</v>
      </c>
      <c r="B316" s="193">
        <f>'Données projet'!D284</f>
        <v>0</v>
      </c>
      <c r="C316" s="204">
        <f>225*'Données projet'!E284+13.8*('Données projet'!F284+'Données projet'!G284)+10*'Données projet'!H284</f>
        <v>0</v>
      </c>
      <c r="D316" s="194">
        <f t="shared" si="15"/>
        <v>0</v>
      </c>
      <c r="E316" s="206"/>
      <c r="F316" s="263"/>
      <c r="G316" s="217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">
      <c r="A317" s="192">
        <f>'Données projet'!A285</f>
        <v>0</v>
      </c>
      <c r="B317" s="193">
        <f>'Données projet'!D285</f>
        <v>0</v>
      </c>
      <c r="C317" s="204">
        <f>225*'Données projet'!E285+13.8*('Données projet'!F285+'Données projet'!G285)+10*'Données projet'!H285</f>
        <v>0</v>
      </c>
      <c r="D317" s="194">
        <f t="shared" si="15"/>
        <v>0</v>
      </c>
      <c r="E317" s="206"/>
      <c r="F317" s="263"/>
      <c r="G317" s="217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">
      <c r="A318" s="192">
        <f>'Données projet'!A286</f>
        <v>0</v>
      </c>
      <c r="B318" s="193">
        <f>'Données projet'!D286</f>
        <v>0</v>
      </c>
      <c r="C318" s="204">
        <f>225*'Données projet'!E286+13.8*('Données projet'!F286+'Données projet'!G286)+10*'Données projet'!H286</f>
        <v>0</v>
      </c>
      <c r="D318" s="194">
        <f t="shared" si="15"/>
        <v>0</v>
      </c>
      <c r="E318" s="206"/>
      <c r="F318" s="263"/>
      <c r="G318" s="217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">
      <c r="A319" s="192">
        <f>'Données projet'!A287</f>
        <v>0</v>
      </c>
      <c r="B319" s="193">
        <f>'Données projet'!D287</f>
        <v>0</v>
      </c>
      <c r="C319" s="204">
        <f>225*'Données projet'!E287+13.8*('Données projet'!F287+'Données projet'!G287)+10*'Données projet'!H287</f>
        <v>0</v>
      </c>
      <c r="D319" s="194">
        <f t="shared" si="15"/>
        <v>0</v>
      </c>
      <c r="E319" s="206"/>
      <c r="F319" s="263"/>
      <c r="G319" s="217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">
      <c r="A320" s="192">
        <f>'Données projet'!A288</f>
        <v>0</v>
      </c>
      <c r="B320" s="193">
        <f>'Données projet'!D288</f>
        <v>0</v>
      </c>
      <c r="C320" s="204">
        <f>225*'Données projet'!E288+13.8*('Données projet'!F288+'Données projet'!G288)+10*'Données projet'!H288</f>
        <v>0</v>
      </c>
      <c r="D320" s="194">
        <f t="shared" si="15"/>
        <v>0</v>
      </c>
      <c r="E320" s="206"/>
      <c r="F320" s="263"/>
      <c r="G320" s="217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">
      <c r="A321" s="192">
        <f>'Données projet'!A289</f>
        <v>0</v>
      </c>
      <c r="B321" s="193">
        <f>'Données projet'!D289</f>
        <v>0</v>
      </c>
      <c r="C321" s="204">
        <f>225*'Données projet'!E289+13.8*('Données projet'!F289+'Données projet'!G289)+10*'Données projet'!H289</f>
        <v>0</v>
      </c>
      <c r="D321" s="194">
        <f t="shared" si="15"/>
        <v>0</v>
      </c>
      <c r="E321" s="206"/>
      <c r="F321" s="263"/>
      <c r="G321" s="217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">
      <c r="G322" s="217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">
      <c r="G323" s="217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">
      <c r="G324" s="217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">
      <c r="G325" s="217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">
      <c r="G326" s="217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">
      <c r="G327" s="217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">
      <c r="A328" s="5"/>
      <c r="B328" s="5"/>
      <c r="C328" s="5"/>
      <c r="D328" s="5"/>
      <c r="E328" s="5"/>
      <c r="F328" s="230"/>
      <c r="G328" s="230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">
      <c r="A329" s="5"/>
      <c r="B329" s="5"/>
      <c r="C329" s="5"/>
      <c r="D329" s="5"/>
      <c r="E329" s="5"/>
      <c r="F329" s="230"/>
      <c r="G329" s="230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">
      <c r="A330" s="5"/>
      <c r="B330" s="5"/>
      <c r="C330" s="5"/>
      <c r="D330" s="5"/>
      <c r="E330" s="5"/>
      <c r="F330" s="230"/>
      <c r="G330" s="230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">
      <c r="A331" s="5"/>
      <c r="B331" s="5"/>
      <c r="C331" s="5"/>
      <c r="D331" s="5"/>
      <c r="E331" s="5"/>
      <c r="F331" s="230"/>
      <c r="G331" s="230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">
      <c r="A332" s="5"/>
      <c r="B332" s="5"/>
      <c r="C332" s="5"/>
      <c r="D332" s="5"/>
      <c r="E332" s="5"/>
      <c r="F332" s="230"/>
      <c r="G332" s="230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">
      <c r="A333" s="5"/>
      <c r="B333" s="5"/>
      <c r="C333" s="5"/>
      <c r="D333" s="5"/>
      <c r="E333" s="5"/>
      <c r="F333" s="230"/>
      <c r="G333" s="230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">
      <c r="A334" s="5"/>
      <c r="B334" s="5"/>
      <c r="C334" s="5"/>
      <c r="D334" s="5"/>
      <c r="E334" s="5"/>
      <c r="F334" s="230"/>
      <c r="G334" s="230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">
      <c r="A335" s="5"/>
      <c r="B335" s="5"/>
      <c r="C335" s="5"/>
      <c r="D335" s="5"/>
      <c r="E335" s="5"/>
      <c r="F335" s="230"/>
      <c r="G335" s="230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">
      <c r="A336" s="5"/>
      <c r="B336" s="5"/>
      <c r="C336" s="5"/>
      <c r="D336" s="5"/>
      <c r="E336" s="5"/>
      <c r="F336" s="230"/>
      <c r="G336" s="230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">
      <c r="A337" s="5"/>
      <c r="B337" s="5"/>
      <c r="C337" s="5"/>
      <c r="D337" s="5"/>
      <c r="E337" s="5"/>
      <c r="F337" s="230"/>
      <c r="G337" s="230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">
      <c r="A338" s="5"/>
      <c r="B338" s="5"/>
      <c r="C338" s="5"/>
      <c r="D338" s="5"/>
      <c r="E338" s="5"/>
      <c r="F338" s="230"/>
      <c r="G338" s="230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">
      <c r="A339" s="5"/>
      <c r="B339" s="5"/>
      <c r="C339" s="5"/>
      <c r="D339" s="5"/>
      <c r="E339" s="5"/>
      <c r="F339" s="230"/>
      <c r="G339" s="230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">
      <c r="A340" s="5"/>
      <c r="B340" s="5"/>
      <c r="C340" s="5"/>
      <c r="D340" s="5"/>
      <c r="E340" s="5"/>
      <c r="F340" s="230"/>
      <c r="G340" s="230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">
      <c r="A341" s="5"/>
      <c r="B341" s="5"/>
      <c r="C341" s="5"/>
      <c r="D341" s="5"/>
      <c r="E341" s="5"/>
      <c r="F341" s="230"/>
      <c r="G341" s="230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">
      <c r="A342" s="5"/>
      <c r="B342" s="5"/>
      <c r="C342" s="5"/>
      <c r="D342" s="5"/>
      <c r="E342" s="5"/>
      <c r="F342" s="230"/>
      <c r="G342" s="230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">
      <c r="A343" s="5"/>
      <c r="B343" s="5"/>
      <c r="C343" s="5"/>
      <c r="D343" s="5"/>
      <c r="E343" s="5"/>
      <c r="F343" s="230"/>
      <c r="G343" s="230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">
      <c r="A344" s="5"/>
      <c r="B344" s="5"/>
      <c r="C344" s="5"/>
      <c r="D344" s="5"/>
      <c r="E344" s="5"/>
      <c r="F344" s="230"/>
      <c r="G344" s="230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">
      <c r="A345" s="5"/>
      <c r="B345" s="5"/>
      <c r="C345" s="5"/>
      <c r="D345" s="5"/>
      <c r="E345" s="5"/>
      <c r="F345" s="230"/>
      <c r="G345" s="230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">
      <c r="A346" s="5"/>
      <c r="B346" s="5"/>
      <c r="C346" s="5"/>
      <c r="D346" s="5"/>
      <c r="E346" s="5"/>
      <c r="F346" s="230"/>
      <c r="G346" s="230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">
      <c r="A347" s="5"/>
      <c r="B347" s="5"/>
      <c r="C347" s="5"/>
      <c r="D347" s="5"/>
      <c r="E347" s="5"/>
      <c r="F347" s="230"/>
      <c r="G347" s="230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">
      <c r="A348" s="5"/>
      <c r="B348" s="5"/>
      <c r="C348" s="5"/>
      <c r="D348" s="5"/>
      <c r="E348" s="5"/>
      <c r="F348" s="230"/>
      <c r="G348" s="230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">
      <c r="A349" s="5"/>
      <c r="B349" s="5"/>
      <c r="C349" s="5"/>
      <c r="D349" s="5"/>
      <c r="E349" s="5"/>
      <c r="F349" s="230"/>
      <c r="G349" s="230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">
      <c r="A350" s="5"/>
      <c r="B350" s="5"/>
      <c r="C350" s="5"/>
      <c r="D350" s="5"/>
      <c r="E350" s="5"/>
      <c r="F350" s="230"/>
      <c r="G350" s="230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">
      <c r="A351" s="5"/>
      <c r="B351" s="5"/>
      <c r="C351" s="5"/>
      <c r="D351" s="5"/>
      <c r="E351" s="5"/>
      <c r="F351" s="230"/>
      <c r="G351" s="230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">
      <c r="A352" s="5"/>
      <c r="B352" s="5"/>
      <c r="C352" s="5"/>
      <c r="D352" s="5"/>
      <c r="E352" s="5"/>
      <c r="F352" s="230"/>
      <c r="G352" s="230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">
      <c r="A353" s="5"/>
      <c r="B353" s="5"/>
      <c r="C353" s="5"/>
      <c r="D353" s="5"/>
      <c r="E353" s="5"/>
      <c r="F353" s="230"/>
      <c r="G353" s="230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">
      <c r="A354" s="5"/>
      <c r="B354" s="5"/>
      <c r="C354" s="5"/>
      <c r="D354" s="5"/>
      <c r="E354" s="5"/>
      <c r="F354" s="230"/>
      <c r="G354" s="230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">
      <c r="A355" s="5"/>
      <c r="B355" s="5"/>
      <c r="C355" s="5"/>
      <c r="D355" s="5"/>
      <c r="E355" s="5"/>
      <c r="F355" s="230"/>
      <c r="G355" s="230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">
      <c r="A356" s="5"/>
      <c r="B356" s="5"/>
      <c r="C356" s="5"/>
      <c r="D356" s="5"/>
      <c r="E356" s="5"/>
      <c r="F356" s="230"/>
      <c r="G356" s="230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">
      <c r="A357" s="5"/>
      <c r="B357" s="5"/>
      <c r="C357" s="5"/>
      <c r="D357" s="5"/>
      <c r="E357" s="5"/>
      <c r="F357" s="230"/>
      <c r="G357" s="230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">
      <c r="A358" s="5"/>
      <c r="B358" s="5"/>
      <c r="C358" s="5"/>
      <c r="D358" s="5"/>
      <c r="E358" s="5"/>
      <c r="F358" s="230"/>
      <c r="G358" s="230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">
      <c r="A359" s="5"/>
      <c r="B359" s="5"/>
      <c r="C359" s="5"/>
      <c r="D359" s="5"/>
      <c r="E359" s="5"/>
      <c r="F359" s="230"/>
      <c r="G359" s="230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">
      <c r="A360" s="5"/>
      <c r="B360" s="5"/>
      <c r="C360" s="5"/>
      <c r="D360" s="5"/>
      <c r="E360" s="5"/>
      <c r="F360" s="230"/>
      <c r="G360" s="230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">
      <c r="A361" s="5"/>
      <c r="B361" s="5"/>
      <c r="C361" s="5"/>
      <c r="D361" s="5"/>
      <c r="E361" s="5"/>
      <c r="F361" s="230"/>
      <c r="G361" s="230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">
      <c r="A362" s="5"/>
      <c r="B362" s="5"/>
      <c r="C362" s="5"/>
      <c r="D362" s="5"/>
      <c r="E362" s="5"/>
      <c r="F362" s="230"/>
      <c r="G362" s="230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">
      <c r="A363" s="5"/>
      <c r="B363" s="5"/>
      <c r="C363" s="5"/>
      <c r="D363" s="5"/>
      <c r="E363" s="5"/>
      <c r="F363" s="230"/>
      <c r="G363" s="230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">
      <c r="A364" s="5"/>
      <c r="B364" s="5"/>
      <c r="C364" s="5"/>
      <c r="D364" s="5"/>
      <c r="E364" s="5"/>
      <c r="F364" s="230"/>
      <c r="G364" s="230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">
      <c r="A365" s="5"/>
      <c r="B365" s="5"/>
      <c r="C365" s="5"/>
      <c r="D365" s="5"/>
      <c r="E365" s="5"/>
      <c r="F365" s="230"/>
      <c r="G365" s="230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">
      <c r="A366" s="5"/>
      <c r="B366" s="5"/>
      <c r="C366" s="5"/>
      <c r="D366" s="5"/>
      <c r="E366" s="5"/>
      <c r="F366" s="230"/>
      <c r="G366" s="230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">
      <c r="A367" s="5"/>
      <c r="B367" s="5"/>
      <c r="C367" s="5"/>
      <c r="D367" s="5"/>
      <c r="E367" s="5"/>
      <c r="F367" s="230"/>
      <c r="G367" s="230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">
      <c r="A368" s="5"/>
      <c r="B368" s="5"/>
      <c r="C368" s="5"/>
      <c r="D368" s="5"/>
      <c r="E368" s="5"/>
      <c r="F368" s="230"/>
      <c r="G368" s="230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">
      <c r="A369" s="5"/>
      <c r="B369" s="5"/>
      <c r="C369" s="5"/>
      <c r="D369" s="5"/>
      <c r="E369" s="5"/>
      <c r="F369" s="230"/>
      <c r="G369" s="230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">
      <c r="A370" s="5"/>
      <c r="B370" s="5"/>
      <c r="C370" s="5"/>
      <c r="D370" s="5"/>
      <c r="E370" s="5"/>
      <c r="F370" s="230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">
      <c r="A371" s="5"/>
      <c r="B371" s="5"/>
      <c r="C371" s="5"/>
      <c r="D371" s="5"/>
      <c r="E371" s="5"/>
      <c r="F371" s="230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">
      <c r="A372" s="5"/>
      <c r="B372" s="5"/>
      <c r="C372" s="5"/>
      <c r="D372" s="5"/>
      <c r="E372" s="5"/>
      <c r="F372" s="230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">
      <c r="A373" s="5"/>
      <c r="B373" s="5"/>
      <c r="C373" s="5"/>
      <c r="D373" s="5"/>
      <c r="E373" s="5"/>
      <c r="F373" s="230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">
      <c r="A374" s="5"/>
      <c r="B374" s="5"/>
      <c r="C374" s="5"/>
      <c r="D374" s="5"/>
      <c r="E374" s="5"/>
      <c r="F374" s="230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">
      <c r="A375" s="5"/>
      <c r="B375" s="5"/>
      <c r="C375" s="5"/>
      <c r="D375" s="5"/>
      <c r="E375" s="5"/>
      <c r="F375" s="230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">
      <c r="A376" s="5"/>
      <c r="B376" s="5"/>
      <c r="C376" s="5"/>
      <c r="D376" s="5"/>
      <c r="E376" s="5"/>
      <c r="F376" s="230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">
      <c r="A377" s="5"/>
      <c r="B377" s="5"/>
      <c r="C377" s="5"/>
      <c r="D377" s="5"/>
      <c r="E377" s="5"/>
      <c r="F377" s="230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">
      <c r="A378" s="5"/>
      <c r="B378" s="5"/>
      <c r="C378" s="5"/>
      <c r="D378" s="5"/>
      <c r="E378" s="5"/>
      <c r="F378" s="230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">
      <c r="A379" s="5"/>
      <c r="B379" s="5"/>
      <c r="C379" s="5"/>
      <c r="D379" s="5"/>
      <c r="E379" s="5"/>
      <c r="F379" s="230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">
      <c r="A380" s="5"/>
      <c r="B380" s="5"/>
      <c r="C380" s="5"/>
      <c r="D380" s="5"/>
      <c r="E380" s="5"/>
      <c r="F380" s="230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">
      <c r="A381" s="5"/>
      <c r="B381" s="5"/>
      <c r="C381" s="5"/>
      <c r="D381" s="5"/>
      <c r="E381" s="5"/>
      <c r="F381" s="230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">
      <c r="A382" s="5"/>
      <c r="B382" s="5"/>
      <c r="C382" s="5"/>
      <c r="D382" s="5"/>
      <c r="E382" s="5"/>
      <c r="F382" s="230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">
      <c r="A383" s="5"/>
      <c r="B383" s="5"/>
      <c r="C383" s="5"/>
      <c r="D383" s="5"/>
      <c r="E383" s="5"/>
      <c r="F383" s="230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">
      <c r="A384" s="5"/>
      <c r="B384" s="5"/>
      <c r="C384" s="5"/>
      <c r="D384" s="5"/>
      <c r="E384" s="5"/>
      <c r="F384" s="230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">
      <c r="A385" s="5"/>
      <c r="B385" s="5"/>
      <c r="C385" s="5"/>
      <c r="D385" s="5"/>
      <c r="E385" s="5"/>
      <c r="F385" s="230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">
      <c r="A386" s="5"/>
      <c r="B386" s="5"/>
      <c r="C386" s="5"/>
      <c r="D386" s="5"/>
      <c r="E386" s="5"/>
      <c r="F386" s="230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">
      <c r="A387" s="5"/>
      <c r="B387" s="5"/>
      <c r="C387" s="5"/>
      <c r="D387" s="5"/>
      <c r="E387" s="5"/>
      <c r="F387" s="230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">
      <c r="A388" s="5"/>
      <c r="B388" s="5"/>
      <c r="C388" s="5"/>
      <c r="D388" s="5"/>
      <c r="E388" s="5"/>
      <c r="F388" s="230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">
      <c r="A389" s="5"/>
      <c r="B389" s="5"/>
      <c r="C389" s="5"/>
      <c r="D389" s="5"/>
      <c r="E389" s="5"/>
      <c r="F389" s="230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">
      <c r="A390" s="5"/>
      <c r="B390" s="5"/>
      <c r="C390" s="5"/>
      <c r="D390" s="5"/>
      <c r="E390" s="5"/>
      <c r="F390" s="230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">
      <c r="A391" s="5"/>
      <c r="B391" s="5"/>
      <c r="C391" s="5"/>
      <c r="D391" s="5"/>
      <c r="E391" s="5"/>
      <c r="F391" s="230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">
      <c r="A392" s="5"/>
      <c r="B392" s="5"/>
      <c r="C392" s="5"/>
      <c r="D392" s="5"/>
      <c r="E392" s="5"/>
      <c r="F392" s="230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">
      <c r="A393" s="5"/>
      <c r="B393" s="5"/>
      <c r="C393" s="5"/>
      <c r="D393" s="5"/>
      <c r="E393" s="5"/>
      <c r="F393" s="230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">
      <c r="A394" s="5"/>
      <c r="B394" s="5"/>
      <c r="C394" s="5"/>
      <c r="D394" s="5"/>
      <c r="E394" s="5"/>
      <c r="F394" s="230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">
      <c r="A395" s="5"/>
      <c r="B395" s="5"/>
      <c r="C395" s="5"/>
      <c r="D395" s="5"/>
      <c r="E395" s="5"/>
      <c r="F395" s="230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Microsoft Office User</cp:lastModifiedBy>
  <dcterms:created xsi:type="dcterms:W3CDTF">2021-02-01T08:22:39Z</dcterms:created>
  <dcterms:modified xsi:type="dcterms:W3CDTF">2024-10-25T09:18:37Z</dcterms:modified>
</cp:coreProperties>
</file>