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njaminGalliot\Downloads\"/>
    </mc:Choice>
  </mc:AlternateContent>
  <xr:revisionPtr revIDLastSave="0" documentId="13_ncr:1_{46114E7F-7820-4E7A-8F40-5656BD88F0C6}" xr6:coauthVersionLast="47" xr6:coauthVersionMax="47" xr10:uidLastSave="{00000000-0000-0000-0000-000000000000}"/>
  <bookViews>
    <workbookView xWindow="-120" yWindow="-120" windowWidth="20730" windowHeight="1116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6" l="1"/>
  <c r="P33" i="6"/>
  <c r="I25" i="6"/>
  <c r="E79" i="6"/>
  <c r="J44" i="1"/>
  <c r="B44" i="1"/>
  <c r="K37" i="1"/>
  <c r="J41" i="1" s="1"/>
  <c r="D71" i="1"/>
  <c r="K70" i="1"/>
  <c r="K69" i="1"/>
  <c r="K67" i="1"/>
  <c r="K65" i="1"/>
  <c r="K63" i="1"/>
  <c r="J39" i="1"/>
  <c r="J40" i="1"/>
  <c r="J42" i="1"/>
  <c r="J43" i="1"/>
  <c r="J38" i="1"/>
  <c r="J62" i="1"/>
  <c r="J37" i="1"/>
  <c r="J36" i="1"/>
  <c r="L71" i="1"/>
  <c r="B71" i="1"/>
  <c r="J63" i="1"/>
  <c r="J68" i="1"/>
  <c r="K64" i="1"/>
  <c r="K66" i="1"/>
  <c r="K68" i="1"/>
  <c r="K71" i="1"/>
  <c r="K62" i="1"/>
  <c r="J65" i="1" s="1"/>
  <c r="I24" i="6"/>
  <c r="I23" i="6"/>
  <c r="I22" i="6"/>
  <c r="I21" i="6"/>
  <c r="I20" i="6"/>
  <c r="E48" i="6"/>
  <c r="E17" i="6"/>
  <c r="B90" i="1"/>
  <c r="D90" i="1" s="1"/>
  <c r="B91" i="1" s="1"/>
  <c r="D91" i="1" s="1"/>
  <c r="D89" i="1"/>
  <c r="B70" i="1"/>
  <c r="B69" i="1"/>
  <c r="B68" i="1"/>
  <c r="B67" i="1"/>
  <c r="B66" i="1"/>
  <c r="B65" i="1"/>
  <c r="B64" i="1"/>
  <c r="B63" i="1"/>
  <c r="B43" i="1"/>
  <c r="B39" i="1"/>
  <c r="F9" i="1" a="1"/>
  <c r="F9" i="1" s="1"/>
  <c r="J70" i="1" l="1"/>
  <c r="J66" i="1"/>
  <c r="B41" i="1"/>
  <c r="J64" i="1"/>
  <c r="B38" i="1"/>
  <c r="B42" i="1"/>
  <c r="J71" i="1"/>
  <c r="J67" i="1"/>
  <c r="B40" i="1"/>
  <c r="J69" i="1"/>
  <c r="B92" i="1"/>
  <c r="D44" i="1"/>
  <c r="F10" i="1" a="1"/>
  <c r="F10" i="1" s="1"/>
  <c r="F14" i="1" a="1"/>
  <c r="F14" i="1" s="1"/>
  <c r="D92" i="1" l="1"/>
  <c r="B93" i="1" s="1"/>
  <c r="C19" i="7"/>
  <c r="D93" i="1" l="1"/>
  <c r="B94" i="1" s="1"/>
  <c r="D94" i="1" s="1"/>
  <c r="AF205" i="2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CQ205" i="2" l="1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BR4" i="2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FS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I28" i="2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EB33" i="2"/>
  <c r="EW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G75" i="2"/>
  <c r="HH75" i="2"/>
  <c r="FS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W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A107" i="2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C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HI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C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FS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X144" i="2"/>
  <c r="FR144" i="2"/>
  <c r="EB144" i="2"/>
  <c r="HH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A145" i="2"/>
  <c r="EX145" i="2"/>
  <c r="FR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AC154" i="2"/>
  <c r="EW155" i="2"/>
  <c r="EX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FS156" i="2"/>
  <c r="HI156" i="2"/>
  <c r="EX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X157" i="2"/>
  <c r="HG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I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FS160" i="2"/>
  <c r="ED159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HG161" i="2"/>
  <c r="EA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EB163" i="2"/>
  <c r="HG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FR164" i="2"/>
  <c r="HG164" i="2"/>
  <c r="DH164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I167" i="2"/>
  <c r="EB168" i="2"/>
  <c r="HI168" i="2"/>
  <c r="DG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A172" i="2"/>
  <c r="HI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HJ172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AA175" i="2"/>
  <c r="EA175" i="2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HG178" i="2"/>
  <c r="FS178" i="2"/>
  <c r="FQ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HI179" i="2"/>
  <c r="EB179" i="2"/>
  <c r="HH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EC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I185" i="2"/>
  <c r="EW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EB190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HI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EA195" i="2"/>
  <c r="EX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EC197" i="2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B199" i="2"/>
  <c r="FS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ED200" i="2"/>
  <c r="DI200" i="2"/>
  <c r="HG201" i="2" l="1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3" i="2" a="1"/>
  <c r="DN153" i="2" s="1"/>
  <c r="EI195" i="2" a="1"/>
  <c r="EI195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49" i="2" a="1"/>
  <c r="DN49" i="2" s="1"/>
  <c r="DN31" i="2" a="1"/>
  <c r="DN31" i="2" s="1"/>
  <c r="DN65" i="2" a="1"/>
  <c r="DN65" i="2" s="1"/>
  <c r="DN6" i="2" a="1"/>
  <c r="DN6" i="2" s="1"/>
  <c r="DO6" i="2" s="1"/>
  <c r="DN46" i="2" a="1"/>
  <c r="DN46" i="2" s="1"/>
  <c r="HJ202" i="2"/>
  <c r="EY202" i="2"/>
  <c r="AX200" i="2"/>
  <c r="CS24" i="2" l="1" a="1"/>
  <c r="CS24" i="2" s="1"/>
  <c r="FD194" i="2" a="1"/>
  <c r="FD194" i="2" s="1"/>
  <c r="FY149" i="2" a="1"/>
  <c r="FY149" i="2" s="1"/>
  <c r="FD44" i="2" a="1"/>
  <c r="FD44" i="2" s="1"/>
  <c r="FY92" i="2" a="1"/>
  <c r="FY92" i="2" s="1"/>
  <c r="CS105" i="2" a="1"/>
  <c r="CS105" i="2" s="1"/>
  <c r="FY18" i="2" a="1"/>
  <c r="FY18" i="2" s="1"/>
  <c r="FD19" i="2" a="1"/>
  <c r="FD19" i="2" s="1"/>
  <c r="FY167" i="2" a="1"/>
  <c r="FY167" i="2" s="1"/>
  <c r="FY62" i="2" a="1"/>
  <c r="FY62" i="2" s="1"/>
  <c r="FY186" i="2" a="1"/>
  <c r="FY186" i="2" s="1"/>
  <c r="FY35" i="2" a="1"/>
  <c r="FY35" i="2" s="1"/>
  <c r="FD82" i="2" a="1"/>
  <c r="FD82" i="2" s="1"/>
  <c r="CS56" i="2" a="1"/>
  <c r="CS56" i="2" s="1"/>
  <c r="FD107" i="2" a="1"/>
  <c r="FD107" i="2" s="1"/>
  <c r="FY42" i="2" a="1"/>
  <c r="FY42" i="2" s="1"/>
  <c r="FY55" i="2" a="1"/>
  <c r="FY55" i="2" s="1"/>
  <c r="FY191" i="2" a="1"/>
  <c r="FY191" i="2" s="1"/>
  <c r="FY22" i="2" a="1"/>
  <c r="FY22" i="2" s="1"/>
  <c r="CS134" i="2" a="1"/>
  <c r="CS134" i="2" s="1"/>
  <c r="CS185" i="2" a="1"/>
  <c r="CS185" i="2" s="1"/>
  <c r="FD64" i="2" a="1"/>
  <c r="FD64" i="2" s="1"/>
  <c r="FY115" i="2" a="1"/>
  <c r="FY115" i="2" s="1"/>
  <c r="CS52" i="2" a="1"/>
  <c r="CS52" i="2" s="1"/>
  <c r="FY172" i="2" a="1"/>
  <c r="FY172" i="2" s="1"/>
  <c r="FY78" i="2" a="1"/>
  <c r="FY78" i="2" s="1"/>
  <c r="FY69" i="2" a="1"/>
  <c r="FY69" i="2" s="1"/>
  <c r="FY50" i="2" a="1"/>
  <c r="FY50" i="2" s="1"/>
  <c r="BX107" i="2" a="1"/>
  <c r="BX107" i="2" s="1"/>
  <c r="CS120" i="2" a="1"/>
  <c r="CS120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CS116" i="2" a="1"/>
  <c r="CS116" i="2" s="1"/>
  <c r="CS66" i="2" a="1"/>
  <c r="CS66" i="2" s="1"/>
  <c r="FD59" i="2" a="1"/>
  <c r="FD59" i="2" s="1"/>
  <c r="FY104" i="2" a="1"/>
  <c r="FY104" i="2" s="1"/>
  <c r="FY24" i="2" a="1"/>
  <c r="FY24" i="2" s="1"/>
  <c r="FY190" i="2" a="1"/>
  <c r="FY190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CS72" i="2" a="1"/>
  <c r="CS72" i="2" s="1"/>
  <c r="CS114" i="2" a="1"/>
  <c r="CS114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CS77" i="2" a="1"/>
  <c r="CS77" i="2" s="1"/>
  <c r="FD144" i="2" a="1"/>
  <c r="FD144" i="2" s="1"/>
  <c r="FY34" i="2" a="1"/>
  <c r="FY34" i="2" s="1"/>
  <c r="FY124" i="2" a="1"/>
  <c r="FY124" i="2" s="1"/>
  <c r="FY72" i="2" a="1"/>
  <c r="FY7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FD159" i="2" a="1"/>
  <c r="FD159" i="2" s="1"/>
  <c r="FD43" i="2" a="1"/>
  <c r="FD43" i="2" s="1"/>
  <c r="FD48" i="2" a="1"/>
  <c r="FD48" i="2" s="1"/>
  <c r="FY121" i="2" a="1"/>
  <c r="FY121" i="2" s="1"/>
  <c r="FY30" i="2" a="1"/>
  <c r="FY30" i="2" s="1"/>
  <c r="FY182" i="2" a="1"/>
  <c r="FY182" i="2" s="1"/>
  <c r="CS38" i="2" a="1"/>
  <c r="CS38" i="2" s="1"/>
  <c r="CS137" i="2" a="1"/>
  <c r="CS137" i="2" s="1"/>
  <c r="CS129" i="2" a="1"/>
  <c r="CS129" i="2" s="1"/>
  <c r="FD21" i="2" a="1"/>
  <c r="FD21" i="2" s="1"/>
  <c r="FY164" i="2" a="1"/>
  <c r="FY164" i="2" s="1"/>
  <c r="FY169" i="2" a="1"/>
  <c r="FY169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DN113" i="2" a="1"/>
  <c r="DN113" i="2" s="1"/>
  <c r="DN29" i="2" a="1"/>
  <c r="DN29" i="2" s="1"/>
  <c r="DN103" i="2" a="1"/>
  <c r="DN103" i="2" s="1"/>
  <c r="DN188" i="2" a="1"/>
  <c r="DN188" i="2" s="1"/>
  <c r="DN137" i="2" a="1"/>
  <c r="DN137" i="2" s="1"/>
  <c r="FS203" i="2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63" i="2" a="1"/>
  <c r="DN63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55" i="2" a="1"/>
  <c r="DN155" i="2" s="1"/>
  <c r="DN56" i="2" a="1"/>
  <c r="DN56" i="2" s="1"/>
  <c r="DN187" i="2" a="1"/>
  <c r="DN187" i="2" s="1"/>
  <c r="DN45" i="2" a="1"/>
  <c r="DN45" i="2" s="1"/>
  <c r="DN30" i="2" a="1"/>
  <c r="DN30" i="2" s="1"/>
  <c r="DN190" i="2" a="1"/>
  <c r="DN190" i="2" s="1"/>
  <c r="DN55" i="2" a="1"/>
  <c r="DN55" i="2" s="1"/>
  <c r="DN16" i="2" a="1"/>
  <c r="DN16" i="2" s="1"/>
  <c r="DN135" i="2" a="1"/>
  <c r="DN135" i="2" s="1"/>
  <c r="DN80" i="2" a="1"/>
  <c r="DN80" i="2" s="1"/>
  <c r="DN123" i="2" a="1"/>
  <c r="DN12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133" i="2" a="1"/>
  <c r="DN133" i="2" s="1"/>
  <c r="DN110" i="2" a="1"/>
  <c r="DN110" i="2" s="1"/>
  <c r="DN162" i="2" a="1"/>
  <c r="DN162" i="2" s="1"/>
  <c r="DN38" i="2" a="1"/>
  <c r="DN38" i="2" s="1"/>
  <c r="DN114" i="2" a="1"/>
  <c r="DN114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BC18" i="2" a="1"/>
  <c r="BC18" i="2" s="1"/>
  <c r="BC84" i="2" a="1"/>
  <c r="BC84" i="2" s="1"/>
  <c r="BC126" i="2" a="1"/>
  <c r="BC126" i="2" s="1"/>
  <c r="BC185" i="2" a="1"/>
  <c r="BC185" i="2" s="1"/>
  <c r="BC31" i="2" a="1"/>
  <c r="BC31" i="2" s="1"/>
  <c r="BC114" i="2" a="1"/>
  <c r="BC114" i="2" s="1"/>
  <c r="BC32" i="2" a="1"/>
  <c r="BC32" i="2" s="1"/>
  <c r="BC82" i="2" a="1"/>
  <c r="BC82" i="2" s="1"/>
  <c r="BC164" i="2" a="1"/>
  <c r="BC164" i="2" s="1"/>
  <c r="BC47" i="2" a="1"/>
  <c r="BC47" i="2" s="1"/>
  <c r="BC38" i="2" a="1"/>
  <c r="BC38" i="2" s="1"/>
  <c r="BC151" i="2" a="1"/>
  <c r="BC151" i="2" s="1"/>
  <c r="BC192" i="2" a="1"/>
  <c r="BC192" i="2" s="1"/>
  <c r="BC68" i="2" a="1"/>
  <c r="BC68" i="2" s="1"/>
  <c r="BC7" i="2" a="1"/>
  <c r="BC7" i="2" s="1"/>
  <c r="BC55" i="2" a="1"/>
  <c r="BC55" i="2" s="1"/>
  <c r="BC58" i="2" a="1"/>
  <c r="BC58" i="2" s="1"/>
  <c r="BC83" i="2" a="1"/>
  <c r="BC83" i="2" s="1"/>
  <c r="BC34" i="2" a="1"/>
  <c r="BC34" i="2" s="1"/>
  <c r="BC130" i="2" a="1"/>
  <c r="BC130" i="2" s="1"/>
  <c r="BC143" i="2" a="1"/>
  <c r="BC143" i="2" s="1"/>
  <c r="BC117" i="2" a="1"/>
  <c r="BC117" i="2" s="1"/>
  <c r="BC181" i="2" a="1"/>
  <c r="BC181" i="2" s="1"/>
  <c r="BC65" i="2" a="1"/>
  <c r="BC65" i="2" s="1"/>
  <c r="AH151" i="2" a="1"/>
  <c r="AH151" i="2" s="1"/>
  <c r="AH92" i="2" a="1"/>
  <c r="AH92" i="2" s="1"/>
  <c r="AH199" i="2" a="1"/>
  <c r="AH199" i="2" s="1"/>
  <c r="AH62" i="2" a="1"/>
  <c r="AH62" i="2" s="1"/>
  <c r="AH90" i="2" a="1"/>
  <c r="AH90" i="2" s="1"/>
  <c r="AH163" i="2" a="1"/>
  <c r="AH163" i="2" s="1"/>
  <c r="AH166" i="2" a="1"/>
  <c r="AH166" i="2" s="1"/>
  <c r="AH19" i="2" a="1"/>
  <c r="AH19" i="2" s="1"/>
  <c r="BP203" i="2"/>
  <c r="HH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tc={4A0400C6-0FE0-49AA-A963-DBFB06C94B2C}</author>
    <author>tc={13757446-3884-41FD-8E6F-5A6EB8657EDF}</author>
  </authors>
  <commentList>
    <comment ref="B71" authorId="0" shapeId="0" xr:uid="{4A0400C6-0FE0-49AA-A963-DBFB06C94B2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Accroissement moyen entre 66 ans et 74 ans (prochaine ligne dans la table de production)</t>
      </text>
    </comment>
    <comment ref="D89" authorId="1" shapeId="0" xr:uid="{13757446-3884-41FD-8E6F-5A6EB8657ED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La table ne prenant pas en compte les éclaircies, des éclaircies de 15% du volume de bois fort (éclaircie légère classique de futaie régulière) est appliquée tout les 10 ans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tc={49084965-B1C4-48BC-A180-956275BBFE39}</author>
    <author>tc={6BF4BD03-DD59-4172-B798-3FA339491465}</author>
    <author>tc={9F399BFD-E5D1-4A0B-845C-CEAA03D50FF4}</author>
    <author>tc={93802781-D135-431C-92E2-B9412884DC57}</author>
    <author>tc={1AE99556-B2BA-402F-B899-B72D83362102}</author>
    <author>tc={20845C56-3ED5-45F0-BE78-BF9943EE214C}</author>
    <author>tc={F95CFDC0-102F-46E9-91BD-DAFA3F805FE8}</author>
  </authors>
  <commentList>
    <comment ref="E17" authorId="0" shapeId="0" xr:uid="{49084965-B1C4-48BC-A180-956275BBFE3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devis</t>
      </text>
    </comment>
    <comment ref="N18" authorId="1" shapeId="0" xr:uid="{6BF4BD03-DD59-4172-B798-3FA33949146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Peu de colonisation naturelle sur la parcelle (en friche depuis 7 ans), ainsi le propriétaire ne pourrait vendre que du BE (4 à 6 € la tonne) hormis les quelques feuillus déjà présents durant l'exploitation agricole de la parcelle (50€ du m3) </t>
      </text>
    </comment>
    <comment ref="I20" authorId="2" shapeId="0" xr:uid="{9F399BFD-E5D1-4A0B-845C-CEAA03D50FF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deivs</t>
      </text>
    </comment>
    <comment ref="C24" authorId="3" shapeId="0" xr:uid="{93802781-D135-431C-92E2-B9412884DC5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Bois Energie</t>
      </text>
    </comment>
    <comment ref="C31" authorId="4" shapeId="0" xr:uid="{1AE99556-B2BA-402F-B899-B72D8336210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Robinier à vocation de Bois d'Oeuvre, petit sciage (80€ m3) et piquet (30 € du m3)</t>
      </text>
    </comment>
    <comment ref="E48" authorId="5" shapeId="0" xr:uid="{20845C56-3ED5-45F0-BE78-BF9943EE214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devis</t>
      </text>
    </comment>
    <comment ref="E79" authorId="6" shapeId="0" xr:uid="{F95CFDC0-102F-46E9-91BD-DAFA3F805FE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devis</t>
      </text>
    </comment>
  </commentList>
</comments>
</file>

<file path=xl/sharedStrings.xml><?xml version="1.0" encoding="utf-8"?>
<sst xmlns="http://schemas.openxmlformats.org/spreadsheetml/2006/main" count="1194" uniqueCount="333">
  <si>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</si>
  <si>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</si>
  <si>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</si>
  <si>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</si>
  <si>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</si>
  <si>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</si>
  <si>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</si>
  <si>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</si>
  <si>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</si>
  <si>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</si>
  <si>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</si>
  <si>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</si>
  <si>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</si>
  <si>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</si>
  <si>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</si>
  <si>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</si>
  <si>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Robinier faux-acacia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</si>
  <si>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</si>
  <si>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</si>
  <si>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</si>
  <si>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</si>
  <si>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Cèdre de l'Atlas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</si>
  <si>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</si>
  <si>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</si>
  <si>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</si>
  <si>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</si>
  <si>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</si>
  <si>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</si>
  <si>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</si>
  <si>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</si>
  <si>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</si>
  <si>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</si>
  <si>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</si>
  <si>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</si>
  <si>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</si>
  <si>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</si>
  <si>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</si>
  <si>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</si>
  <si>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</si>
  <si>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</si>
  <si>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</si>
  <si>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</si>
  <si>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</si>
  <si>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</si>
  <si>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</si>
  <si>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</si>
  <si>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</si>
  <si>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</si>
  <si>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</si>
  <si>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</si>
  <si>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</si>
  <si>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</si>
  <si>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</si>
  <si>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</si>
  <si>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</si>
  <si>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</si>
  <si>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</si>
  <si>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</si>
  <si>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</si>
  <si>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</si>
  <si>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</si>
  <si>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</si>
  <si>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</si>
  <si>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</si>
  <si>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</si>
  <si>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</si>
  <si>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</si>
  <si>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</si>
  <si>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</si>
  <si>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</si>
  <si>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</si>
  <si>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</si>
  <si>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</si>
  <si>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</si>
  <si>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</si>
  <si>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</si>
  <si>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</si>
  <si>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</si>
  <si>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</si>
  <si>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</si>
  <si>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</si>
  <si>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</si>
  <si>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</si>
  <si>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</si>
  <si>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</si>
  <si>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</si>
  <si>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</si>
  <si>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</si>
  <si>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</si>
  <si>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</si>
  <si>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</si>
  <si>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</si>
  <si>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</si>
  <si>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</si>
  <si>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</si>
  <si>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</si>
  <si>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</si>
  <si>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</si>
  <si>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</si>
  <si>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</si>
  <si>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</si>
  <si>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</si>
  <si>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</si>
  <si>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</si>
  <si>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</si>
  <si>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</si>
  <si>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</si>
  <si>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</si>
  <si>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</si>
  <si>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</si>
  <si>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</si>
  <si>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</si>
  <si>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</si>
  <si>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</si>
  <si>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</si>
  <si>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</si>
  <si>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</si>
  <si>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</si>
  <si>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</si>
  <si>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</si>
  <si>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</si>
  <si>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</si>
  <si>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</si>
  <si>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</si>
  <si>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</si>
  <si>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</si>
  <si>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</si>
  <si>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</si>
  <si>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</si>
  <si>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</si>
  <si>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</si>
  <si>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</si>
  <si>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</si>
  <si>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</si>
  <si>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</si>
  <si>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</si>
  <si>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</si>
  <si>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</si>
  <si>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</si>
  <si>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</si>
  <si>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</si>
  <si>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</si>
  <si>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</si>
  <si>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</si>
  <si>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</si>
  <si>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</si>
  <si>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</si>
  <si>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</si>
  <si>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</si>
  <si>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</si>
  <si>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</si>
  <si>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</si>
  <si>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</si>
  <si>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</si>
  <si>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</si>
  <si>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</si>
  <si>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</si>
  <si>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</si>
  <si>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</si>
  <si>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</si>
  <si>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</si>
  <si>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</si>
  <si>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</si>
  <si>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</si>
  <si>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</si>
  <si>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</si>
  <si>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</si>
  <si>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</si>
  <si>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</si>
  <si>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</si>
  <si>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</si>
  <si>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</si>
  <si>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</si>
  <si>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</si>
  <si>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</si>
  <si>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</si>
  <si>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</si>
  <si>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</si>
  <si>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</si>
  <si>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</si>
  <si>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</si>
  <si>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</si>
  <si>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</si>
  <si>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</si>
  <si>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</si>
  <si>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</si>
  <si>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</si>
  <si>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</si>
  <si>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</si>
  <si>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</si>
  <si>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</si>
  <si>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</si>
  <si>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</si>
  <si>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</si>
  <si>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</si>
  <si>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</si>
  <si>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</si>
  <si>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</si>
  <si>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</si>
  <si>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</si>
  <si>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</si>
  <si>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</si>
  <si>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</si>
  <si>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</si>
  <si>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</si>
  <si>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</si>
  <si>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</si>
  <si>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</si>
  <si>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</si>
  <si>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</si>
  <si>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</si>
  <si>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</si>
  <si>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</si>
  <si>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</si>
  <si>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</si>
  <si>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</si>
  <si>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</si>
  <si>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</si>
  <si>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</si>
  <si>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</si>
  <si>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</si>
  <si>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</si>
  <si>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</si>
  <si>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</si>
  <si>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</si>
  <si>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</si>
  <si>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</si>
  <si>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</si>
  <si>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</si>
  <si>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</si>
  <si>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</si>
  <si>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</si>
  <si>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</si>
  <si>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</si>
  <si>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</si>
  <si>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</si>
  <si>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</si>
  <si>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</si>
  <si>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</si>
  <si>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</si>
  <si>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</si>
  <si>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</si>
  <si>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</si>
  <si>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</si>
  <si>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</si>
  <si>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</si>
  <si>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</si>
  <si>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</si>
  <si>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</si>
  <si>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</si>
  <si>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</si>
  <si>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</si>
  <si>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</si>
  <si>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</si>
  <si>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</si>
  <si>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</si>
  <si>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</si>
  <si>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</si>
  <si>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</si>
  <si>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</si>
  <si>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</si>
  <si>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</si>
  <si>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</si>
  <si>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</si>
  <si>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</si>
  <si>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</si>
  <si>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</si>
  <si>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</si>
  <si>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</si>
  <si>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</si>
  <si>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</si>
  <si>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</si>
  <si>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</si>
  <si>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</si>
  <si>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</si>
  <si>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</si>
  <si>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</si>
  <si>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</si>
  <si>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</si>
  <si>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</si>
  <si>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</si>
  <si>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</si>
  <si>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</si>
  <si>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</si>
  <si>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</si>
  <si>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</si>
  <si>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</si>
  <si>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</si>
  <si>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</si>
  <si>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</si>
  <si>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</si>
  <si>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</si>
  <si>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</si>
  <si>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</si>
  <si>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</si>
  <si>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</si>
  <si>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</si>
  <si>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</si>
  <si>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</si>
  <si>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</si>
  <si>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</si>
  <si>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</si>
  <si>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</si>
  <si>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</si>
  <si>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</si>
  <si>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</si>
  <si>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</si>
  <si>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</si>
  <si>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</si>
  <si>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</si>
  <si>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</si>
  <si>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</si>
  <si>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</si>
  <si>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</si>
  <si>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</si>
  <si>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</si>
  <si>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</si>
  <si>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</si>
  <si>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</si>
  <si>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</si>
  <si>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</si>
  <si>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</si>
  <si>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</si>
  <si>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</si>
  <si>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Classe 2 fertilité</t>
  </si>
  <si>
    <t>Volume dans table croissance</t>
  </si>
  <si>
    <t>Le Volume bois fort (m³/ha) des années suivantes = Volume dans table croissance (année x) - somme (Volume bois fort prélevé (m³/ha) années précédentes)</t>
  </si>
  <si>
    <t>Dans la table de croissance, il y a uniquement le volume à 74 ans. Ainsi, on fait la moyenne entre le volume à 66 ans (816) et le volume à 74 ans (919).</t>
  </si>
  <si>
    <t>Volume bois fort prélevé
prélevé (m³/ha)</t>
  </si>
  <si>
    <t>Eclaircie dans table de croissance</t>
  </si>
  <si>
    <t>Commentaire calculs "Volume bois fort (m³/ha)"</t>
  </si>
  <si>
    <t>Commentaire calculs "Volume bois fort prélevé
prélevé (m³/ha)"</t>
  </si>
  <si>
    <t>Le calcul ici se fait en prenant le volume d'éclaircie de l'année dans la table de croissance en ajoutant le volume d'éclaircie de l'année précédente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</si>
</sst>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center" vertical="center" wrapText="1"/>
      <protection locked="0" hidden="1"/>
    </xf>
    <xf numFmtId="164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98.512724786915555</c:v>
                </c:pt>
                <c:pt idx="7">
                  <c:v>126.67054710265984</c:v>
                </c:pt>
                <c:pt idx="8">
                  <c:v>154.67586795026543</c:v>
                </c:pt>
                <c:pt idx="9">
                  <c:v>182.56031510693728</c:v>
                </c:pt>
                <c:pt idx="10">
                  <c:v>210.34498910896306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302.92383728372158</c:v>
                </c:pt>
                <c:pt idx="17">
                  <c:v>327.31446347781906</c:v>
                </c:pt>
                <c:pt idx="18">
                  <c:v>351.66496710247708</c:v>
                </c:pt>
                <c:pt idx="19">
                  <c:v>375.97851488636002</c:v>
                </c:pt>
                <c:pt idx="20">
                  <c:v>400.25783072357075</c:v>
                </c:pt>
                <c:pt idx="21">
                  <c:v>420.65851904468514</c:v>
                </c:pt>
                <c:pt idx="22">
                  <c:v>441.03790679131725</c:v>
                </c:pt>
                <c:pt idx="23">
                  <c:v>461.39711602837787</c:v>
                </c:pt>
                <c:pt idx="24">
                  <c:v>481.73716178290874</c:v>
                </c:pt>
                <c:pt idx="25">
                  <c:v>502.05896643512546</c:v>
                </c:pt>
                <c:pt idx="26">
                  <c:v>518.53364702206579</c:v>
                </c:pt>
                <c:pt idx="27">
                  <c:v>534.99729079736949</c:v>
                </c:pt>
                <c:pt idx="28">
                  <c:v>551.45028504666311</c:v>
                </c:pt>
                <c:pt idx="29">
                  <c:v>567.89299207399438</c:v>
                </c:pt>
                <c:pt idx="30">
                  <c:v>584.32575150478181</c:v>
                </c:pt>
                <c:pt idx="31">
                  <c:v>597.69413118158832</c:v>
                </c:pt>
                <c:pt idx="32">
                  <c:v>611.05629477119896</c:v>
                </c:pt>
                <c:pt idx="33">
                  <c:v>624.41239729750248</c:v>
                </c:pt>
                <c:pt idx="34">
                  <c:v>637.76258661477402</c:v>
                </c:pt>
                <c:pt idx="35">
                  <c:v>651.10700388552539</c:v>
                </c:pt>
                <c:pt idx="36">
                  <c:v>662.92163315483776</c:v>
                </c:pt>
                <c:pt idx="37">
                  <c:v>674.73193011676551</c:v>
                </c:pt>
                <c:pt idx="38">
                  <c:v>686.53798125761114</c:v>
                </c:pt>
                <c:pt idx="39">
                  <c:v>698.33986984796638</c:v>
                </c:pt>
                <c:pt idx="40">
                  <c:v>710.13767611574031</c:v>
                </c:pt>
                <c:pt idx="41">
                  <c:v>721.93147740709912</c:v>
                </c:pt>
                <c:pt idx="42">
                  <c:v>733.72134833634811</c:v>
                </c:pt>
                <c:pt idx="43">
                  <c:v>745.50736092568695</c:v>
                </c:pt>
                <c:pt idx="44">
                  <c:v>757.28958473566945</c:v>
                </c:pt>
                <c:pt idx="45">
                  <c:v>769.06808698713382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179.90300489556364</c:v>
                </c:pt>
                <c:pt idx="24">
                  <c:v>195.86882025876375</c:v>
                </c:pt>
                <c:pt idx="25">
                  <c:v>211.80440891545263</c:v>
                </c:pt>
                <c:pt idx="26">
                  <c:v>207.15590260594388</c:v>
                </c:pt>
                <c:pt idx="27">
                  <c:v>224.44692783746248</c:v>
                </c:pt>
                <c:pt idx="28">
                  <c:v>241.70742778160744</c:v>
                </c:pt>
                <c:pt idx="29">
                  <c:v>258.9398890914178</c:v>
                </c:pt>
                <c:pt idx="30">
                  <c:v>276.14644026006232</c:v>
                </c:pt>
                <c:pt idx="31">
                  <c:v>294.86653459215933</c:v>
                </c:pt>
                <c:pt idx="32">
                  <c:v>313.56012118688233</c:v>
                </c:pt>
                <c:pt idx="33">
                  <c:v>332.22900222431548</c:v>
                </c:pt>
                <c:pt idx="34">
                  <c:v>350.8747608298695</c:v>
                </c:pt>
                <c:pt idx="35">
                  <c:v>369.49879816887756</c:v>
                </c:pt>
                <c:pt idx="36">
                  <c:v>292.04744216449819</c:v>
                </c:pt>
                <c:pt idx="37">
                  <c:v>310.48894477848006</c:v>
                </c:pt>
                <c:pt idx="38">
                  <c:v>328.90614210199652</c:v>
                </c:pt>
                <c:pt idx="39">
                  <c:v>347.30058618137667</c:v>
                </c:pt>
                <c:pt idx="40">
                  <c:v>365.67365126385283</c:v>
                </c:pt>
                <c:pt idx="41">
                  <c:v>386.82877539566351</c:v>
                </c:pt>
                <c:pt idx="42">
                  <c:v>407.9587823175745</c:v>
                </c:pt>
                <c:pt idx="43">
                  <c:v>429.06515507994419</c:v>
                </c:pt>
                <c:pt idx="44">
                  <c:v>450.14921900548899</c:v>
                </c:pt>
                <c:pt idx="45">
                  <c:v>471.21216521688075</c:v>
                </c:pt>
                <c:pt idx="46">
                  <c:v>373.83292076812245</c:v>
                </c:pt>
                <c:pt idx="47">
                  <c:v>395.99659120214437</c:v>
                </c:pt>
                <c:pt idx="48">
                  <c:v>418.13339351614735</c:v>
                </c:pt>
                <c:pt idx="49">
                  <c:v>440.24494914129099</c:v>
                </c:pt>
                <c:pt idx="50">
                  <c:v>462.33270345167938</c:v>
                </c:pt>
                <c:pt idx="51">
                  <c:v>484.68313691803513</c:v>
                </c:pt>
                <c:pt idx="52">
                  <c:v>507.0116927598142</c:v>
                </c:pt>
                <c:pt idx="53">
                  <c:v>529.31946911479929</c:v>
                </c:pt>
                <c:pt idx="54">
                  <c:v>551.60746409370768</c:v>
                </c:pt>
                <c:pt idx="55">
                  <c:v>573.87658864635682</c:v>
                </c:pt>
                <c:pt idx="56">
                  <c:v>596.12767732798454</c:v>
                </c:pt>
                <c:pt idx="57">
                  <c:v>618.36149737553899</c:v>
                </c:pt>
                <c:pt idx="58">
                  <c:v>640.57875641162809</c:v>
                </c:pt>
                <c:pt idx="59">
                  <c:v>496.08761453340668</c:v>
                </c:pt>
                <c:pt idx="60">
                  <c:v>517.13972150948996</c:v>
                </c:pt>
                <c:pt idx="61">
                  <c:v>538.1737542146642</c:v>
                </c:pt>
                <c:pt idx="62">
                  <c:v>559.19051785159138</c:v>
                </c:pt>
                <c:pt idx="63">
                  <c:v>580.19075221440596</c:v>
                </c:pt>
                <c:pt idx="64">
                  <c:v>601.17513922495675</c:v>
                </c:pt>
                <c:pt idx="65">
                  <c:v>622.14430936278268</c:v>
                </c:pt>
                <c:pt idx="66">
                  <c:v>643.09884718375065</c:v>
                </c:pt>
                <c:pt idx="67">
                  <c:v>577.50740883732692</c:v>
                </c:pt>
                <c:pt idx="68">
                  <c:v>593.91913364308107</c:v>
                </c:pt>
                <c:pt idx="69">
                  <c:v>610.32142498620567</c:v>
                </c:pt>
                <c:pt idx="70">
                  <c:v>626.71457192765126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166.78293977832863</c:v>
                </c:pt>
                <c:pt idx="32">
                  <c:v>173.89097206104813</c:v>
                </c:pt>
                <c:pt idx="33">
                  <c:v>180.99217685858619</c:v>
                </c:pt>
                <c:pt idx="34">
                  <c:v>188.086860262785</c:v>
                </c:pt>
                <c:pt idx="35">
                  <c:v>195.17530334919044</c:v>
                </c:pt>
                <c:pt idx="36">
                  <c:v>202.25776507632233</c:v>
                </c:pt>
                <c:pt idx="37">
                  <c:v>209.33448475693987</c:v>
                </c:pt>
                <c:pt idx="38">
                  <c:v>216.40568417713132</c:v>
                </c:pt>
                <c:pt idx="39">
                  <c:v>223.47156942353161</c:v>
                </c:pt>
                <c:pt idx="40">
                  <c:v>230.53233246702428</c:v>
                </c:pt>
                <c:pt idx="41">
                  <c:v>204.28026089728542</c:v>
                </c:pt>
                <c:pt idx="42">
                  <c:v>211.35538144796092</c:v>
                </c:pt>
                <c:pt idx="43">
                  <c:v>218.42504214863564</c:v>
                </c:pt>
                <c:pt idx="44">
                  <c:v>225.48944490087413</c:v>
                </c:pt>
                <c:pt idx="45">
                  <c:v>232.54877790391367</c:v>
                </c:pt>
                <c:pt idx="46">
                  <c:v>239.60321698163875</c:v>
                </c:pt>
                <c:pt idx="47">
                  <c:v>246.65292674490266</c:v>
                </c:pt>
                <c:pt idx="48">
                  <c:v>253.69806161385125</c:v>
                </c:pt>
                <c:pt idx="49">
                  <c:v>260.73876672061448</c:v>
                </c:pt>
                <c:pt idx="50">
                  <c:v>267.77517870928631</c:v>
                </c:pt>
                <c:pt idx="51">
                  <c:v>236.58047440215805</c:v>
                </c:pt>
                <c:pt idx="52">
                  <c:v>244.63919735303125</c:v>
                </c:pt>
                <c:pt idx="53">
                  <c:v>252.69188827494614</c:v>
                </c:pt>
                <c:pt idx="54">
                  <c:v>260.73876672061448</c:v>
                </c:pt>
                <c:pt idx="55">
                  <c:v>268.78003756948306</c:v>
                </c:pt>
                <c:pt idx="56">
                  <c:v>276.81589242774538</c:v>
                </c:pt>
                <c:pt idx="57">
                  <c:v>284.84651085713057</c:v>
                </c:pt>
                <c:pt idx="58">
                  <c:v>292.8720614577478</c:v>
                </c:pt>
                <c:pt idx="59">
                  <c:v>300.89270282593071</c:v>
                </c:pt>
                <c:pt idx="60">
                  <c:v>308.90858440452928</c:v>
                </c:pt>
                <c:pt idx="61">
                  <c:v>271.29181534136131</c:v>
                </c:pt>
                <c:pt idx="62">
                  <c:v>278.82403118480067</c:v>
                </c:pt>
                <c:pt idx="63">
                  <c:v>286.3516827075581</c:v>
                </c:pt>
                <c:pt idx="64">
                  <c:v>293.8749069529452</c:v>
                </c:pt>
                <c:pt idx="65">
                  <c:v>301.39383336733812</c:v>
                </c:pt>
                <c:pt idx="66">
                  <c:v>308.90858440452928</c:v>
                </c:pt>
                <c:pt idx="67">
                  <c:v>316.41927606814949</c:v>
                </c:pt>
                <c:pt idx="68">
                  <c:v>323.92601839985679</c:v>
                </c:pt>
                <c:pt idx="69">
                  <c:v>331.42891591987274</c:v>
                </c:pt>
                <c:pt idx="70">
                  <c:v>338.92806802551445</c:v>
                </c:pt>
                <c:pt idx="71">
                  <c:v>296.58220903324593</c:v>
                </c:pt>
                <c:pt idx="72">
                  <c:v>304.30002571338792</c:v>
                </c:pt>
                <c:pt idx="73">
                  <c:v>312.01348938639501</c:v>
                </c:pt>
                <c:pt idx="74">
                  <c:v>319.72272294821823</c:v>
                </c:pt>
                <c:pt idx="75">
                  <c:v>327.4278428788877</c:v>
                </c:pt>
                <c:pt idx="76">
                  <c:v>335.12895972389833</c:v>
                </c:pt>
                <c:pt idx="77">
                  <c:v>342.82617852900427</c:v>
                </c:pt>
                <c:pt idx="78">
                  <c:v>350.51959923389944</c:v>
                </c:pt>
                <c:pt idx="79">
                  <c:v>358.2093170295073</c:v>
                </c:pt>
                <c:pt idx="80">
                  <c:v>365.8954226829714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ugo Danjou" id="{598BFD5E-EA34-4FCA-8898-E97BEE90BCF2}" userId="S::hugo.danjou@acclena.fr::143acf70-84a0-41f4-afa7-7563fedfb6d7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1" dT="2024-06-18T14:46:35.16" personId="{598BFD5E-EA34-4FCA-8898-E97BEE90BCF2}" id="{4A0400C6-0FE0-49AA-A963-DBFB06C94B2C}">
    <text>Accroissement moyen entre 66 ans et 74 ans (prochaine ligne dans la table de production)</text>
  </threadedComment>
  <threadedComment ref="D89" dT="2024-06-18T15:14:09.27" personId="{598BFD5E-EA34-4FCA-8898-E97BEE90BCF2}" id="{13757446-3884-41FD-8E6F-5A6EB8657EDF}">
    <text>La table ne prenant pas en compte les éclaircies, des éclaircies de 15% du volume de bois fort (éclaircie légère classique de futaie régulière) est appliquée tout les 10 ans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7" dT="2024-06-19T09:42:30.12" personId="{598BFD5E-EA34-4FCA-8898-E97BEE90BCF2}" id="{49084965-B1C4-48BC-A180-956275BBFE39}">
    <text>devis</text>
  </threadedComment>
  <threadedComment ref="N18" dT="2024-06-18T15:22:50.85" personId="{598BFD5E-EA34-4FCA-8898-E97BEE90BCF2}" id="{6BF4BD03-DD59-4172-B798-3FA339491465}">
    <text xml:space="preserve">Peu de colonisation naturelle sur la parcelle (en friche depuis 7 ans), ainsi le propriétaire ne pourrait vendre que du BE (4 à 6 € la tonne) hormis les quelques feuillus déjà présents durant l'exploitation agricole de la parcelle (50€ du m3) </text>
  </threadedComment>
  <threadedComment ref="I20" dT="2024-06-19T09:42:13.54" personId="{598BFD5E-EA34-4FCA-8898-E97BEE90BCF2}" id="{9F399BFD-E5D1-4A0B-845C-CEAA03D50FF4}">
    <text>deivs</text>
  </threadedComment>
  <threadedComment ref="C24" dT="2024-06-18T15:26:07.86" personId="{598BFD5E-EA34-4FCA-8898-E97BEE90BCF2}" id="{93802781-D135-431C-92E2-B9412884DC57}">
    <text>Bois Energie</text>
  </threadedComment>
  <threadedComment ref="C31" dT="2024-06-18T15:25:17.57" personId="{598BFD5E-EA34-4FCA-8898-E97BEE90BCF2}" id="{1AE99556-B2BA-402F-B899-B72D83362102}">
    <text>Robinier à vocation de Bois d'Oeuvre, petit sciage (80€ m3) et piquet (30 € du m3)</text>
  </threadedComment>
  <threadedComment ref="E48" dT="2024-06-19T09:42:38.14" personId="{598BFD5E-EA34-4FCA-8898-E97BEE90BCF2}" id="{20845C56-3ED5-45F0-BE78-BF9943EE214C}">
    <text>devis</text>
  </threadedComment>
  <threadedComment ref="E79" dT="2024-06-19T09:42:45.89" personId="{598BFD5E-EA34-4FCA-8898-E97BEE90BCF2}" id="{F95CFDC0-102F-46E9-91BD-DAFA3F805FE8}">
    <text>devis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6" zoomScale="80" zoomScaleNormal="80" workbookViewId="0">
      <selection activeCell="B12" sqref="B12:M1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O289"/>
  <sheetViews>
    <sheetView zoomScale="80" zoomScaleNormal="80" workbookViewId="0">
      <selection activeCell="N49" sqref="N49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2" width="11.42578125" style="23"/>
    <col min="13" max="13" width="17.7109375" style="23" customWidth="1"/>
    <col min="14" max="14" width="38.85546875" style="23" customWidth="1"/>
    <col min="15" max="15" width="47.7109375" style="23" customWidth="1"/>
    <col min="16" max="16384" width="11.42578125" style="23"/>
  </cols>
  <sheetData>
    <row r="1" spans="1:9" x14ac:dyDescent="0.25">
      <c r="A1" s="4"/>
      <c r="B1" s="4"/>
      <c r="C1" s="262" t="s">
        <v>2</v>
      </c>
      <c r="D1" s="262"/>
      <c r="E1" s="262"/>
      <c r="F1" s="4"/>
      <c r="G1" s="4"/>
      <c r="H1" s="4"/>
      <c r="I1" s="4"/>
    </row>
    <row r="2" spans="1:9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</v>
      </c>
    </row>
    <row r="3" spans="1:9" ht="27" thickBot="1" x14ac:dyDescent="0.3">
      <c r="A3" s="4"/>
      <c r="B3" s="263" t="s">
        <v>4</v>
      </c>
      <c r="C3" s="264"/>
      <c r="D3" s="264"/>
      <c r="E3" s="264"/>
      <c r="F3" s="265"/>
      <c r="G3" s="89"/>
      <c r="I3" s="210" t="s">
        <v>5</v>
      </c>
    </row>
    <row r="4" spans="1:9" ht="26.25" x14ac:dyDescent="0.25">
      <c r="A4" s="90"/>
      <c r="B4" s="90"/>
      <c r="C4" s="90"/>
      <c r="D4" s="90"/>
      <c r="E4" s="90"/>
      <c r="F4" s="90"/>
      <c r="G4" s="217"/>
      <c r="I4" s="210" t="s">
        <v>6</v>
      </c>
    </row>
    <row r="5" spans="1:9" ht="26.25" x14ac:dyDescent="0.25">
      <c r="A5" s="268" t="s">
        <v>7</v>
      </c>
      <c r="B5" s="268"/>
      <c r="C5" s="24">
        <v>4.67</v>
      </c>
      <c r="D5" s="269" t="s">
        <v>8</v>
      </c>
      <c r="E5" s="270"/>
      <c r="F5" s="90"/>
      <c r="G5" s="217"/>
      <c r="H5" s="217"/>
      <c r="I5" s="217"/>
    </row>
    <row r="6" spans="1:9" x14ac:dyDescent="0.25">
      <c r="A6" s="91"/>
      <c r="B6" s="91"/>
      <c r="C6" s="4"/>
      <c r="D6" s="86"/>
      <c r="E6" s="86"/>
      <c r="F6" s="26"/>
      <c r="G6" s="204"/>
      <c r="H6" s="204"/>
      <c r="I6" s="204"/>
    </row>
    <row r="7" spans="1:9" ht="26.25" x14ac:dyDescent="0.25">
      <c r="A7" s="267" t="s">
        <v>9</v>
      </c>
      <c r="B7" s="267"/>
      <c r="C7" s="90"/>
      <c r="D7" s="90"/>
      <c r="E7" s="4"/>
      <c r="F7" s="90"/>
      <c r="G7" s="217"/>
      <c r="H7" s="217"/>
      <c r="I7" s="217"/>
    </row>
    <row r="8" spans="1:9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3"/>
    </row>
    <row r="9" spans="1:9" x14ac:dyDescent="0.25">
      <c r="A9" s="30" t="s">
        <v>15</v>
      </c>
      <c r="B9" s="31" t="s">
        <v>16</v>
      </c>
      <c r="C9" s="32">
        <v>0.69159999999999999</v>
      </c>
      <c r="D9" s="33">
        <f t="shared" ref="D9:D18" si="0">C9*$C$5</f>
        <v>3.2297720000000001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17</v>
      </c>
      <c r="I9" s="224"/>
    </row>
    <row r="10" spans="1:9" x14ac:dyDescent="0.25">
      <c r="A10" s="30" t="s">
        <v>18</v>
      </c>
      <c r="B10" s="31" t="s">
        <v>19</v>
      </c>
      <c r="C10" s="32">
        <v>5.3600000000000002E-2</v>
      </c>
      <c r="D10" s="33">
        <f t="shared" si="0"/>
        <v>0.25031199999999998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4"/>
    </row>
    <row r="11" spans="1:9" x14ac:dyDescent="0.25">
      <c r="A11" s="30" t="s">
        <v>20</v>
      </c>
      <c r="B11" s="31" t="s">
        <v>21</v>
      </c>
      <c r="C11" s="32">
        <v>5.3600000000000002E-2</v>
      </c>
      <c r="D11" s="33">
        <f t="shared" si="0"/>
        <v>0.25031199999999998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4"/>
    </row>
    <row r="12" spans="1:9" x14ac:dyDescent="0.2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4"/>
    </row>
    <row r="13" spans="1:9" x14ac:dyDescent="0.25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</row>
    <row r="14" spans="1:9" x14ac:dyDescent="0.25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</row>
    <row r="15" spans="1:9" x14ac:dyDescent="0.2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</row>
    <row r="16" spans="1:9" x14ac:dyDescent="0.2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</row>
    <row r="17" spans="1:7" x14ac:dyDescent="0.2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</row>
    <row r="18" spans="1:7" x14ac:dyDescent="0.2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</row>
    <row r="19" spans="1:7" x14ac:dyDescent="0.25">
      <c r="A19" s="78"/>
      <c r="B19" s="36" t="s">
        <v>29</v>
      </c>
      <c r="C19" s="37">
        <f>SUM(C9:C18)</f>
        <v>0.79879999999999995</v>
      </c>
      <c r="D19" s="38">
        <f>SUM(D9:D18)</f>
        <v>3.7303960000000003</v>
      </c>
      <c r="E19" s="4"/>
      <c r="F19" s="92"/>
      <c r="G19" s="218"/>
    </row>
    <row r="20" spans="1:7" x14ac:dyDescent="0.25">
      <c r="A20" s="78"/>
      <c r="B20" s="39" t="s">
        <v>14</v>
      </c>
      <c r="C20" s="40" t="str">
        <f>IF(C19&gt;100%,"Erreur : corrigez","OK")</f>
        <v>OK</v>
      </c>
      <c r="D20" s="220"/>
      <c r="F20" s="204"/>
      <c r="G20" s="204"/>
    </row>
    <row r="21" spans="1:7" x14ac:dyDescent="0.25">
      <c r="A21" s="4"/>
      <c r="B21" s="4"/>
      <c r="C21" s="4"/>
    </row>
    <row r="22" spans="1:7" ht="21" x14ac:dyDescent="0.35">
      <c r="A22" s="266" t="s">
        <v>30</v>
      </c>
      <c r="B22" s="266"/>
      <c r="C22" s="4"/>
    </row>
    <row r="23" spans="1:7" x14ac:dyDescent="0.25">
      <c r="A23" s="4"/>
      <c r="B23" s="4"/>
      <c r="C23" s="4"/>
    </row>
    <row r="24" spans="1:7" x14ac:dyDescent="0.2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1"/>
    </row>
    <row r="25" spans="1:7" x14ac:dyDescent="0.25">
      <c r="A25" s="41" t="s">
        <v>34</v>
      </c>
      <c r="B25" s="42" t="s">
        <v>35</v>
      </c>
      <c r="C25" s="45">
        <v>0.1</v>
      </c>
      <c r="D25" s="94"/>
      <c r="E25" s="4"/>
      <c r="F25" s="94"/>
      <c r="G25" s="219"/>
    </row>
    <row r="26" spans="1:7" x14ac:dyDescent="0.25">
      <c r="A26" s="41" t="s">
        <v>36</v>
      </c>
      <c r="B26" s="42" t="s">
        <v>37</v>
      </c>
      <c r="C26" s="43">
        <v>0</v>
      </c>
      <c r="D26" s="44" t="s">
        <v>38</v>
      </c>
      <c r="E26" s="93"/>
      <c r="F26" s="93"/>
      <c r="G26" s="201"/>
    </row>
    <row r="27" spans="1:7" x14ac:dyDescent="0.2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1"/>
    </row>
    <row r="28" spans="1:7" x14ac:dyDescent="0.25">
      <c r="A28" s="4"/>
      <c r="B28" s="4"/>
    </row>
    <row r="29" spans="1:7" x14ac:dyDescent="0.25">
      <c r="A29" s="4"/>
      <c r="B29" s="4"/>
    </row>
    <row r="30" spans="1:7" ht="21" x14ac:dyDescent="0.25">
      <c r="A30" s="267" t="s">
        <v>42</v>
      </c>
      <c r="B30" s="267"/>
      <c r="D30" s="221"/>
    </row>
    <row r="31" spans="1:7" x14ac:dyDescent="0.25">
      <c r="A31" s="4"/>
      <c r="B31" s="4"/>
    </row>
    <row r="32" spans="1:7" x14ac:dyDescent="0.25">
      <c r="A32" s="46" t="s">
        <v>15</v>
      </c>
      <c r="B32" s="47" t="str">
        <f>IF(B9="","",B9)</f>
        <v>Robinier faux-acacia</v>
      </c>
      <c r="C32" s="23" t="s">
        <v>324</v>
      </c>
      <c r="D32" s="227" t="s">
        <v>43</v>
      </c>
    </row>
    <row r="34" spans="1:15" x14ac:dyDescent="0.25">
      <c r="A34" s="4"/>
      <c r="B34" s="85" t="s">
        <v>44</v>
      </c>
      <c r="C34" s="258" t="s">
        <v>45</v>
      </c>
      <c r="D34" s="258"/>
      <c r="E34" s="259" t="s">
        <v>46</v>
      </c>
      <c r="F34" s="260"/>
      <c r="G34" s="260"/>
      <c r="H34" s="261"/>
      <c r="I34" s="95"/>
      <c r="J34" s="221"/>
    </row>
    <row r="35" spans="1:15" ht="60" x14ac:dyDescent="0.2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54" t="s">
        <v>48</v>
      </c>
      <c r="K35" s="255" t="s">
        <v>50</v>
      </c>
      <c r="L35" s="203" t="s">
        <v>325</v>
      </c>
      <c r="M35" s="203" t="s">
        <v>329</v>
      </c>
      <c r="N35" s="203" t="s">
        <v>330</v>
      </c>
      <c r="O35" s="203" t="s">
        <v>331</v>
      </c>
    </row>
    <row r="36" spans="1:15" x14ac:dyDescent="0.25">
      <c r="A36" s="50">
        <v>5</v>
      </c>
      <c r="B36" s="60">
        <v>34</v>
      </c>
      <c r="C36" s="60"/>
      <c r="D36" s="60"/>
      <c r="E36" s="51"/>
      <c r="F36" s="51"/>
      <c r="G36" s="51"/>
      <c r="H36" s="51"/>
      <c r="I36" s="49">
        <f>IFERROR(B36/A36,"")</f>
        <v>6.8</v>
      </c>
      <c r="J36" s="23">
        <f>B36</f>
        <v>34</v>
      </c>
      <c r="L36" s="23">
        <v>34</v>
      </c>
      <c r="M36" s="23">
        <v>6</v>
      </c>
    </row>
    <row r="37" spans="1:15" ht="45" x14ac:dyDescent="0.25">
      <c r="A37" s="50">
        <v>10</v>
      </c>
      <c r="B37" s="60">
        <v>105</v>
      </c>
      <c r="C37" s="60">
        <v>1</v>
      </c>
      <c r="D37" s="60">
        <v>34</v>
      </c>
      <c r="E37" s="51"/>
      <c r="F37" s="51"/>
      <c r="G37" s="51"/>
      <c r="H37" s="51">
        <v>1</v>
      </c>
      <c r="I37" s="53">
        <f t="shared" ref="I37:I55" si="1">IF(A37&lt;&gt;0,(B37-(B36-D36))/(A37-A36),"")</f>
        <v>14.2</v>
      </c>
      <c r="J37" s="23">
        <f t="shared" ref="J37" si="2">B37</f>
        <v>105</v>
      </c>
      <c r="K37" s="23">
        <f>+M36+M37</f>
        <v>34</v>
      </c>
      <c r="L37" s="23">
        <v>105</v>
      </c>
      <c r="M37" s="23">
        <v>28</v>
      </c>
      <c r="O37" s="203" t="s">
        <v>332</v>
      </c>
    </row>
    <row r="38" spans="1:15" ht="45.75" customHeight="1" x14ac:dyDescent="0.25">
      <c r="A38" s="50">
        <v>15</v>
      </c>
      <c r="B38" s="60">
        <f>174-D37</f>
        <v>140</v>
      </c>
      <c r="C38" s="60"/>
      <c r="D38" s="60"/>
      <c r="E38" s="51"/>
      <c r="F38" s="51"/>
      <c r="G38" s="51"/>
      <c r="H38" s="51"/>
      <c r="I38" s="53">
        <f t="shared" si="1"/>
        <v>13.8</v>
      </c>
      <c r="J38" s="23">
        <f>L38-SUM($K$36:K37)</f>
        <v>140</v>
      </c>
      <c r="L38" s="23">
        <v>174</v>
      </c>
      <c r="N38" s="203" t="s">
        <v>326</v>
      </c>
    </row>
    <row r="39" spans="1:15" x14ac:dyDescent="0.25">
      <c r="A39" s="50">
        <v>20</v>
      </c>
      <c r="B39" s="60">
        <f>237-D37</f>
        <v>203</v>
      </c>
      <c r="C39" s="60"/>
      <c r="D39" s="60"/>
      <c r="E39" s="51"/>
      <c r="F39" s="51"/>
      <c r="G39" s="51"/>
      <c r="H39" s="51"/>
      <c r="I39" s="49">
        <f t="shared" si="1"/>
        <v>12.6</v>
      </c>
      <c r="J39" s="23">
        <f>L39-SUM($K$36:K38)</f>
        <v>203</v>
      </c>
      <c r="L39" s="23">
        <v>237</v>
      </c>
    </row>
    <row r="40" spans="1:15" x14ac:dyDescent="0.25">
      <c r="A40" s="50">
        <v>25</v>
      </c>
      <c r="B40" s="60">
        <f>290-D37</f>
        <v>256</v>
      </c>
      <c r="C40" s="60"/>
      <c r="D40" s="60"/>
      <c r="E40" s="51"/>
      <c r="F40" s="51"/>
      <c r="G40" s="51"/>
      <c r="H40" s="51"/>
      <c r="I40" s="49">
        <f t="shared" si="1"/>
        <v>10.6</v>
      </c>
      <c r="J40" s="23">
        <f>L40-SUM($K$36:K39)</f>
        <v>256</v>
      </c>
      <c r="L40" s="23">
        <v>290</v>
      </c>
    </row>
    <row r="41" spans="1:15" x14ac:dyDescent="0.25">
      <c r="A41" s="50">
        <v>30</v>
      </c>
      <c r="B41" s="60">
        <f>333-D37</f>
        <v>299</v>
      </c>
      <c r="C41" s="60"/>
      <c r="D41" s="60"/>
      <c r="E41" s="51"/>
      <c r="F41" s="51"/>
      <c r="G41" s="51"/>
      <c r="H41" s="51"/>
      <c r="I41" s="53">
        <f t="shared" si="1"/>
        <v>8.6</v>
      </c>
      <c r="J41" s="23">
        <f>L41-SUM($K$36:K40)</f>
        <v>299</v>
      </c>
      <c r="L41" s="23">
        <v>333</v>
      </c>
    </row>
    <row r="42" spans="1:15" x14ac:dyDescent="0.25">
      <c r="A42" s="50">
        <v>35</v>
      </c>
      <c r="B42" s="60">
        <f>368-D37</f>
        <v>334</v>
      </c>
      <c r="C42" s="60"/>
      <c r="D42" s="60"/>
      <c r="E42" s="51"/>
      <c r="F42" s="51"/>
      <c r="G42" s="51"/>
      <c r="H42" s="51"/>
      <c r="I42" s="53">
        <f t="shared" si="1"/>
        <v>7</v>
      </c>
      <c r="J42" s="23">
        <f>L42-SUM($K$36:K41)</f>
        <v>334</v>
      </c>
      <c r="L42" s="23">
        <v>368</v>
      </c>
    </row>
    <row r="43" spans="1:15" x14ac:dyDescent="0.25">
      <c r="A43" s="50">
        <v>40</v>
      </c>
      <c r="B43" s="60">
        <f>399-D37</f>
        <v>365</v>
      </c>
      <c r="C43" s="60"/>
      <c r="D43" s="60"/>
      <c r="E43" s="51"/>
      <c r="F43" s="51"/>
      <c r="G43" s="51"/>
      <c r="H43" s="51"/>
      <c r="I43" s="49">
        <f t="shared" si="1"/>
        <v>6.2</v>
      </c>
      <c r="J43" s="23">
        <f>L43-SUM($K$36:K42)</f>
        <v>365</v>
      </c>
      <c r="L43" s="23">
        <v>399</v>
      </c>
    </row>
    <row r="44" spans="1:15" x14ac:dyDescent="0.25">
      <c r="A44" s="50">
        <v>45</v>
      </c>
      <c r="B44" s="60">
        <f>430-D37</f>
        <v>396</v>
      </c>
      <c r="C44" s="60">
        <v>2</v>
      </c>
      <c r="D44" s="60">
        <f>B44</f>
        <v>396</v>
      </c>
      <c r="E44" s="51"/>
      <c r="F44" s="51"/>
      <c r="G44" s="51"/>
      <c r="H44" s="51"/>
      <c r="I44" s="49">
        <f t="shared" si="1"/>
        <v>6.2</v>
      </c>
      <c r="J44" s="23">
        <f>L44-SUM($K$36:K43)</f>
        <v>396</v>
      </c>
      <c r="K44" s="23">
        <v>396</v>
      </c>
      <c r="L44" s="23">
        <v>430</v>
      </c>
    </row>
    <row r="45" spans="1:1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</row>
    <row r="46" spans="1:1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</row>
    <row r="47" spans="1:1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</row>
    <row r="48" spans="1:1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</row>
    <row r="49" spans="1:15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</row>
    <row r="50" spans="1:15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</row>
    <row r="51" spans="1:15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</row>
    <row r="52" spans="1:15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</row>
    <row r="53" spans="1:15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</row>
    <row r="54" spans="1:15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</row>
    <row r="55" spans="1:15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</row>
    <row r="56" spans="1:15" x14ac:dyDescent="0.25">
      <c r="A56" s="4"/>
      <c r="B56" s="4"/>
    </row>
    <row r="57" spans="1:15" x14ac:dyDescent="0.25">
      <c r="A57" s="4"/>
      <c r="B57" s="4"/>
    </row>
    <row r="58" spans="1:15" x14ac:dyDescent="0.25">
      <c r="A58" s="46" t="s">
        <v>18</v>
      </c>
      <c r="B58" s="52" t="str">
        <f>IF(B10="","",B10)</f>
        <v>Pin laricio</v>
      </c>
      <c r="C58" s="23" t="s">
        <v>324</v>
      </c>
      <c r="D58" s="227" t="s">
        <v>43</v>
      </c>
    </row>
    <row r="59" spans="1:15" x14ac:dyDescent="0.25">
      <c r="A59" s="46"/>
      <c r="B59" s="96"/>
    </row>
    <row r="60" spans="1:15" x14ac:dyDescent="0.25">
      <c r="A60" s="4"/>
      <c r="B60" s="85" t="s">
        <v>44</v>
      </c>
      <c r="C60" s="258" t="s">
        <v>45</v>
      </c>
      <c r="D60" s="258"/>
      <c r="E60" s="259" t="s">
        <v>46</v>
      </c>
      <c r="F60" s="260"/>
      <c r="G60" s="260"/>
      <c r="H60" s="261"/>
      <c r="I60" s="95"/>
      <c r="J60" s="221"/>
    </row>
    <row r="61" spans="1:15" ht="75" x14ac:dyDescent="0.2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2" t="s">
        <v>48</v>
      </c>
      <c r="K61" s="203" t="s">
        <v>328</v>
      </c>
      <c r="L61" s="203" t="s">
        <v>325</v>
      </c>
      <c r="M61" s="203" t="s">
        <v>329</v>
      </c>
      <c r="N61" s="23" t="s">
        <v>330</v>
      </c>
      <c r="O61" s="203" t="s">
        <v>331</v>
      </c>
    </row>
    <row r="62" spans="1:15" x14ac:dyDescent="0.25">
      <c r="A62" s="50">
        <v>22</v>
      </c>
      <c r="B62" s="60">
        <v>123</v>
      </c>
      <c r="C62" s="60"/>
      <c r="D62" s="60"/>
      <c r="E62" s="51"/>
      <c r="F62" s="51"/>
      <c r="G62" s="51"/>
      <c r="H62" s="51"/>
      <c r="I62" s="53">
        <f>IFERROR(B62/A62,"")</f>
        <v>5.5909090909090908</v>
      </c>
      <c r="J62" s="23">
        <f>L62</f>
        <v>123</v>
      </c>
      <c r="K62" s="23">
        <f>D62</f>
        <v>0</v>
      </c>
      <c r="L62" s="23">
        <v>123</v>
      </c>
      <c r="M62" s="23">
        <v>16</v>
      </c>
    </row>
    <row r="63" spans="1:15" x14ac:dyDescent="0.25">
      <c r="A63" s="50">
        <v>25</v>
      </c>
      <c r="B63" s="60">
        <f>160</f>
        <v>160</v>
      </c>
      <c r="C63" s="60">
        <v>1</v>
      </c>
      <c r="D63" s="60">
        <v>17</v>
      </c>
      <c r="E63" s="51"/>
      <c r="F63" s="51">
        <v>0.5</v>
      </c>
      <c r="G63" s="51">
        <v>0.5</v>
      </c>
      <c r="H63" s="51"/>
      <c r="I63" s="49">
        <f>IF(A63&lt;&gt;0,(B63-(B62-D62))/(A63-A62),"")</f>
        <v>12.333333333333334</v>
      </c>
      <c r="J63" s="23">
        <f>L63</f>
        <v>160</v>
      </c>
      <c r="K63" s="23">
        <f>M63</f>
        <v>17</v>
      </c>
      <c r="L63" s="23">
        <v>160</v>
      </c>
      <c r="M63" s="23">
        <v>17</v>
      </c>
    </row>
    <row r="64" spans="1:15" ht="60" x14ac:dyDescent="0.25">
      <c r="A64" s="50">
        <v>30</v>
      </c>
      <c r="B64" s="60">
        <f>227-D63</f>
        <v>210</v>
      </c>
      <c r="C64" s="60"/>
      <c r="D64" s="60"/>
      <c r="E64" s="51"/>
      <c r="F64" s="51"/>
      <c r="G64" s="51"/>
      <c r="H64" s="51"/>
      <c r="I64" s="49">
        <f>IF(A64&lt;&gt;0,(B64-(B63-D63))/(A64-A63),"")</f>
        <v>13.4</v>
      </c>
      <c r="J64" s="23">
        <f>L64-SUM($K$62:K63)</f>
        <v>210</v>
      </c>
      <c r="K64" s="23">
        <f>D64</f>
        <v>0</v>
      </c>
      <c r="L64" s="23">
        <v>227</v>
      </c>
      <c r="M64" s="23">
        <v>34</v>
      </c>
      <c r="N64" s="203" t="s">
        <v>326</v>
      </c>
    </row>
    <row r="65" spans="1:15" ht="73.5" customHeight="1" x14ac:dyDescent="0.25">
      <c r="A65" s="50">
        <v>35</v>
      </c>
      <c r="B65" s="60">
        <f>300-D63</f>
        <v>283</v>
      </c>
      <c r="C65" s="60">
        <v>2</v>
      </c>
      <c r="D65" s="60">
        <v>75</v>
      </c>
      <c r="E65" s="51"/>
      <c r="F65" s="51"/>
      <c r="G65" s="51"/>
      <c r="H65" s="51"/>
      <c r="I65" s="49">
        <f>IF(A65&lt;&gt;0,(B65-(B64-D64))/(A65-A64),"")</f>
        <v>14.6</v>
      </c>
      <c r="J65" s="23">
        <f>L65-SUM($K$62:K64)</f>
        <v>283</v>
      </c>
      <c r="K65" s="23">
        <f>M64+M65</f>
        <v>75</v>
      </c>
      <c r="L65" s="23">
        <v>300</v>
      </c>
      <c r="M65" s="23">
        <v>41</v>
      </c>
      <c r="N65" s="203"/>
      <c r="O65" s="203" t="s">
        <v>332</v>
      </c>
    </row>
    <row r="66" spans="1:15" ht="60" x14ac:dyDescent="0.25">
      <c r="A66" s="50">
        <v>40</v>
      </c>
      <c r="B66" s="60">
        <f>372-D65-D63</f>
        <v>280</v>
      </c>
      <c r="C66" s="60"/>
      <c r="D66" s="60"/>
      <c r="E66" s="51"/>
      <c r="F66" s="51"/>
      <c r="G66" s="51"/>
      <c r="H66" s="51"/>
      <c r="I66" s="49">
        <f t="shared" ref="I66:I81" si="3">IF(A66&lt;&gt;0,(B66-(B65-D65))/(A66-A65),"")</f>
        <v>14.4</v>
      </c>
      <c r="J66" s="23">
        <f>L66-SUM($K$62:K65)</f>
        <v>280</v>
      </c>
      <c r="K66" s="23">
        <f>D66</f>
        <v>0</v>
      </c>
      <c r="L66" s="23">
        <v>372</v>
      </c>
      <c r="M66" s="23">
        <v>41</v>
      </c>
      <c r="N66" s="203" t="s">
        <v>326</v>
      </c>
    </row>
    <row r="67" spans="1:15" ht="67.5" customHeight="1" x14ac:dyDescent="0.25">
      <c r="A67" s="50">
        <v>45</v>
      </c>
      <c r="B67" s="60">
        <f>455-D65-D63</f>
        <v>363</v>
      </c>
      <c r="C67" s="60">
        <v>3</v>
      </c>
      <c r="D67" s="60">
        <v>94</v>
      </c>
      <c r="E67" s="51"/>
      <c r="F67" s="51"/>
      <c r="G67" s="51"/>
      <c r="H67" s="51"/>
      <c r="I67" s="49">
        <f t="shared" si="3"/>
        <v>16.600000000000001</v>
      </c>
      <c r="J67" s="23">
        <f>L67-SUM($K$62:K66)</f>
        <v>363</v>
      </c>
      <c r="K67" s="23">
        <f>M66+M67</f>
        <v>94</v>
      </c>
      <c r="L67" s="23">
        <v>455</v>
      </c>
      <c r="M67" s="23">
        <v>53</v>
      </c>
      <c r="N67" s="203"/>
      <c r="O67" s="203" t="s">
        <v>332</v>
      </c>
    </row>
    <row r="68" spans="1:15" x14ac:dyDescent="0.25">
      <c r="A68" s="50">
        <v>50</v>
      </c>
      <c r="B68" s="60">
        <f>542-D67-D65-D63</f>
        <v>356</v>
      </c>
      <c r="C68" s="60"/>
      <c r="D68" s="60"/>
      <c r="E68" s="51"/>
      <c r="F68" s="51"/>
      <c r="G68" s="51"/>
      <c r="H68" s="51"/>
      <c r="I68" s="49">
        <f t="shared" si="3"/>
        <v>17.399999999999999</v>
      </c>
      <c r="J68" s="23">
        <f>L68-SUM($K$62:K67)</f>
        <v>356</v>
      </c>
      <c r="K68" s="23">
        <f>D68</f>
        <v>0</v>
      </c>
      <c r="L68" s="23">
        <v>542</v>
      </c>
      <c r="M68" s="23">
        <v>53</v>
      </c>
      <c r="N68" s="203"/>
    </row>
    <row r="69" spans="1:15" ht="57" customHeight="1" x14ac:dyDescent="0.25">
      <c r="A69" s="50">
        <v>58</v>
      </c>
      <c r="B69" s="50">
        <f>683-D67-D65-D63</f>
        <v>497</v>
      </c>
      <c r="C69" s="50">
        <v>4</v>
      </c>
      <c r="D69" s="50">
        <v>131</v>
      </c>
      <c r="E69" s="51"/>
      <c r="F69" s="51"/>
      <c r="G69" s="51"/>
      <c r="H69" s="51"/>
      <c r="I69" s="49">
        <f t="shared" si="3"/>
        <v>17.625</v>
      </c>
      <c r="J69" s="23">
        <f>L69-SUM($K$62:K68)</f>
        <v>497</v>
      </c>
      <c r="K69" s="23">
        <f>M69+M68</f>
        <v>131</v>
      </c>
      <c r="L69" s="23">
        <v>683</v>
      </c>
      <c r="M69" s="23">
        <v>78</v>
      </c>
      <c r="N69" s="203"/>
      <c r="O69" s="203" t="s">
        <v>332</v>
      </c>
    </row>
    <row r="70" spans="1:15" x14ac:dyDescent="0.25">
      <c r="A70" s="50">
        <v>66</v>
      </c>
      <c r="B70" s="50">
        <f>816-D69-D67-D65-D63</f>
        <v>499</v>
      </c>
      <c r="C70" s="50">
        <v>5</v>
      </c>
      <c r="D70" s="50">
        <v>65</v>
      </c>
      <c r="E70" s="51"/>
      <c r="F70" s="51"/>
      <c r="G70" s="51"/>
      <c r="H70" s="51"/>
      <c r="I70" s="49">
        <f t="shared" si="3"/>
        <v>16.625</v>
      </c>
      <c r="J70" s="23">
        <f>L70-SUM($K$62:K69)</f>
        <v>499</v>
      </c>
      <c r="K70" s="23">
        <f>M70</f>
        <v>65</v>
      </c>
      <c r="L70" s="23">
        <v>816</v>
      </c>
      <c r="M70" s="23">
        <v>65</v>
      </c>
      <c r="N70" s="203"/>
    </row>
    <row r="71" spans="1:15" ht="60" x14ac:dyDescent="0.25">
      <c r="A71" s="50">
        <v>70</v>
      </c>
      <c r="B71" s="50">
        <f>868-D70-D69-D67-D65-D63</f>
        <v>486</v>
      </c>
      <c r="C71" s="50">
        <v>6</v>
      </c>
      <c r="D71" s="50">
        <f>B71</f>
        <v>486</v>
      </c>
      <c r="E71" s="51"/>
      <c r="F71" s="51"/>
      <c r="G71" s="51"/>
      <c r="H71" s="51"/>
      <c r="I71" s="49">
        <f t="shared" si="3"/>
        <v>13</v>
      </c>
      <c r="J71" s="256">
        <f>L71-SUM($K$62:K70)</f>
        <v>486.5</v>
      </c>
      <c r="K71" s="23">
        <f>D71</f>
        <v>486</v>
      </c>
      <c r="L71" s="256">
        <f>AVERAGE(818,919)</f>
        <v>868.5</v>
      </c>
      <c r="M71" s="23">
        <v>37</v>
      </c>
      <c r="N71" s="203" t="s">
        <v>327</v>
      </c>
    </row>
    <row r="72" spans="1:15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</row>
    <row r="73" spans="1:15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</row>
    <row r="74" spans="1:15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</row>
    <row r="75" spans="1:15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</row>
    <row r="76" spans="1:15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</row>
    <row r="77" spans="1:15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</row>
    <row r="78" spans="1:15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</row>
    <row r="79" spans="1:15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</row>
    <row r="80" spans="1:15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</row>
    <row r="81" spans="1:9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</row>
    <row r="82" spans="1:9" x14ac:dyDescent="0.25">
      <c r="A82" s="4"/>
      <c r="B82" s="4"/>
    </row>
    <row r="83" spans="1:9" x14ac:dyDescent="0.25">
      <c r="A83" s="4"/>
      <c r="B83" s="4"/>
    </row>
    <row r="84" spans="1:9" x14ac:dyDescent="0.25">
      <c r="A84" s="46" t="s">
        <v>20</v>
      </c>
      <c r="B84" s="52" t="str">
        <f>IF(B11="","",B11)</f>
        <v>Cèdre de l'Atlas</v>
      </c>
      <c r="D84" s="227" t="s">
        <v>43</v>
      </c>
    </row>
    <row r="85" spans="1:9" x14ac:dyDescent="0.25">
      <c r="A85" s="46"/>
      <c r="B85" s="96"/>
    </row>
    <row r="86" spans="1:9" x14ac:dyDescent="0.25">
      <c r="A86" s="4"/>
      <c r="B86" s="85" t="s">
        <v>44</v>
      </c>
      <c r="C86" s="258" t="s">
        <v>45</v>
      </c>
      <c r="D86" s="258"/>
      <c r="E86" s="259" t="s">
        <v>46</v>
      </c>
      <c r="F86" s="260"/>
      <c r="G86" s="260"/>
      <c r="H86" s="261"/>
      <c r="I86" s="95"/>
    </row>
    <row r="87" spans="1:9" ht="45" x14ac:dyDescent="0.2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</row>
    <row r="88" spans="1:9" x14ac:dyDescent="0.25">
      <c r="A88" s="50">
        <v>20</v>
      </c>
      <c r="B88" s="60">
        <v>115</v>
      </c>
      <c r="C88" s="60"/>
      <c r="D88" s="60"/>
      <c r="E88" s="51"/>
      <c r="F88" s="51"/>
      <c r="G88" s="51"/>
      <c r="H88" s="87"/>
      <c r="I88" s="53">
        <f>IFERROR(B88/A88,"")</f>
        <v>5.75</v>
      </c>
    </row>
    <row r="89" spans="1:9" x14ac:dyDescent="0.25">
      <c r="A89" s="50">
        <v>30</v>
      </c>
      <c r="B89" s="60">
        <v>180</v>
      </c>
      <c r="C89" s="60">
        <v>1</v>
      </c>
      <c r="D89" s="60">
        <f>B89*0.15</f>
        <v>27</v>
      </c>
      <c r="E89" s="51"/>
      <c r="F89" s="51">
        <v>0.5</v>
      </c>
      <c r="G89" s="51">
        <v>0.5</v>
      </c>
      <c r="H89" s="87"/>
      <c r="I89" s="53">
        <f t="shared" ref="I89:I107" si="4">IF(A89&lt;&gt;0,(B89-(B88-D88))/(A89-A88),"")</f>
        <v>6.5</v>
      </c>
    </row>
    <row r="90" spans="1:9" x14ac:dyDescent="0.25">
      <c r="A90" s="50">
        <v>40</v>
      </c>
      <c r="B90" s="60">
        <f>250-D89</f>
        <v>223</v>
      </c>
      <c r="C90" s="60">
        <v>2</v>
      </c>
      <c r="D90" s="60">
        <f>ROUND(B90*0.15,0)</f>
        <v>33</v>
      </c>
      <c r="E90" s="87"/>
      <c r="F90" s="87"/>
      <c r="G90" s="87"/>
      <c r="H90" s="87"/>
      <c r="I90" s="53">
        <f t="shared" si="4"/>
        <v>7</v>
      </c>
    </row>
    <row r="91" spans="1:9" x14ac:dyDescent="0.25">
      <c r="A91" s="50">
        <v>50</v>
      </c>
      <c r="B91" s="60">
        <f>320-D90-D89</f>
        <v>260</v>
      </c>
      <c r="C91" s="60">
        <v>3</v>
      </c>
      <c r="D91" s="60">
        <f>ROUND(B91*0.15,0)</f>
        <v>39</v>
      </c>
      <c r="E91" s="87"/>
      <c r="F91" s="87"/>
      <c r="G91" s="87"/>
      <c r="H91" s="87"/>
      <c r="I91" s="53">
        <f t="shared" si="4"/>
        <v>7</v>
      </c>
    </row>
    <row r="92" spans="1:9" x14ac:dyDescent="0.25">
      <c r="A92" s="50">
        <v>60</v>
      </c>
      <c r="B92" s="60">
        <f>400-D91-D90-D89</f>
        <v>301</v>
      </c>
      <c r="C92" s="60">
        <v>4</v>
      </c>
      <c r="D92" s="60">
        <f>ROUND(B92*0.15,0)</f>
        <v>45</v>
      </c>
      <c r="E92" s="87"/>
      <c r="F92" s="87"/>
      <c r="G92" s="87"/>
      <c r="H92" s="87"/>
      <c r="I92" s="53">
        <f t="shared" si="4"/>
        <v>8</v>
      </c>
    </row>
    <row r="93" spans="1:9" x14ac:dyDescent="0.25">
      <c r="A93" s="50">
        <v>70</v>
      </c>
      <c r="B93" s="60">
        <f>475-D92-D91-D90-D89</f>
        <v>331</v>
      </c>
      <c r="C93" s="60">
        <v>5</v>
      </c>
      <c r="D93" s="60">
        <f>ROUND(B93*0.15,0)</f>
        <v>50</v>
      </c>
      <c r="E93" s="87"/>
      <c r="F93" s="87"/>
      <c r="G93" s="87"/>
      <c r="H93" s="87"/>
      <c r="I93" s="53">
        <f t="shared" si="4"/>
        <v>7.5</v>
      </c>
    </row>
    <row r="94" spans="1:9" x14ac:dyDescent="0.25">
      <c r="A94" s="50">
        <v>80</v>
      </c>
      <c r="B94" s="60">
        <f>552-D93-D92-D91-D90-D89</f>
        <v>358</v>
      </c>
      <c r="C94" s="60">
        <v>6</v>
      </c>
      <c r="D94" s="60">
        <f>B94</f>
        <v>358</v>
      </c>
      <c r="E94" s="87"/>
      <c r="F94" s="87"/>
      <c r="G94" s="87"/>
      <c r="H94" s="87"/>
      <c r="I94" s="53">
        <f t="shared" si="4"/>
        <v>7.7</v>
      </c>
    </row>
    <row r="95" spans="1:9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</row>
    <row r="96" spans="1:9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</row>
    <row r="97" spans="1:9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</row>
    <row r="98" spans="1:9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</row>
    <row r="99" spans="1:9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</row>
    <row r="100" spans="1:9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</row>
    <row r="101" spans="1:9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</row>
    <row r="102" spans="1:9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</row>
    <row r="103" spans="1:9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</row>
    <row r="104" spans="1:9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</row>
    <row r="105" spans="1:9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</row>
    <row r="106" spans="1:9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</row>
    <row r="107" spans="1:9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</row>
    <row r="108" spans="1:9" x14ac:dyDescent="0.25">
      <c r="A108" s="4"/>
      <c r="B108" s="4"/>
    </row>
    <row r="109" spans="1:9" x14ac:dyDescent="0.25">
      <c r="A109" s="4"/>
      <c r="B109" s="4"/>
    </row>
    <row r="110" spans="1:9" x14ac:dyDescent="0.25">
      <c r="A110" s="46" t="s">
        <v>22</v>
      </c>
      <c r="B110" s="52" t="str">
        <f>IF(B12="","",B12)</f>
        <v/>
      </c>
      <c r="D110" s="227" t="s">
        <v>43</v>
      </c>
    </row>
    <row r="111" spans="1:9" x14ac:dyDescent="0.25">
      <c r="A111" s="46"/>
      <c r="B111" s="96"/>
    </row>
    <row r="112" spans="1:9" x14ac:dyDescent="0.25">
      <c r="A112" s="4"/>
      <c r="B112" s="85" t="s">
        <v>44</v>
      </c>
      <c r="C112" s="258" t="s">
        <v>45</v>
      </c>
      <c r="D112" s="258"/>
      <c r="E112" s="259" t="s">
        <v>46</v>
      </c>
      <c r="F112" s="260"/>
      <c r="G112" s="260"/>
      <c r="H112" s="261"/>
      <c r="I112" s="95"/>
    </row>
    <row r="113" spans="1:9" ht="45" x14ac:dyDescent="0.2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</row>
    <row r="114" spans="1:9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</row>
    <row r="115" spans="1:9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</row>
    <row r="116" spans="1:9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</row>
    <row r="117" spans="1:9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</row>
    <row r="118" spans="1:9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</row>
    <row r="119" spans="1:9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</row>
    <row r="120" spans="1:9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</row>
    <row r="121" spans="1:9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</row>
    <row r="122" spans="1:9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</row>
    <row r="123" spans="1:9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</row>
    <row r="124" spans="1:9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</row>
    <row r="125" spans="1:9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</row>
    <row r="126" spans="1:9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</row>
    <row r="127" spans="1:9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</row>
    <row r="128" spans="1:9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</row>
    <row r="129" spans="1:9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</row>
    <row r="130" spans="1:9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</row>
    <row r="131" spans="1:9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</row>
    <row r="132" spans="1:9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</row>
    <row r="133" spans="1:9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</row>
    <row r="134" spans="1:9" x14ac:dyDescent="0.25">
      <c r="A134" s="4"/>
      <c r="B134" s="4"/>
    </row>
    <row r="135" spans="1:9" x14ac:dyDescent="0.25">
      <c r="A135" s="4"/>
      <c r="B135" s="4"/>
    </row>
    <row r="136" spans="1:9" x14ac:dyDescent="0.25">
      <c r="A136" s="46" t="s">
        <v>23</v>
      </c>
      <c r="B136" s="52" t="str">
        <f>IF(B13="","",B13)</f>
        <v/>
      </c>
      <c r="D136" s="227" t="s">
        <v>43</v>
      </c>
    </row>
    <row r="137" spans="1:9" x14ac:dyDescent="0.25">
      <c r="A137" s="46"/>
      <c r="B137" s="96"/>
    </row>
    <row r="138" spans="1:9" x14ac:dyDescent="0.25">
      <c r="A138" s="4"/>
      <c r="B138" s="85" t="s">
        <v>44</v>
      </c>
      <c r="C138" s="258" t="s">
        <v>45</v>
      </c>
      <c r="D138" s="258"/>
      <c r="E138" s="259" t="s">
        <v>46</v>
      </c>
      <c r="F138" s="260"/>
      <c r="G138" s="260"/>
      <c r="H138" s="261"/>
      <c r="I138" s="95"/>
    </row>
    <row r="139" spans="1:9" ht="45" x14ac:dyDescent="0.2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</row>
    <row r="140" spans="1:9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</row>
    <row r="141" spans="1:9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</row>
    <row r="142" spans="1:9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</row>
    <row r="143" spans="1:9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</row>
    <row r="144" spans="1:9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</row>
    <row r="145" spans="1:9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</row>
    <row r="146" spans="1:9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</row>
    <row r="147" spans="1:9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</row>
    <row r="148" spans="1:9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</row>
    <row r="149" spans="1:9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</row>
    <row r="150" spans="1:9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</row>
    <row r="151" spans="1:9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</row>
    <row r="152" spans="1:9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</row>
    <row r="153" spans="1:9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</row>
    <row r="154" spans="1:9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</row>
    <row r="155" spans="1:9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</row>
    <row r="156" spans="1:9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</row>
    <row r="157" spans="1:9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</row>
    <row r="158" spans="1:9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</row>
    <row r="159" spans="1:9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</row>
    <row r="162" spans="1:9" x14ac:dyDescent="0.25">
      <c r="A162" s="46" t="s">
        <v>24</v>
      </c>
      <c r="B162" s="52" t="str">
        <f>IF(B14="","",B14)</f>
        <v/>
      </c>
      <c r="D162" s="227" t="s">
        <v>43</v>
      </c>
    </row>
    <row r="163" spans="1:9" x14ac:dyDescent="0.25">
      <c r="A163" s="46"/>
      <c r="B163" s="96"/>
    </row>
    <row r="164" spans="1:9" x14ac:dyDescent="0.25">
      <c r="A164" s="4"/>
      <c r="B164" s="85" t="s">
        <v>44</v>
      </c>
      <c r="C164" s="258" t="s">
        <v>45</v>
      </c>
      <c r="D164" s="258"/>
      <c r="E164" s="259" t="s">
        <v>46</v>
      </c>
      <c r="F164" s="260"/>
      <c r="G164" s="260"/>
      <c r="H164" s="261"/>
      <c r="I164" s="95"/>
    </row>
    <row r="165" spans="1:9" ht="45" x14ac:dyDescent="0.2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</row>
    <row r="166" spans="1:9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</row>
    <row r="167" spans="1:9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</row>
    <row r="168" spans="1:9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</row>
    <row r="169" spans="1:9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</row>
    <row r="170" spans="1:9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</row>
    <row r="171" spans="1:9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</row>
    <row r="172" spans="1:9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</row>
    <row r="173" spans="1:9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</row>
    <row r="174" spans="1:9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</row>
    <row r="175" spans="1:9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</row>
    <row r="176" spans="1:9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</row>
    <row r="177" spans="1:9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</row>
    <row r="178" spans="1:9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</row>
    <row r="179" spans="1:9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</row>
    <row r="180" spans="1:9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</row>
    <row r="181" spans="1:9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</row>
    <row r="182" spans="1:9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</row>
    <row r="183" spans="1:9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</row>
    <row r="184" spans="1:9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</row>
    <row r="185" spans="1:9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</row>
    <row r="186" spans="1:9" x14ac:dyDescent="0.25">
      <c r="A186" s="4"/>
      <c r="B186" s="4"/>
    </row>
    <row r="187" spans="1:9" x14ac:dyDescent="0.25">
      <c r="A187" s="4"/>
      <c r="B187" s="4"/>
    </row>
    <row r="188" spans="1:9" x14ac:dyDescent="0.25">
      <c r="A188" s="46" t="s">
        <v>25</v>
      </c>
      <c r="B188" s="52" t="str">
        <f>IF(B15="","",B15)</f>
        <v/>
      </c>
      <c r="D188" s="227" t="s">
        <v>43</v>
      </c>
    </row>
    <row r="189" spans="1:9" x14ac:dyDescent="0.25">
      <c r="A189" s="46"/>
      <c r="B189" s="96"/>
    </row>
    <row r="190" spans="1:9" x14ac:dyDescent="0.25">
      <c r="A190" s="4"/>
      <c r="B190" s="85" t="s">
        <v>44</v>
      </c>
      <c r="C190" s="258" t="s">
        <v>45</v>
      </c>
      <c r="D190" s="258"/>
      <c r="E190" s="259" t="s">
        <v>46</v>
      </c>
      <c r="F190" s="260"/>
      <c r="G190" s="260"/>
      <c r="H190" s="261"/>
      <c r="I190" s="95"/>
    </row>
    <row r="191" spans="1:9" ht="45" x14ac:dyDescent="0.2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</row>
    <row r="192" spans="1:9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</row>
    <row r="193" spans="1:9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</row>
    <row r="194" spans="1:9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</row>
    <row r="195" spans="1:9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</row>
    <row r="196" spans="1:9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</row>
    <row r="197" spans="1:9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</row>
    <row r="198" spans="1:9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</row>
    <row r="199" spans="1:9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</row>
    <row r="200" spans="1:9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</row>
    <row r="201" spans="1:9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</row>
    <row r="202" spans="1:9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</row>
    <row r="203" spans="1:9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</row>
    <row r="204" spans="1:9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</row>
    <row r="205" spans="1:9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</row>
    <row r="206" spans="1:9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</row>
    <row r="207" spans="1:9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</row>
    <row r="208" spans="1:9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</row>
    <row r="209" spans="1:9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</row>
    <row r="210" spans="1:9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</row>
    <row r="211" spans="1:9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</row>
    <row r="212" spans="1:9" x14ac:dyDescent="0.25">
      <c r="A212" s="4"/>
      <c r="B212" s="4"/>
    </row>
    <row r="213" spans="1:9" x14ac:dyDescent="0.25">
      <c r="A213" s="4"/>
      <c r="B213" s="4"/>
    </row>
    <row r="214" spans="1:9" x14ac:dyDescent="0.25">
      <c r="A214" s="46" t="s">
        <v>26</v>
      </c>
      <c r="B214" s="52" t="str">
        <f>IF(B16="","",B16)</f>
        <v/>
      </c>
      <c r="D214" s="227" t="s">
        <v>43</v>
      </c>
    </row>
    <row r="215" spans="1:9" x14ac:dyDescent="0.25">
      <c r="A215" s="46"/>
      <c r="B215" s="96"/>
    </row>
    <row r="216" spans="1:9" x14ac:dyDescent="0.25">
      <c r="A216" s="4"/>
      <c r="B216" s="85" t="s">
        <v>44</v>
      </c>
      <c r="C216" s="258" t="s">
        <v>45</v>
      </c>
      <c r="D216" s="258"/>
      <c r="E216" s="259" t="s">
        <v>46</v>
      </c>
      <c r="F216" s="260"/>
      <c r="G216" s="260"/>
      <c r="H216" s="261"/>
      <c r="I216" s="95"/>
    </row>
    <row r="217" spans="1:9" ht="45" x14ac:dyDescent="0.2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</row>
    <row r="218" spans="1:9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</row>
    <row r="219" spans="1:9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</row>
    <row r="220" spans="1:9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</row>
    <row r="221" spans="1:9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</row>
    <row r="222" spans="1:9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</row>
    <row r="223" spans="1:9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</row>
    <row r="224" spans="1:9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</row>
    <row r="225" spans="1:9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</row>
    <row r="226" spans="1:9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</row>
    <row r="227" spans="1:9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</row>
    <row r="228" spans="1:9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</row>
    <row r="229" spans="1:9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</row>
    <row r="230" spans="1:9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</row>
    <row r="231" spans="1:9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</row>
    <row r="232" spans="1:9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</row>
    <row r="233" spans="1:9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</row>
    <row r="234" spans="1:9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</row>
    <row r="235" spans="1:9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</row>
    <row r="236" spans="1:9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</row>
    <row r="237" spans="1:9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</row>
    <row r="238" spans="1:9" x14ac:dyDescent="0.25">
      <c r="A238" s="4"/>
      <c r="B238" s="4"/>
    </row>
    <row r="239" spans="1:9" x14ac:dyDescent="0.25">
      <c r="A239" s="4"/>
      <c r="B239" s="4"/>
    </row>
    <row r="240" spans="1:9" x14ac:dyDescent="0.25">
      <c r="A240" s="46" t="s">
        <v>27</v>
      </c>
      <c r="B240" s="52" t="str">
        <f>IF(B17="","",B17)</f>
        <v/>
      </c>
      <c r="D240" s="227" t="s">
        <v>43</v>
      </c>
    </row>
    <row r="242" spans="1:9" x14ac:dyDescent="0.25">
      <c r="A242" s="4"/>
      <c r="B242" s="85" t="s">
        <v>44</v>
      </c>
      <c r="C242" s="258" t="s">
        <v>45</v>
      </c>
      <c r="D242" s="258"/>
      <c r="E242" s="259" t="s">
        <v>46</v>
      </c>
      <c r="F242" s="260"/>
      <c r="G242" s="260"/>
      <c r="H242" s="261"/>
      <c r="I242" s="95"/>
    </row>
    <row r="243" spans="1:9" ht="45" x14ac:dyDescent="0.2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</row>
    <row r="244" spans="1:9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</row>
    <row r="245" spans="1:9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</row>
    <row r="246" spans="1:9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</row>
    <row r="247" spans="1:9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</row>
    <row r="248" spans="1:9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</row>
    <row r="249" spans="1:9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</row>
    <row r="250" spans="1:9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</row>
    <row r="251" spans="1:9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</row>
    <row r="252" spans="1:9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</row>
    <row r="253" spans="1:9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</row>
    <row r="254" spans="1:9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</row>
    <row r="255" spans="1:9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</row>
    <row r="256" spans="1:9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</row>
    <row r="257" spans="1:9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</row>
    <row r="258" spans="1:9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</row>
    <row r="259" spans="1:9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</row>
    <row r="260" spans="1:9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</row>
    <row r="261" spans="1:9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</row>
    <row r="262" spans="1:9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</row>
    <row r="263" spans="1:9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</row>
    <row r="264" spans="1:9" x14ac:dyDescent="0.25">
      <c r="A264" s="4"/>
      <c r="B264" s="4"/>
    </row>
    <row r="265" spans="1:9" x14ac:dyDescent="0.25">
      <c r="A265" s="4"/>
      <c r="B265" s="4"/>
    </row>
    <row r="266" spans="1:9" x14ac:dyDescent="0.25">
      <c r="A266" s="46" t="s">
        <v>28</v>
      </c>
      <c r="B266" s="52" t="str">
        <f>IF(B18="","",B18)</f>
        <v/>
      </c>
      <c r="D266" s="227" t="s">
        <v>43</v>
      </c>
    </row>
    <row r="267" spans="1:9" x14ac:dyDescent="0.25">
      <c r="A267" s="46"/>
      <c r="B267" s="96"/>
    </row>
    <row r="268" spans="1:9" x14ac:dyDescent="0.25">
      <c r="A268" s="4"/>
      <c r="B268" s="85" t="s">
        <v>44</v>
      </c>
      <c r="C268" s="258" t="s">
        <v>45</v>
      </c>
      <c r="D268" s="258"/>
      <c r="E268" s="259" t="s">
        <v>46</v>
      </c>
      <c r="F268" s="260"/>
      <c r="G268" s="260"/>
      <c r="H268" s="261"/>
      <c r="I268" s="95"/>
    </row>
    <row r="269" spans="1:9" ht="45" x14ac:dyDescent="0.2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</row>
    <row r="270" spans="1:9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</row>
    <row r="271" spans="1:9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</row>
    <row r="272" spans="1:9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</row>
    <row r="273" spans="1:9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</row>
    <row r="274" spans="1:9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</row>
    <row r="275" spans="1:9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</row>
    <row r="276" spans="1:9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</row>
    <row r="277" spans="1:9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</row>
    <row r="278" spans="1:9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</row>
    <row r="279" spans="1:9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</row>
    <row r="280" spans="1:9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</row>
    <row r="281" spans="1:9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</row>
    <row r="282" spans="1:9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</row>
    <row r="283" spans="1:9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</row>
    <row r="284" spans="1:9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</row>
    <row r="285" spans="1:9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</row>
    <row r="286" spans="1:9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</row>
    <row r="287" spans="1:9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</row>
    <row r="288" spans="1:9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</row>
    <row r="289" spans="1:9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</row>
  </sheetData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ignoredErrors>
    <ignoredError sqref="J64:K64 K62 J63 J66:K66 J65 J68:K68 J67 J71:K71 J69 J70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2:G19"/>
  <sheetViews>
    <sheetView topLeftCell="A4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2" spans="1:7" ht="27" thickBot="1" x14ac:dyDescent="0.45">
      <c r="A2" s="4"/>
      <c r="B2" s="272" t="s">
        <v>56</v>
      </c>
      <c r="C2" s="273"/>
      <c r="D2" s="273"/>
      <c r="E2" s="273"/>
      <c r="F2" s="273"/>
      <c r="G2" s="27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271"/>
      <c r="C4" s="271"/>
      <c r="D4" s="271"/>
      <c r="E4" s="271"/>
      <c r="F4" s="271"/>
      <c r="G4" s="271"/>
    </row>
    <row r="5" spans="1:7" x14ac:dyDescent="0.25">
      <c r="A5" s="4"/>
      <c r="B5" s="97" t="s">
        <v>57</v>
      </c>
      <c r="C5" s="97"/>
      <c r="D5" s="4"/>
      <c r="E5" s="4"/>
      <c r="F5" s="4"/>
      <c r="G5" s="4"/>
    </row>
    <row r="6" spans="1:7" x14ac:dyDescent="0.25">
      <c r="A6" s="23"/>
      <c r="B6" s="216"/>
      <c r="C6" s="216"/>
      <c r="D6" s="23"/>
      <c r="E6" s="23"/>
      <c r="F6" s="23"/>
      <c r="G6" s="23"/>
    </row>
    <row r="7" spans="1:7" s="3" customFormat="1" ht="19.5" customHeight="1" x14ac:dyDescent="0.25">
      <c r="A7" s="98"/>
      <c r="B7" s="26" t="s">
        <v>58</v>
      </c>
      <c r="C7" s="99" t="s">
        <v>59</v>
      </c>
      <c r="D7" s="214"/>
      <c r="E7" s="100"/>
      <c r="F7" s="26" t="s">
        <v>58</v>
      </c>
      <c r="G7" s="99" t="s">
        <v>60</v>
      </c>
    </row>
    <row r="8" spans="1:7" ht="17.25" customHeight="1" x14ac:dyDescent="0.25">
      <c r="A8" s="104">
        <v>1</v>
      </c>
      <c r="B8" s="61">
        <v>0</v>
      </c>
      <c r="C8" s="49" t="s">
        <v>61</v>
      </c>
      <c r="D8" s="23"/>
      <c r="E8" s="104">
        <v>4</v>
      </c>
      <c r="F8" s="61">
        <v>0</v>
      </c>
      <c r="G8" s="101" t="s">
        <v>62</v>
      </c>
    </row>
    <row r="9" spans="1:7" ht="17.25" customHeight="1" x14ac:dyDescent="0.25">
      <c r="A9" s="104">
        <v>2</v>
      </c>
      <c r="B9" s="61">
        <v>1</v>
      </c>
      <c r="C9" s="107" t="s">
        <v>63</v>
      </c>
      <c r="D9" s="23"/>
      <c r="E9" s="104">
        <v>5</v>
      </c>
      <c r="F9" s="61">
        <v>0</v>
      </c>
      <c r="G9" s="102" t="s">
        <v>64</v>
      </c>
    </row>
    <row r="10" spans="1:7" ht="17.25" customHeight="1" x14ac:dyDescent="0.25">
      <c r="A10" s="104">
        <v>3</v>
      </c>
      <c r="B10" s="61">
        <v>0</v>
      </c>
      <c r="C10" s="108" t="s">
        <v>65</v>
      </c>
      <c r="D10" s="23"/>
      <c r="E10" s="4"/>
      <c r="F10" s="105">
        <f>SUM(F7:F9)</f>
        <v>0</v>
      </c>
      <c r="G10" s="103" t="str">
        <f>IF(OR(SUM(F8:F9)=0%,SUM(F8:F9)=100%),"OK","ERREUR : corrigez")</f>
        <v>OK</v>
      </c>
    </row>
    <row r="11" spans="1:7" x14ac:dyDescent="0.25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s="3" customFormat="1" ht="21" customHeight="1" x14ac:dyDescent="0.25">
      <c r="A13" s="215"/>
      <c r="B13" s="106"/>
      <c r="C13" s="97" t="s">
        <v>66</v>
      </c>
      <c r="D13" s="215"/>
      <c r="E13" s="98"/>
      <c r="F13" s="106"/>
      <c r="G13" s="97" t="s">
        <v>67</v>
      </c>
    </row>
    <row r="14" spans="1:7" s="3" customFormat="1" ht="21" customHeight="1" x14ac:dyDescent="0.25">
      <c r="A14" s="215"/>
      <c r="B14" s="106"/>
      <c r="C14" s="97" t="s">
        <v>68</v>
      </c>
      <c r="D14" s="215"/>
      <c r="E14" s="98"/>
      <c r="F14" s="106"/>
      <c r="G14" s="97" t="s">
        <v>69</v>
      </c>
    </row>
    <row r="15" spans="1:7" x14ac:dyDescent="0.25">
      <c r="A15" s="23"/>
      <c r="B15" s="26" t="s">
        <v>58</v>
      </c>
      <c r="C15" s="4"/>
      <c r="D15" s="23"/>
      <c r="E15" s="4"/>
      <c r="F15" s="4"/>
      <c r="G15" s="2" t="s">
        <v>70</v>
      </c>
    </row>
    <row r="16" spans="1:7" x14ac:dyDescent="0.25">
      <c r="A16" s="23"/>
      <c r="B16" s="61">
        <v>0</v>
      </c>
      <c r="C16" s="109" t="s">
        <v>71</v>
      </c>
      <c r="D16" s="23"/>
      <c r="E16" s="4"/>
      <c r="F16" s="23"/>
      <c r="G16" s="23"/>
    </row>
    <row r="17" spans="2:3" x14ac:dyDescent="0.25">
      <c r="B17" s="61">
        <v>0</v>
      </c>
      <c r="C17" s="109" t="s">
        <v>72</v>
      </c>
    </row>
    <row r="18" spans="2:3" x14ac:dyDescent="0.25">
      <c r="B18" s="61">
        <v>0</v>
      </c>
      <c r="C18" s="109" t="s">
        <v>73</v>
      </c>
    </row>
    <row r="19" spans="2:3" x14ac:dyDescent="0.25">
      <c r="B19" s="105">
        <f>SUM(B16:B18)</f>
        <v>0</v>
      </c>
      <c r="C19" s="103" t="str">
        <f>IF(SUM(B16:B18)=B8,"OK","ERREUR : corrigez ; le total n'est pas égal à celui de la cellule B8")</f>
        <v>OK</v>
      </c>
    </row>
  </sheetData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74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Robinier faux-acacia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75</v>
      </c>
      <c r="B2" s="72" t="s">
        <v>76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81</v>
      </c>
      <c r="H2" s="66" t="s">
        <v>82</v>
      </c>
      <c r="I2" s="68" t="s">
        <v>79</v>
      </c>
      <c r="J2" s="69" t="s">
        <v>80</v>
      </c>
      <c r="K2" s="6" t="s">
        <v>83</v>
      </c>
      <c r="L2" s="6" t="s">
        <v>84</v>
      </c>
      <c r="M2" s="6" t="s">
        <v>84</v>
      </c>
      <c r="N2" s="6" t="s">
        <v>85</v>
      </c>
      <c r="O2" s="6" t="s">
        <v>86</v>
      </c>
      <c r="P2" s="6" t="s">
        <v>87</v>
      </c>
      <c r="Q2" s="6" t="s">
        <v>81</v>
      </c>
      <c r="R2" s="6" t="s">
        <v>88</v>
      </c>
      <c r="S2" s="6" t="s">
        <v>89</v>
      </c>
      <c r="T2" s="6" t="s">
        <v>90</v>
      </c>
      <c r="U2" s="7" t="s">
        <v>91</v>
      </c>
      <c r="V2" s="8" t="s">
        <v>92</v>
      </c>
      <c r="W2" s="7" t="s">
        <v>51</v>
      </c>
      <c r="X2" s="7" t="s">
        <v>52</v>
      </c>
      <c r="Y2" s="7" t="s">
        <v>93</v>
      </c>
      <c r="Z2" s="8" t="s">
        <v>94</v>
      </c>
      <c r="AA2" s="8" t="s">
        <v>95</v>
      </c>
      <c r="AB2" s="8" t="s">
        <v>96</v>
      </c>
      <c r="AC2" s="9" t="s">
        <v>97</v>
      </c>
      <c r="AD2" s="69" t="s">
        <v>79</v>
      </c>
      <c r="AE2" s="69" t="s">
        <v>80</v>
      </c>
      <c r="AF2" s="6" t="s">
        <v>83</v>
      </c>
      <c r="AG2" s="6" t="s">
        <v>84</v>
      </c>
      <c r="AH2" s="6" t="s">
        <v>84</v>
      </c>
      <c r="AI2" s="6" t="s">
        <v>85</v>
      </c>
      <c r="AJ2" s="6" t="s">
        <v>86</v>
      </c>
      <c r="AK2" s="6" t="s">
        <v>87</v>
      </c>
      <c r="AL2" s="6" t="s">
        <v>81</v>
      </c>
      <c r="AM2" s="6" t="s">
        <v>88</v>
      </c>
      <c r="AN2" s="6" t="s">
        <v>89</v>
      </c>
      <c r="AO2" s="6" t="s">
        <v>90</v>
      </c>
      <c r="AP2" s="7" t="s">
        <v>91</v>
      </c>
      <c r="AQ2" s="8" t="s">
        <v>92</v>
      </c>
      <c r="AR2" s="7" t="s">
        <v>51</v>
      </c>
      <c r="AS2" s="7" t="s">
        <v>52</v>
      </c>
      <c r="AT2" s="8" t="s">
        <v>98</v>
      </c>
      <c r="AU2" s="8" t="s">
        <v>94</v>
      </c>
      <c r="AV2" s="8" t="s">
        <v>95</v>
      </c>
      <c r="AW2" s="8" t="s">
        <v>96</v>
      </c>
      <c r="AX2" s="8" t="s">
        <v>97</v>
      </c>
      <c r="AY2" s="68" t="s">
        <v>79</v>
      </c>
      <c r="AZ2" s="69" t="s">
        <v>80</v>
      </c>
      <c r="BA2" s="6" t="s">
        <v>83</v>
      </c>
      <c r="BB2" s="6" t="s">
        <v>84</v>
      </c>
      <c r="BC2" s="6" t="s">
        <v>84</v>
      </c>
      <c r="BD2" s="6" t="s">
        <v>85</v>
      </c>
      <c r="BE2" s="6" t="s">
        <v>86</v>
      </c>
      <c r="BF2" s="6" t="s">
        <v>87</v>
      </c>
      <c r="BG2" s="6" t="s">
        <v>81</v>
      </c>
      <c r="BH2" s="6" t="s">
        <v>88</v>
      </c>
      <c r="BI2" s="6" t="s">
        <v>89</v>
      </c>
      <c r="BJ2" s="6" t="s">
        <v>90</v>
      </c>
      <c r="BK2" s="7" t="s">
        <v>91</v>
      </c>
      <c r="BL2" s="8" t="s">
        <v>92</v>
      </c>
      <c r="BM2" s="7" t="s">
        <v>51</v>
      </c>
      <c r="BN2" s="7" t="s">
        <v>52</v>
      </c>
      <c r="BO2" s="8" t="s">
        <v>98</v>
      </c>
      <c r="BP2" s="8" t="s">
        <v>94</v>
      </c>
      <c r="BQ2" s="8" t="s">
        <v>95</v>
      </c>
      <c r="BR2" s="8" t="s">
        <v>96</v>
      </c>
      <c r="BS2" s="9" t="s">
        <v>97</v>
      </c>
      <c r="BT2" s="68" t="s">
        <v>79</v>
      </c>
      <c r="BU2" s="69" t="s">
        <v>80</v>
      </c>
      <c r="BV2" s="6" t="s">
        <v>83</v>
      </c>
      <c r="BW2" s="6" t="s">
        <v>84</v>
      </c>
      <c r="BX2" s="6" t="s">
        <v>84</v>
      </c>
      <c r="BY2" s="6" t="s">
        <v>85</v>
      </c>
      <c r="BZ2" s="6" t="s">
        <v>86</v>
      </c>
      <c r="CA2" s="6" t="s">
        <v>87</v>
      </c>
      <c r="CB2" s="6" t="s">
        <v>81</v>
      </c>
      <c r="CC2" s="6" t="s">
        <v>88</v>
      </c>
      <c r="CD2" s="6" t="s">
        <v>89</v>
      </c>
      <c r="CE2" s="6" t="s">
        <v>90</v>
      </c>
      <c r="CF2" s="7" t="s">
        <v>91</v>
      </c>
      <c r="CG2" s="8" t="s">
        <v>92</v>
      </c>
      <c r="CH2" s="7" t="s">
        <v>51</v>
      </c>
      <c r="CI2" s="7" t="s">
        <v>52</v>
      </c>
      <c r="CJ2" s="8" t="s">
        <v>98</v>
      </c>
      <c r="CK2" s="8" t="s">
        <v>94</v>
      </c>
      <c r="CL2" s="8" t="s">
        <v>95</v>
      </c>
      <c r="CM2" s="8" t="s">
        <v>96</v>
      </c>
      <c r="CN2" s="9" t="s">
        <v>97</v>
      </c>
      <c r="CO2" s="68" t="s">
        <v>79</v>
      </c>
      <c r="CP2" s="69" t="s">
        <v>80</v>
      </c>
      <c r="CQ2" s="6" t="s">
        <v>83</v>
      </c>
      <c r="CR2" s="6" t="s">
        <v>84</v>
      </c>
      <c r="CS2" s="6" t="s">
        <v>84</v>
      </c>
      <c r="CT2" s="6" t="s">
        <v>85</v>
      </c>
      <c r="CU2" s="6" t="s">
        <v>86</v>
      </c>
      <c r="CV2" s="6" t="s">
        <v>87</v>
      </c>
      <c r="CW2" s="6" t="s">
        <v>81</v>
      </c>
      <c r="CX2" s="6" t="s">
        <v>88</v>
      </c>
      <c r="CY2" s="6" t="s">
        <v>89</v>
      </c>
      <c r="CZ2" s="6" t="s">
        <v>90</v>
      </c>
      <c r="DA2" s="7" t="s">
        <v>91</v>
      </c>
      <c r="DB2" s="8" t="s">
        <v>92</v>
      </c>
      <c r="DC2" s="7" t="s">
        <v>51</v>
      </c>
      <c r="DD2" s="7" t="s">
        <v>52</v>
      </c>
      <c r="DE2" s="8" t="s">
        <v>98</v>
      </c>
      <c r="DF2" s="8" t="s">
        <v>94</v>
      </c>
      <c r="DG2" s="8" t="s">
        <v>95</v>
      </c>
      <c r="DH2" s="8" t="s">
        <v>96</v>
      </c>
      <c r="DI2" s="9" t="s">
        <v>97</v>
      </c>
      <c r="DJ2" s="68" t="s">
        <v>79</v>
      </c>
      <c r="DK2" s="69" t="s">
        <v>80</v>
      </c>
      <c r="DL2" s="6" t="s">
        <v>83</v>
      </c>
      <c r="DM2" s="6" t="s">
        <v>84</v>
      </c>
      <c r="DN2" s="6" t="s">
        <v>84</v>
      </c>
      <c r="DO2" s="6" t="s">
        <v>85</v>
      </c>
      <c r="DP2" s="6" t="s">
        <v>86</v>
      </c>
      <c r="DQ2" s="6" t="s">
        <v>87</v>
      </c>
      <c r="DR2" s="6" t="s">
        <v>81</v>
      </c>
      <c r="DS2" s="6" t="s">
        <v>88</v>
      </c>
      <c r="DT2" s="6" t="s">
        <v>89</v>
      </c>
      <c r="DU2" s="6" t="s">
        <v>90</v>
      </c>
      <c r="DV2" s="7" t="s">
        <v>91</v>
      </c>
      <c r="DW2" s="8" t="s">
        <v>92</v>
      </c>
      <c r="DX2" s="7" t="s">
        <v>51</v>
      </c>
      <c r="DY2" s="7" t="s">
        <v>52</v>
      </c>
      <c r="DZ2" s="8" t="s">
        <v>98</v>
      </c>
      <c r="EA2" s="8" t="s">
        <v>94</v>
      </c>
      <c r="EB2" s="8" t="s">
        <v>95</v>
      </c>
      <c r="EC2" s="8" t="s">
        <v>96</v>
      </c>
      <c r="ED2" s="9" t="s">
        <v>97</v>
      </c>
      <c r="EE2" s="68" t="s">
        <v>79</v>
      </c>
      <c r="EF2" s="69" t="s">
        <v>80</v>
      </c>
      <c r="EG2" s="6" t="s">
        <v>83</v>
      </c>
      <c r="EH2" s="6" t="s">
        <v>84</v>
      </c>
      <c r="EI2" s="6" t="s">
        <v>84</v>
      </c>
      <c r="EJ2" s="6" t="s">
        <v>85</v>
      </c>
      <c r="EK2" s="6" t="s">
        <v>86</v>
      </c>
      <c r="EL2" s="6" t="s">
        <v>87</v>
      </c>
      <c r="EM2" s="6" t="s">
        <v>81</v>
      </c>
      <c r="EN2" s="6" t="s">
        <v>88</v>
      </c>
      <c r="EO2" s="6" t="s">
        <v>89</v>
      </c>
      <c r="EP2" s="6" t="s">
        <v>90</v>
      </c>
      <c r="EQ2" s="7" t="s">
        <v>91</v>
      </c>
      <c r="ER2" s="8" t="s">
        <v>92</v>
      </c>
      <c r="ES2" s="7" t="s">
        <v>51</v>
      </c>
      <c r="ET2" s="7" t="s">
        <v>52</v>
      </c>
      <c r="EU2" s="8" t="s">
        <v>98</v>
      </c>
      <c r="EV2" s="8" t="s">
        <v>94</v>
      </c>
      <c r="EW2" s="8" t="s">
        <v>95</v>
      </c>
      <c r="EX2" s="8" t="s">
        <v>96</v>
      </c>
      <c r="EY2" s="9" t="s">
        <v>97</v>
      </c>
      <c r="EZ2" s="68" t="s">
        <v>79</v>
      </c>
      <c r="FA2" s="69" t="s">
        <v>80</v>
      </c>
      <c r="FB2" s="6" t="s">
        <v>83</v>
      </c>
      <c r="FC2" s="6" t="s">
        <v>84</v>
      </c>
      <c r="FD2" s="6" t="s">
        <v>84</v>
      </c>
      <c r="FE2" s="6" t="s">
        <v>85</v>
      </c>
      <c r="FF2" s="6" t="s">
        <v>86</v>
      </c>
      <c r="FG2" s="6" t="s">
        <v>87</v>
      </c>
      <c r="FH2" s="6" t="s">
        <v>81</v>
      </c>
      <c r="FI2" s="6" t="s">
        <v>88</v>
      </c>
      <c r="FJ2" s="6" t="s">
        <v>89</v>
      </c>
      <c r="FK2" s="6" t="s">
        <v>90</v>
      </c>
      <c r="FL2" s="7" t="s">
        <v>91</v>
      </c>
      <c r="FM2" s="8" t="s">
        <v>92</v>
      </c>
      <c r="FN2" s="7" t="s">
        <v>51</v>
      </c>
      <c r="FO2" s="7" t="s">
        <v>52</v>
      </c>
      <c r="FP2" s="8" t="s">
        <v>99</v>
      </c>
      <c r="FQ2" s="8" t="s">
        <v>94</v>
      </c>
      <c r="FR2" s="8" t="s">
        <v>95</v>
      </c>
      <c r="FS2" s="8" t="s">
        <v>96</v>
      </c>
      <c r="FT2" s="9" t="s">
        <v>97</v>
      </c>
      <c r="FU2" s="68" t="s">
        <v>79</v>
      </c>
      <c r="FV2" s="69" t="s">
        <v>80</v>
      </c>
      <c r="FW2" s="6" t="s">
        <v>83</v>
      </c>
      <c r="FX2" s="6" t="s">
        <v>84</v>
      </c>
      <c r="FY2" s="6" t="s">
        <v>84</v>
      </c>
      <c r="FZ2" s="6" t="s">
        <v>85</v>
      </c>
      <c r="GA2" s="6" t="s">
        <v>86</v>
      </c>
      <c r="GB2" s="6" t="s">
        <v>87</v>
      </c>
      <c r="GC2" s="6" t="s">
        <v>81</v>
      </c>
      <c r="GD2" s="6" t="s">
        <v>88</v>
      </c>
      <c r="GE2" s="6" t="s">
        <v>89</v>
      </c>
      <c r="GF2" s="6" t="s">
        <v>90</v>
      </c>
      <c r="GG2" s="7" t="s">
        <v>91</v>
      </c>
      <c r="GH2" s="8" t="s">
        <v>92</v>
      </c>
      <c r="GI2" s="7" t="s">
        <v>51</v>
      </c>
      <c r="GJ2" s="7" t="s">
        <v>52</v>
      </c>
      <c r="GK2" s="8" t="s">
        <v>98</v>
      </c>
      <c r="GL2" s="8" t="s">
        <v>94</v>
      </c>
      <c r="GM2" s="8" t="s">
        <v>95</v>
      </c>
      <c r="GN2" s="8" t="s">
        <v>96</v>
      </c>
      <c r="GO2" s="8" t="s">
        <v>97</v>
      </c>
      <c r="GP2" s="68" t="s">
        <v>79</v>
      </c>
      <c r="GQ2" s="69" t="s">
        <v>80</v>
      </c>
      <c r="GR2" s="6" t="s">
        <v>83</v>
      </c>
      <c r="GS2" s="6" t="s">
        <v>84</v>
      </c>
      <c r="GT2" s="6" t="s">
        <v>84</v>
      </c>
      <c r="GU2" s="6" t="s">
        <v>85</v>
      </c>
      <c r="GV2" s="6" t="s">
        <v>86</v>
      </c>
      <c r="GW2" s="6" t="s">
        <v>87</v>
      </c>
      <c r="GX2" s="6" t="s">
        <v>81</v>
      </c>
      <c r="GY2" s="6" t="s">
        <v>88</v>
      </c>
      <c r="GZ2" s="6" t="s">
        <v>89</v>
      </c>
      <c r="HA2" s="6" t="s">
        <v>90</v>
      </c>
      <c r="HB2" s="7" t="s">
        <v>91</v>
      </c>
      <c r="HC2" s="8" t="s">
        <v>92</v>
      </c>
      <c r="HD2" s="7" t="s">
        <v>51</v>
      </c>
      <c r="HE2" s="7" t="s">
        <v>52</v>
      </c>
      <c r="HF2" s="8" t="s">
        <v>98</v>
      </c>
      <c r="HG2" s="8" t="s">
        <v>94</v>
      </c>
      <c r="HH2" s="8" t="s">
        <v>95</v>
      </c>
      <c r="HI2" s="8" t="s">
        <v>96</v>
      </c>
      <c r="HJ2" s="9" t="s">
        <v>97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394.42011098756564</v>
      </c>
      <c r="T3" s="59">
        <f>IF('Données projet'!E9&gt;30,$R$33-$H$33,LOOKUP('Données projet'!$E$9,$A$3:$A$203,R3:R203)-LOOKUP('Données projet'!$E$9,$A$3:$A$203,$H$3:$H$203))</f>
        <v>559.92215054152859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263.03078346375446</v>
      </c>
      <c r="AO3" s="59">
        <f>IF('Données projet'!E10&gt;30,$AM$33-$H$33,LOOKUP('Données projet'!$E$10,$A$3:$A$203,AM3:AM203)-LOOKUP('Données projet'!$E$10,$A$3:$A$203,$H$3:$H$203))</f>
        <v>251.74283929680905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141.78548348627351</v>
      </c>
      <c r="BJ3" s="59">
        <f>IF('Données projet'!E11&gt;30,$BH$33-$H$33,LOOKUP('Données projet'!$E$11,$A$3:$A$203,BH3:BH203)-LOOKUP('Données projet'!$E$11,$A$3:$A$203,$H$3:$H$203))</f>
        <v>162.67012146297657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6.8</v>
      </c>
      <c r="N4" s="13">
        <f>IF('Données projet'!$A$36&gt;35,N3+M4-V3,IF(A4&lt;'Données projet'!$A$36,$K$205^A4,IF(A4='Données projet'!$A$36,'Données projet'!$B$36,N3+M4-V3)))</f>
        <v>2.0243974584998852</v>
      </c>
      <c r="O4" s="13">
        <f>N4*VLOOKUP('Données projet'!$B$9,Paramètres!$A$1:$I$89,3,0)*VLOOKUP('Données projet'!$B$9,Paramètres!$A$1:$I$89,5,0)</f>
        <v>1.8316748204506961</v>
      </c>
      <c r="P4" s="13">
        <f>EXP(-1.0587+0.8836*LN(O4)+0.284)</f>
        <v>0.78669228172688432</v>
      </c>
      <c r="Q4" s="20">
        <f t="shared" ref="Q4:Q34" si="2">(O4+P4)*0.475*44/12</f>
        <v>4.5603227029592857</v>
      </c>
      <c r="R4" s="59">
        <f t="shared" si="0"/>
        <v>262.44921159184815</v>
      </c>
      <c r="S4" s="59">
        <f ca="1">AVERAGE(OFFSET($R$3,0,0,'Données projet'!$E$9+1,1))-AVERAGE(OFFSET($H$3,0,0,'Données projet'!$E$9+1,1))</f>
        <v>394.42011098756564</v>
      </c>
      <c r="T4" s="59">
        <f>$T$3</f>
        <v>559.92215054152859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5.5909090909090908</v>
      </c>
      <c r="AI4" s="13">
        <f>IF('Données projet'!$A$62&gt;35,AI3+AH4-AQ3,IF(A4&lt;'Données projet'!$A$62,$AF$205^A4,IF(A4='Données projet'!$A$62,'Données projet'!$B$62,AI3+AH4-AQ3)))</f>
        <v>1.244502252163008</v>
      </c>
      <c r="AJ4" s="13">
        <f>AI4*VLOOKUP('Données projet'!$B$10,Paramètres!$A$1:$I$89,3,0)*VLOOKUP('Données projet'!$B$10,Paramètres!$A$1:$I$89,5,0)</f>
        <v>0.74421234679347892</v>
      </c>
      <c r="AK4" s="13">
        <f>EXP(-1.0587+0.8836*LN(AJ4)+0.284)</f>
        <v>0.3549632728022305</v>
      </c>
      <c r="AL4" s="20">
        <f t="shared" ref="AL4:AL67" si="4">(AJ4+AK4)*0.475*44/12</f>
        <v>1.9143975374625271</v>
      </c>
      <c r="AM4" s="59">
        <f t="shared" ref="AM4:AM67" si="5">AL4+(AD4+AE4)*44/12</f>
        <v>259.80328642635141</v>
      </c>
      <c r="AN4" s="59">
        <f ca="1">AVERAGE(OFFSET($AM$3,0,0,'Données projet'!$E$10+1,1))-AVERAGE(OFFSET($H$3,0,0,'Données projet'!$E$10+1,1))</f>
        <v>263.03078346375446</v>
      </c>
      <c r="AO4" s="59">
        <f>$AO$3</f>
        <v>251.74283929680905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5.75</v>
      </c>
      <c r="BD4" s="12">
        <f>IF('Données projet'!$A$88&gt;35,BD3+BC4-BL3,IF(A4&lt;'Données projet'!$A$88,$BA$205^A4,IF(A4='Données projet'!$A$88,'Données projet'!$B$88,BD3+BC4-BL3)))</f>
        <v>1.2677537154322802</v>
      </c>
      <c r="BE4" s="13">
        <f>BD4*VLOOKUP('Données projet'!$B$11,Paramètres!$A$1:$I$89,3,0)*VLOOKUP('Données projet'!$B$11,Paramètres!$A$1:$I$89,5,0)</f>
        <v>0.59330873882230706</v>
      </c>
      <c r="BF4" s="13">
        <f>EXP(-1.0587+0.8836*LN(BE4)+0.284)</f>
        <v>0.29055137246158741</v>
      </c>
      <c r="BG4" s="20">
        <f t="shared" ref="BG4:BG67" si="7">(BE4+BF4)*0.475*44/12</f>
        <v>1.5393896938194491</v>
      </c>
      <c r="BH4" s="59">
        <f t="shared" ref="BH4:BH67" si="8">BG4+(AY4+AZ4)*44/12</f>
        <v>259.42827858270829</v>
      </c>
      <c r="BI4" s="59">
        <f ca="1">AVERAGE(OFFSET($BH$3,0,0,'Données projet'!$E$11+1,1))-AVERAGE(OFFSET($H$3,0,0,'Données projet'!$E$11+1,1))</f>
        <v>141.78548348627351</v>
      </c>
      <c r="BJ4" s="59">
        <f>$BJ$3</f>
        <v>162.67012146297657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6.8</v>
      </c>
      <c r="N5" s="13">
        <f>IF('Données projet'!$A$36&gt;35,N4+M5-V4,IF(A5&lt;'Données projet'!$A$36,$K$205^A5,IF(A5='Données projet'!$A$36,'Données projet'!$B$36,N4+M5-V4)))</f>
        <v>4.0981850699807945</v>
      </c>
      <c r="O5" s="13">
        <f>N5*VLOOKUP('Données projet'!$B$9,Paramètres!$A$1:$I$89,3,0)*VLOOKUP('Données projet'!$B$9,Paramètres!$A$1:$I$89,5,0)</f>
        <v>3.7080378513186227</v>
      </c>
      <c r="P5" s="13">
        <f t="shared" ref="P5:P68" si="33">EXP(-1.0587+0.8836*LN(O5)+0.284)</f>
        <v>1.4670598901857457</v>
      </c>
      <c r="Q5" s="20">
        <f t="shared" si="2"/>
        <v>9.0132952331201093</v>
      </c>
      <c r="R5" s="59">
        <f t="shared" si="0"/>
        <v>268.12440634423126</v>
      </c>
      <c r="S5" s="59">
        <f ca="1">AVERAGE(OFFSET($R$3,0,0,'Données projet'!$E$9+1,1))-AVERAGE(OFFSET($H$3,0,0,'Données projet'!$E$9+1,1))</f>
        <v>394.42011098756564</v>
      </c>
      <c r="T5" s="59">
        <f t="shared" ref="T5:T68" si="34">$T$3</f>
        <v>559.92215054152859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5.5909090909090908</v>
      </c>
      <c r="AI5" s="13">
        <f>IF('Données projet'!$A$62&gt;35,AI4+AH5-AQ4,IF(A5&lt;'Données projet'!$A$62,$AF$205^A5,IF(A5='Données projet'!$A$62,'Données projet'!$B$62,AI4+AH5-AQ4)))</f>
        <v>1.5487858556387992</v>
      </c>
      <c r="AJ5" s="13">
        <f>AI5*VLOOKUP('Données projet'!$B$10,Paramètres!$A$1:$I$89,3,0)*VLOOKUP('Données projet'!$B$10,Paramètres!$A$1:$I$89,5,0)</f>
        <v>0.92617394167200195</v>
      </c>
      <c r="AK5" s="13">
        <f t="shared" ref="AK5:AK68" si="35">EXP(-1.0587+0.8836*LN(AJ5)+0.284)</f>
        <v>0.43064718121421069</v>
      </c>
      <c r="AL5" s="20">
        <f t="shared" si="4"/>
        <v>2.3631301223601535</v>
      </c>
      <c r="AM5" s="59">
        <f t="shared" si="5"/>
        <v>261.47424123347128</v>
      </c>
      <c r="AN5" s="59">
        <f ca="1">AVERAGE(OFFSET($AM$3,0,0,'Données projet'!$E$10+1,1))-AVERAGE(OFFSET($H$3,0,0,'Données projet'!$E$10+1,1))</f>
        <v>263.03078346375446</v>
      </c>
      <c r="AO5" s="59">
        <f t="shared" ref="AO5:AO68" si="36">$AO$3</f>
        <v>251.74283929680905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5.75</v>
      </c>
      <c r="BD5" s="12">
        <f>IF('Données projet'!$A$88&gt;35,BD4+BC5-BL4,IF(A5&lt;'Données projet'!$A$88,$BA$205^A5,IF(A5='Données projet'!$A$88,'Données projet'!$B$88,BD4+BC5-BL4)))</f>
        <v>1.6071994829923508</v>
      </c>
      <c r="BE5" s="13">
        <f>BD5*VLOOKUP('Données projet'!$B$11,Paramètres!$A$1:$I$89,3,0)*VLOOKUP('Données projet'!$B$11,Paramètres!$A$1:$I$89,5,0)</f>
        <v>0.75216935804042018</v>
      </c>
      <c r="BF5" s="13">
        <f t="shared" ref="BF5:BF68" si="37">EXP(-1.0587+0.8836*LN(BE5)+0.284)</f>
        <v>0.35831464735172275</v>
      </c>
      <c r="BG5" s="20">
        <f t="shared" si="7"/>
        <v>1.9340929760579824</v>
      </c>
      <c r="BH5" s="59">
        <f t="shared" si="8"/>
        <v>261.04520408716911</v>
      </c>
      <c r="BI5" s="59">
        <f ca="1">AVERAGE(OFFSET($BH$3,0,0,'Données projet'!$E$11+1,1))-AVERAGE(OFFSET($H$3,0,0,'Données projet'!$E$11+1,1))</f>
        <v>141.78548348627351</v>
      </c>
      <c r="BJ5" s="59">
        <f t="shared" ref="BJ5:BJ68" si="38">$BJ$3</f>
        <v>162.67012146297657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6.8</v>
      </c>
      <c r="N6" s="13">
        <f>IF('Données projet'!$A$36&gt;35,N5+M6-V5,IF(A6&lt;'Données projet'!$A$36,$K$205^A6,IF(A6='Données projet'!$A$36,'Données projet'!$B$36,N5+M6-V5)))</f>
        <v>8.2963554401312951</v>
      </c>
      <c r="O6" s="13">
        <f>N6*VLOOKUP('Données projet'!$B$9,Paramètres!$A$1:$I$89,3,0)*VLOOKUP('Données projet'!$B$9,Paramètres!$A$1:$I$89,5,0)</f>
        <v>7.5065424022307949</v>
      </c>
      <c r="P6" s="13">
        <f t="shared" si="33"/>
        <v>2.7358406474604431</v>
      </c>
      <c r="Q6" s="20">
        <f t="shared" si="2"/>
        <v>17.838817144878906</v>
      </c>
      <c r="R6" s="59">
        <f t="shared" si="0"/>
        <v>278.17215047821225</v>
      </c>
      <c r="S6" s="59">
        <f ca="1">AVERAGE(OFFSET($R$3,0,0,'Données projet'!$E$9+1,1))-AVERAGE(OFFSET($H$3,0,0,'Données projet'!$E$9+1,1))</f>
        <v>394.42011098756564</v>
      </c>
      <c r="T6" s="59">
        <f t="shared" si="34"/>
        <v>559.92215054152859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5.5909090909090908</v>
      </c>
      <c r="AI6" s="13">
        <f>IF('Données projet'!$A$62&gt;35,AI5+AH6-AQ5,IF(A6&lt;'Données projet'!$A$62,$AF$205^A6,IF(A6='Données projet'!$A$62,'Données projet'!$B$62,AI5+AH6-AQ5)))</f>
        <v>1.927467485460697</v>
      </c>
      <c r="AJ6" s="13">
        <f>AI6*VLOOKUP('Données projet'!$B$10,Paramètres!$A$1:$I$89,3,0)*VLOOKUP('Données projet'!$B$10,Paramètres!$A$1:$I$89,5,0)</f>
        <v>1.152625556305497</v>
      </c>
      <c r="AK6" s="13">
        <f t="shared" si="35"/>
        <v>0.52246812247269758</v>
      </c>
      <c r="AL6" s="20">
        <f t="shared" si="4"/>
        <v>2.9174548238720219</v>
      </c>
      <c r="AM6" s="59">
        <f t="shared" si="5"/>
        <v>263.25078815720536</v>
      </c>
      <c r="AN6" s="59">
        <f ca="1">AVERAGE(OFFSET($AM$3,0,0,'Données projet'!$E$10+1,1))-AVERAGE(OFFSET($H$3,0,0,'Données projet'!$E$10+1,1))</f>
        <v>263.03078346375446</v>
      </c>
      <c r="AO6" s="59">
        <f t="shared" si="36"/>
        <v>251.74283929680905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5.75</v>
      </c>
      <c r="BD6" s="12">
        <f>IF('Données projet'!$A$88&gt;35,BD5+BC6-BL5,IF(A6&lt;'Données projet'!$A$88,$BA$205^A6,IF(A6='Données projet'!$A$88,'Données projet'!$B$88,BD5+BC6-BL5)))</f>
        <v>2.0375331160043926</v>
      </c>
      <c r="BE6" s="13">
        <f>BD6*VLOOKUP('Données projet'!$B$11,Paramètres!$A$1:$I$89,3,0)*VLOOKUP('Données projet'!$B$11,Paramètres!$A$1:$I$89,5,0)</f>
        <v>0.95356549829005577</v>
      </c>
      <c r="BF6" s="13">
        <f t="shared" si="37"/>
        <v>0.44188187933534279</v>
      </c>
      <c r="BG6" s="20">
        <f t="shared" si="7"/>
        <v>2.4304041826975693</v>
      </c>
      <c r="BH6" s="59">
        <f t="shared" si="8"/>
        <v>262.76373751603086</v>
      </c>
      <c r="BI6" s="59">
        <f ca="1">AVERAGE(OFFSET($BH$3,0,0,'Données projet'!$E$11+1,1))-AVERAGE(OFFSET($H$3,0,0,'Données projet'!$E$11+1,1))</f>
        <v>141.78548348627351</v>
      </c>
      <c r="BJ6" s="59">
        <f t="shared" si="38"/>
        <v>162.67012146297657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6.8</v>
      </c>
      <c r="N7" s="13">
        <f>IF('Données projet'!$A$36&gt;35,N6+M7-V6,IF(A7&lt;'Données projet'!$A$36,$K$205^A7,IF(A7='Données projet'!$A$36,'Données projet'!$B$36,N6+M7-V6)))</f>
        <v>16.795120867813488</v>
      </c>
      <c r="O7" s="13">
        <f>N7*VLOOKUP('Données projet'!$B$9,Paramètres!$A$1:$I$89,3,0)*VLOOKUP('Données projet'!$B$9,Paramètres!$A$1:$I$89,5,0)</f>
        <v>15.196225361197643</v>
      </c>
      <c r="P7" s="13">
        <f t="shared" si="33"/>
        <v>5.1019212633160578</v>
      </c>
      <c r="Q7" s="20">
        <f t="shared" si="2"/>
        <v>35.352605371028027</v>
      </c>
      <c r="R7" s="59">
        <f t="shared" si="0"/>
        <v>296.90816092658355</v>
      </c>
      <c r="S7" s="59">
        <f ca="1">AVERAGE(OFFSET($R$3,0,0,'Données projet'!$E$9+1,1))-AVERAGE(OFFSET($H$3,0,0,'Données projet'!$E$9+1,1))</f>
        <v>394.42011098756564</v>
      </c>
      <c r="T7" s="59">
        <f t="shared" si="34"/>
        <v>559.92215054152859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5.5909090909090908</v>
      </c>
      <c r="AI7" s="13">
        <f>IF('Données projet'!$A$62&gt;35,AI6+AH7-AQ6,IF(A7&lt;'Données projet'!$A$62,$AF$205^A7,IF(A7='Données projet'!$A$62,'Données projet'!$B$62,AI6+AH7-AQ6)))</f>
        <v>2.3987376266268075</v>
      </c>
      <c r="AJ7" s="13">
        <f>AI7*VLOOKUP('Données projet'!$B$10,Paramètres!$A$1:$I$89,3,0)*VLOOKUP('Données projet'!$B$10,Paramètres!$A$1:$I$89,5,0)</f>
        <v>1.4344451007228309</v>
      </c>
      <c r="AK7" s="13">
        <f t="shared" si="35"/>
        <v>0.63386677286612625</v>
      </c>
      <c r="AL7" s="20">
        <f t="shared" si="4"/>
        <v>3.6023098465007668</v>
      </c>
      <c r="AM7" s="59">
        <f t="shared" si="5"/>
        <v>265.1578654020563</v>
      </c>
      <c r="AN7" s="59">
        <f ca="1">AVERAGE(OFFSET($AM$3,0,0,'Données projet'!$E$10+1,1))-AVERAGE(OFFSET($H$3,0,0,'Données projet'!$E$10+1,1))</f>
        <v>263.03078346375446</v>
      </c>
      <c r="AO7" s="59">
        <f t="shared" si="36"/>
        <v>251.74283929680905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5.75</v>
      </c>
      <c r="BD7" s="12">
        <f>IF('Données projet'!$A$88&gt;35,BD6+BC7-BL6,IF(A7&lt;'Données projet'!$A$88,$BA$205^A7,IF(A7='Données projet'!$A$88,'Données projet'!$B$88,BD6+BC7-BL6)))</f>
        <v>2.5830901781308797</v>
      </c>
      <c r="BE7" s="13">
        <f>BD7*VLOOKUP('Données projet'!$B$11,Paramètres!$A$1:$I$89,3,0)*VLOOKUP('Données projet'!$B$11,Paramètres!$A$1:$I$89,5,0)</f>
        <v>1.2088862033652517</v>
      </c>
      <c r="BF7" s="13">
        <f t="shared" si="37"/>
        <v>0.54493891535856476</v>
      </c>
      <c r="BG7" s="20">
        <f t="shared" si="7"/>
        <v>3.0545787484439804</v>
      </c>
      <c r="BH7" s="59">
        <f t="shared" si="8"/>
        <v>264.61013430399953</v>
      </c>
      <c r="BI7" s="59">
        <f ca="1">AVERAGE(OFFSET($BH$3,0,0,'Données projet'!$E$11+1,1))-AVERAGE(OFFSET($H$3,0,0,'Données projet'!$E$11+1,1))</f>
        <v>141.78548348627351</v>
      </c>
      <c r="BJ7" s="59">
        <f t="shared" si="38"/>
        <v>162.67012146297657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34</v>
      </c>
      <c r="L8" s="12">
        <f>VLOOKUP(A8,'Données projet'!$A$35:$I$55,9,0)</f>
        <v>6.8</v>
      </c>
      <c r="M8" s="12">
        <f t="array" ref="M8">INDEX(L:L,MIN(IF(ISNUMBER(L8:L204),ROW(L8:L204),"")))</f>
        <v>6.8</v>
      </c>
      <c r="N8" s="13">
        <f>IF('Données projet'!$A$36&gt;35,N7+M8-V7,IF(A8&lt;'Données projet'!$A$36,$K$205^A8,IF(A8='Données projet'!$A$36,'Données projet'!$B$36,N7+M8-V7)))</f>
        <v>34</v>
      </c>
      <c r="O8" s="13">
        <f>N8*VLOOKUP('Données projet'!$B$9,Paramètres!$A$1:$I$89,3,0)*VLOOKUP('Données projet'!$B$9,Paramètres!$A$1:$I$89,5,0)</f>
        <v>30.763199999999998</v>
      </c>
      <c r="P8" s="13">
        <f t="shared" si="33"/>
        <v>9.5142970411082253</v>
      </c>
      <c r="Q8" s="20">
        <f t="shared" si="2"/>
        <v>70.149974013263474</v>
      </c>
      <c r="R8" s="59">
        <f t="shared" si="0"/>
        <v>332.92775179104126</v>
      </c>
      <c r="S8" s="59">
        <f ca="1">AVERAGE(OFFSET($R$3,0,0,'Données projet'!$E$9+1,1))-AVERAGE(OFFSET($H$3,0,0,'Données projet'!$E$9+1,1))</f>
        <v>394.42011098756564</v>
      </c>
      <c r="T8" s="59">
        <f t="shared" si="34"/>
        <v>559.92215054152859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5.5909090909090908</v>
      </c>
      <c r="AI8" s="13">
        <f>IF('Données projet'!$A$62&gt;35,AI7+AH8-AQ7,IF(A8&lt;'Données projet'!$A$62,$AF$205^A8,IF(A8='Données projet'!$A$62,'Données projet'!$B$62,AI7+AH8-AQ7)))</f>
        <v>2.9852343786852105</v>
      </c>
      <c r="AJ8" s="13">
        <f>AI8*VLOOKUP('Données projet'!$B$10,Paramètres!$A$1:$I$89,3,0)*VLOOKUP('Données projet'!$B$10,Paramètres!$A$1:$I$89,5,0)</f>
        <v>1.785170158453756</v>
      </c>
      <c r="AK8" s="13">
        <f t="shared" si="35"/>
        <v>0.7690174164926461</v>
      </c>
      <c r="AL8" s="20">
        <f t="shared" si="4"/>
        <v>4.4485433596983173</v>
      </c>
      <c r="AM8" s="59">
        <f t="shared" si="5"/>
        <v>267.22632113747608</v>
      </c>
      <c r="AN8" s="59">
        <f ca="1">AVERAGE(OFFSET($AM$3,0,0,'Données projet'!$E$10+1,1))-AVERAGE(OFFSET($H$3,0,0,'Données projet'!$E$10+1,1))</f>
        <v>263.03078346375446</v>
      </c>
      <c r="AO8" s="59">
        <f t="shared" si="36"/>
        <v>251.74283929680905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5.75</v>
      </c>
      <c r="BD8" s="12">
        <f>IF('Données projet'!$A$88&gt;35,BD7+BC8-BL7,IF(A8&lt;'Données projet'!$A$88,$BA$205^A8,IF(A8='Données projet'!$A$88,'Données projet'!$B$88,BD7+BC8-BL7)))</f>
        <v>3.2747221706220535</v>
      </c>
      <c r="BE8" s="13">
        <f>BD8*VLOOKUP('Données projet'!$B$11,Paramètres!$A$1:$I$89,3,0)*VLOOKUP('Données projet'!$B$11,Paramètres!$A$1:$I$89,5,0)</f>
        <v>1.5325699758511209</v>
      </c>
      <c r="BF8" s="13">
        <f t="shared" si="37"/>
        <v>0.67203122680395833</v>
      </c>
      <c r="BG8" s="20">
        <f t="shared" si="7"/>
        <v>3.839680427957596</v>
      </c>
      <c r="BH8" s="59">
        <f t="shared" si="8"/>
        <v>266.61745820573537</v>
      </c>
      <c r="BI8" s="59">
        <f ca="1">AVERAGE(OFFSET($BH$3,0,0,'Données projet'!$E$11+1,1))-AVERAGE(OFFSET($H$3,0,0,'Données projet'!$E$11+1,1))</f>
        <v>141.78548348627351</v>
      </c>
      <c r="BJ8" s="59">
        <f t="shared" si="38"/>
        <v>162.67012146297657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14.2</v>
      </c>
      <c r="N9" s="13">
        <f>IF('Données projet'!$A$36&gt;35,N8+M9-V8,IF(A9&lt;'Données projet'!$A$36,$K$205^A9,IF(A9='Données projet'!$A$36,'Données projet'!$B$36,N8+M9-V8)))</f>
        <v>48.2</v>
      </c>
      <c r="O9" s="13">
        <f>N9*VLOOKUP('Données projet'!$B$9,Paramètres!$A$1:$I$89,3,0)*VLOOKUP('Données projet'!$B$9,Paramètres!$A$1:$I$89,5,0)</f>
        <v>43.611359999999998</v>
      </c>
      <c r="P9" s="13">
        <f t="shared" si="33"/>
        <v>12.950970021195541</v>
      </c>
      <c r="Q9" s="20">
        <f t="shared" si="2"/>
        <v>98.512724786915555</v>
      </c>
      <c r="R9" s="59">
        <f t="shared" si="0"/>
        <v>362.51272478691556</v>
      </c>
      <c r="S9" s="59">
        <f ca="1">AVERAGE(OFFSET($R$3,0,0,'Données projet'!$E$9+1,1))-AVERAGE(OFFSET($H$3,0,0,'Données projet'!$E$9+1,1))</f>
        <v>394.42011098756564</v>
      </c>
      <c r="T9" s="59">
        <f t="shared" si="34"/>
        <v>559.92215054152859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5.5909090909090908</v>
      </c>
      <c r="AI9" s="13">
        <f>IF('Données projet'!$A$62&gt;35,AI8+AH9-AQ8,IF(A9&lt;'Données projet'!$A$62,$AF$205^A9,IF(A9='Données projet'!$A$62,'Données projet'!$B$62,AI8+AH9-AQ8)))</f>
        <v>3.7151309075081826</v>
      </c>
      <c r="AJ9" s="13">
        <f>AI9*VLOOKUP('Données projet'!$B$10,Paramètres!$A$1:$I$89,3,0)*VLOOKUP('Données projet'!$B$10,Paramètres!$A$1:$I$89,5,0)</f>
        <v>2.2216482826898933</v>
      </c>
      <c r="AK9" s="13">
        <f t="shared" si="35"/>
        <v>0.93298436230530435</v>
      </c>
      <c r="AL9" s="20">
        <f t="shared" si="4"/>
        <v>5.4943185233666361</v>
      </c>
      <c r="AM9" s="59">
        <f t="shared" si="5"/>
        <v>269.49431852336664</v>
      </c>
      <c r="AN9" s="59">
        <f ca="1">AVERAGE(OFFSET($AM$3,0,0,'Données projet'!$E$10+1,1))-AVERAGE(OFFSET($H$3,0,0,'Données projet'!$E$10+1,1))</f>
        <v>263.03078346375446</v>
      </c>
      <c r="AO9" s="59">
        <f t="shared" si="36"/>
        <v>251.74283929680905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5.75</v>
      </c>
      <c r="BD9" s="12">
        <f>IF('Données projet'!$A$88&gt;35,BD8+BC9-BL8,IF(A9&lt;'Données projet'!$A$88,$BA$205^A9,IF(A9='Données projet'!$A$88,'Données projet'!$B$88,BD8+BC9-BL8)))</f>
        <v>4.1515411988145692</v>
      </c>
      <c r="BE9" s="13">
        <f>BD9*VLOOKUP('Données projet'!$B$11,Paramètres!$A$1:$I$89,3,0)*VLOOKUP('Données projet'!$B$11,Paramètres!$A$1:$I$89,5,0)</f>
        <v>1.9429212810452183</v>
      </c>
      <c r="BF9" s="13">
        <f t="shared" si="37"/>
        <v>0.82876439371643607</v>
      </c>
      <c r="BG9" s="20">
        <f t="shared" si="7"/>
        <v>4.8273525502098815</v>
      </c>
      <c r="BH9" s="59">
        <f t="shared" si="8"/>
        <v>268.82735255020987</v>
      </c>
      <c r="BI9" s="59">
        <f ca="1">AVERAGE(OFFSET($BH$3,0,0,'Données projet'!$E$11+1,1))-AVERAGE(OFFSET($H$3,0,0,'Données projet'!$E$11+1,1))</f>
        <v>141.78548348627351</v>
      </c>
      <c r="BJ9" s="59">
        <f t="shared" si="38"/>
        <v>162.67012146297657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14.2</v>
      </c>
      <c r="N10" s="13">
        <f>IF('Données projet'!$A$36&gt;35,N9+M10-V9,IF(A10&lt;'Données projet'!$A$36,$K$205^A10,IF(A10='Données projet'!$A$36,'Données projet'!$B$36,N9+M10-V9)))</f>
        <v>62.400000000000006</v>
      </c>
      <c r="O10" s="13">
        <f>N10*VLOOKUP('Données projet'!$B$9,Paramètres!$A$1:$I$89,3,0)*VLOOKUP('Données projet'!$B$9,Paramètres!$A$1:$I$89,5,0)</f>
        <v>56.459520000000005</v>
      </c>
      <c r="P10" s="13">
        <f t="shared" si="33"/>
        <v>16.269980728799919</v>
      </c>
      <c r="Q10" s="20">
        <f t="shared" si="2"/>
        <v>126.67054710265984</v>
      </c>
      <c r="R10" s="59">
        <f t="shared" si="0"/>
        <v>391.89276932488207</v>
      </c>
      <c r="S10" s="59">
        <f ca="1">AVERAGE(OFFSET($R$3,0,0,'Données projet'!$E$9+1,1))-AVERAGE(OFFSET($H$3,0,0,'Données projet'!$E$9+1,1))</f>
        <v>394.42011098756564</v>
      </c>
      <c r="T10" s="59">
        <f t="shared" si="34"/>
        <v>559.92215054152859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5.5909090909090908</v>
      </c>
      <c r="AI10" s="13">
        <f>IF('Données projet'!$A$62&gt;35,AI9+AH10-AQ9,IF(A10&lt;'Données projet'!$A$62,$AF$205^A10,IF(A10='Données projet'!$A$62,'Données projet'!$B$62,AI9+AH10-AQ9)))</f>
        <v>4.6234887814743333</v>
      </c>
      <c r="AJ10" s="13">
        <f>AI10*VLOOKUP('Données projet'!$B$10,Paramètres!$A$1:$I$89,3,0)*VLOOKUP('Données projet'!$B$10,Paramètres!$A$1:$I$89,5,0)</f>
        <v>2.7648462913216516</v>
      </c>
      <c r="AK10" s="13">
        <f t="shared" si="35"/>
        <v>1.1319117118000401</v>
      </c>
      <c r="AL10" s="20">
        <f t="shared" si="4"/>
        <v>6.7868535221036126</v>
      </c>
      <c r="AM10" s="59">
        <f t="shared" si="5"/>
        <v>272.00907574432586</v>
      </c>
      <c r="AN10" s="59">
        <f ca="1">AVERAGE(OFFSET($AM$3,0,0,'Données projet'!$E$10+1,1))-AVERAGE(OFFSET($H$3,0,0,'Données projet'!$E$10+1,1))</f>
        <v>263.03078346375446</v>
      </c>
      <c r="AO10" s="59">
        <f t="shared" si="36"/>
        <v>251.74283929680905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5.75</v>
      </c>
      <c r="BD10" s="12">
        <f>IF('Données projet'!$A$88&gt;35,BD9+BC10-BL9,IF(A10&lt;'Données projet'!$A$88,$BA$205^A10,IF(A10='Données projet'!$A$88,'Données projet'!$B$88,BD9+BC10-BL9)))</f>
        <v>5.2631317795673525</v>
      </c>
      <c r="BE10" s="13">
        <f>BD10*VLOOKUP('Données projet'!$B$11,Paramètres!$A$1:$I$89,3,0)*VLOOKUP('Données projet'!$B$11,Paramètres!$A$1:$I$89,5,0)</f>
        <v>2.4631456728375212</v>
      </c>
      <c r="BF10" s="13">
        <f t="shared" si="37"/>
        <v>1.0220513465701448</v>
      </c>
      <c r="BG10" s="20">
        <f t="shared" si="7"/>
        <v>6.0700514754683512</v>
      </c>
      <c r="BH10" s="59">
        <f t="shared" si="8"/>
        <v>271.29227369769058</v>
      </c>
      <c r="BI10" s="59">
        <f ca="1">AVERAGE(OFFSET($BH$3,0,0,'Données projet'!$E$11+1,1))-AVERAGE(OFFSET($H$3,0,0,'Données projet'!$E$11+1,1))</f>
        <v>141.78548348627351</v>
      </c>
      <c r="BJ10" s="59">
        <f t="shared" si="38"/>
        <v>162.67012146297657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14.2</v>
      </c>
      <c r="N11" s="13">
        <f>IF('Données projet'!$A$36&gt;35,N10+M11-V10,IF(A11&lt;'Données projet'!$A$36,$K$205^A11,IF(A11='Données projet'!$A$36,'Données projet'!$B$36,N10+M11-V10)))</f>
        <v>76.600000000000009</v>
      </c>
      <c r="O11" s="13">
        <f>N11*VLOOKUP('Données projet'!$B$9,Paramètres!$A$1:$I$89,3,0)*VLOOKUP('Données projet'!$B$9,Paramètres!$A$1:$I$89,5,0)</f>
        <v>69.307680000000005</v>
      </c>
      <c r="P11" s="13">
        <f t="shared" si="33"/>
        <v>19.501430784841368</v>
      </c>
      <c r="Q11" s="20">
        <f t="shared" si="2"/>
        <v>154.67586795026543</v>
      </c>
      <c r="R11" s="59">
        <f t="shared" si="0"/>
        <v>421.12031239470991</v>
      </c>
      <c r="S11" s="59">
        <f ca="1">AVERAGE(OFFSET($R$3,0,0,'Données projet'!$E$9+1,1))-AVERAGE(OFFSET($H$3,0,0,'Données projet'!$E$9+1,1))</f>
        <v>394.42011098756564</v>
      </c>
      <c r="T11" s="59">
        <f t="shared" si="34"/>
        <v>559.92215054152859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5.5909090909090908</v>
      </c>
      <c r="AI11" s="13">
        <f>IF('Données projet'!$A$62&gt;35,AI10+AH11-AQ10,IF(A11&lt;'Données projet'!$A$62,$AF$205^A11,IF(A11='Données projet'!$A$62,'Données projet'!$B$62,AI10+AH11-AQ10)))</f>
        <v>5.7539422013952093</v>
      </c>
      <c r="AJ11" s="13">
        <f>AI11*VLOOKUP('Données projet'!$B$10,Paramètres!$A$1:$I$89,3,0)*VLOOKUP('Données projet'!$B$10,Paramètres!$A$1:$I$89,5,0)</f>
        <v>3.4408574364343356</v>
      </c>
      <c r="AK11" s="13">
        <f t="shared" si="35"/>
        <v>1.3732535882427113</v>
      </c>
      <c r="AL11" s="20">
        <f t="shared" si="4"/>
        <v>8.3845767013125236</v>
      </c>
      <c r="AM11" s="59">
        <f t="shared" si="5"/>
        <v>274.829021145757</v>
      </c>
      <c r="AN11" s="59">
        <f ca="1">AVERAGE(OFFSET($AM$3,0,0,'Données projet'!$E$10+1,1))-AVERAGE(OFFSET($H$3,0,0,'Données projet'!$E$10+1,1))</f>
        <v>263.03078346375446</v>
      </c>
      <c r="AO11" s="59">
        <f t="shared" si="36"/>
        <v>251.74283929680905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5.75</v>
      </c>
      <c r="BD11" s="12">
        <f>IF('Données projet'!$A$88&gt;35,BD10+BC11-BL10,IF(A11&lt;'Données projet'!$A$88,$BA$205^A11,IF(A11='Données projet'!$A$88,'Données projet'!$B$88,BD10+BC11-BL10)))</f>
        <v>6.6723548683562202</v>
      </c>
      <c r="BE11" s="13">
        <f>BD11*VLOOKUP('Données projet'!$B$11,Paramètres!$A$1:$I$89,3,0)*VLOOKUP('Données projet'!$B$11,Paramètres!$A$1:$I$89,5,0)</f>
        <v>3.1226620783907113</v>
      </c>
      <c r="BF11" s="13">
        <f t="shared" si="37"/>
        <v>1.2604172705122936</v>
      </c>
      <c r="BG11" s="20">
        <f t="shared" si="7"/>
        <v>7.6338631993393991</v>
      </c>
      <c r="BH11" s="59">
        <f t="shared" si="8"/>
        <v>274.07830764378383</v>
      </c>
      <c r="BI11" s="59">
        <f ca="1">AVERAGE(OFFSET($BH$3,0,0,'Données projet'!$E$11+1,1))-AVERAGE(OFFSET($H$3,0,0,'Données projet'!$E$11+1,1))</f>
        <v>141.78548348627351</v>
      </c>
      <c r="BJ11" s="59">
        <f t="shared" si="38"/>
        <v>162.67012146297657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14.2</v>
      </c>
      <c r="N12" s="13">
        <f>IF('Données projet'!$A$36&gt;35,N11+M12-V11,IF(A12&lt;'Données projet'!$A$36,$K$205^A12,IF(A12='Données projet'!$A$36,'Données projet'!$B$36,N11+M12-V11)))</f>
        <v>90.800000000000011</v>
      </c>
      <c r="O12" s="13">
        <f>N12*VLOOKUP('Données projet'!$B$9,Paramètres!$A$1:$I$89,3,0)*VLOOKUP('Données projet'!$B$9,Paramètres!$A$1:$I$89,5,0)</f>
        <v>82.155840000000012</v>
      </c>
      <c r="P12" s="13">
        <f t="shared" si="33"/>
        <v>22.663479678624277</v>
      </c>
      <c r="Q12" s="20">
        <f t="shared" si="2"/>
        <v>182.56031510693728</v>
      </c>
      <c r="R12" s="59">
        <f t="shared" si="0"/>
        <v>450.22698177360394</v>
      </c>
      <c r="S12" s="59">
        <f ca="1">AVERAGE(OFFSET($R$3,0,0,'Données projet'!$E$9+1,1))-AVERAGE(OFFSET($H$3,0,0,'Données projet'!$E$9+1,1))</f>
        <v>394.42011098756564</v>
      </c>
      <c r="T12" s="59">
        <f t="shared" si="34"/>
        <v>559.92215054152859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5.5909090909090908</v>
      </c>
      <c r="AI12" s="13">
        <f>IF('Données projet'!$A$62&gt;35,AI11+AH12-AQ11,IF(A12&lt;'Données projet'!$A$62,$AF$205^A12,IF(A12='Données projet'!$A$62,'Données projet'!$B$62,AI11+AH12-AQ11)))</f>
        <v>7.1607940284521145</v>
      </c>
      <c r="AJ12" s="13">
        <f>AI12*VLOOKUP('Données projet'!$B$10,Paramètres!$A$1:$I$89,3,0)*VLOOKUP('Données projet'!$B$10,Paramètres!$A$1:$I$89,5,0)</f>
        <v>4.2821548290143649</v>
      </c>
      <c r="AK12" s="13">
        <f t="shared" si="35"/>
        <v>1.6660534544894132</v>
      </c>
      <c r="AL12" s="20">
        <f t="shared" si="4"/>
        <v>10.359796093769079</v>
      </c>
      <c r="AM12" s="59">
        <f t="shared" si="5"/>
        <v>278.02646276043578</v>
      </c>
      <c r="AN12" s="59">
        <f ca="1">AVERAGE(OFFSET($AM$3,0,0,'Données projet'!$E$10+1,1))-AVERAGE(OFFSET($H$3,0,0,'Données projet'!$E$10+1,1))</f>
        <v>263.03078346375446</v>
      </c>
      <c r="AO12" s="59">
        <f t="shared" si="36"/>
        <v>251.74283929680905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5.75</v>
      </c>
      <c r="BD12" s="12">
        <f>IF('Données projet'!$A$88&gt;35,BD11+BC12-BL11,IF(A12&lt;'Données projet'!$A$88,$BA$205^A12,IF(A12='Données projet'!$A$88,'Données projet'!$B$88,BD11+BC12-BL11)))</f>
        <v>8.4589026750412604</v>
      </c>
      <c r="BE12" s="13">
        <f>BD12*VLOOKUP('Données projet'!$B$11,Paramètres!$A$1:$I$89,3,0)*VLOOKUP('Données projet'!$B$11,Paramètres!$A$1:$I$89,5,0)</f>
        <v>3.9587664519193098</v>
      </c>
      <c r="BF12" s="13">
        <f t="shared" si="37"/>
        <v>1.5543756203021926</v>
      </c>
      <c r="BG12" s="20">
        <f t="shared" si="7"/>
        <v>9.6020557757857823</v>
      </c>
      <c r="BH12" s="59">
        <f t="shared" si="8"/>
        <v>277.26872244245249</v>
      </c>
      <c r="BI12" s="59">
        <f ca="1">AVERAGE(OFFSET($BH$3,0,0,'Données projet'!$E$11+1,1))-AVERAGE(OFFSET($H$3,0,0,'Données projet'!$E$11+1,1))</f>
        <v>141.78548348627351</v>
      </c>
      <c r="BJ12" s="59">
        <f t="shared" si="38"/>
        <v>162.67012146297657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105</v>
      </c>
      <c r="L13" s="12">
        <f>VLOOKUP(A13,'Données projet'!$A$35:$I$55,9,0)</f>
        <v>14.2</v>
      </c>
      <c r="M13" s="12">
        <f t="array" ref="M13">INDEX(L:L,MIN(IF(ISNUMBER(L13:L209),ROW(L13:L209),"")))</f>
        <v>14.2</v>
      </c>
      <c r="N13" s="13">
        <f>IF('Données projet'!$A$36&gt;35,N12+M13-V12,IF(A13&lt;'Données projet'!$A$36,$K$205^A13,IF(A13='Données projet'!$A$36,'Données projet'!$B$36,N12+M13-V12)))</f>
        <v>105.00000000000001</v>
      </c>
      <c r="O13" s="13">
        <f>N13*VLOOKUP('Données projet'!$B$9,Paramètres!$A$1:$I$89,3,0)*VLOOKUP('Données projet'!$B$9,Paramètres!$A$1:$I$89,5,0)</f>
        <v>95.004000000000019</v>
      </c>
      <c r="P13" s="13">
        <f t="shared" si="33"/>
        <v>25.768242550600785</v>
      </c>
      <c r="Q13" s="20">
        <f t="shared" si="2"/>
        <v>210.34498910896306</v>
      </c>
      <c r="R13" s="59">
        <f t="shared" si="0"/>
        <v>479.23387799785189</v>
      </c>
      <c r="S13" s="59">
        <f ca="1">AVERAGE(OFFSET($R$3,0,0,'Données projet'!$E$9+1,1))-AVERAGE(OFFSET($H$3,0,0,'Données projet'!$E$9+1,1))</f>
        <v>394.42011098756564</v>
      </c>
      <c r="T13" s="59">
        <f t="shared" si="34"/>
        <v>559.92215054152859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34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5.5909090909090908</v>
      </c>
      <c r="AI13" s="13">
        <f>IF('Données projet'!$A$62&gt;35,AI12+AH13-AQ12,IF(A13&lt;'Données projet'!$A$62,$AF$205^A13,IF(A13='Données projet'!$A$62,'Données projet'!$B$62,AI12+AH13-AQ12)))</f>
        <v>8.9116242956840761</v>
      </c>
      <c r="AJ13" s="13">
        <f>AI13*VLOOKUP('Données projet'!$B$10,Paramètres!$A$1:$I$89,3,0)*VLOOKUP('Données projet'!$B$10,Paramètres!$A$1:$I$89,5,0)</f>
        <v>5.3291513288190782</v>
      </c>
      <c r="AK13" s="13">
        <f t="shared" si="35"/>
        <v>2.0212829858817885</v>
      </c>
      <c r="AL13" s="20">
        <f t="shared" si="4"/>
        <v>12.802006431437341</v>
      </c>
      <c r="AM13" s="59">
        <f t="shared" si="5"/>
        <v>281.69089532032621</v>
      </c>
      <c r="AN13" s="59">
        <f ca="1">AVERAGE(OFFSET($AM$3,0,0,'Données projet'!$E$10+1,1))-AVERAGE(OFFSET($H$3,0,0,'Données projet'!$E$10+1,1))</f>
        <v>263.03078346375446</v>
      </c>
      <c r="AO13" s="59">
        <f t="shared" si="36"/>
        <v>251.74283929680905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5.75</v>
      </c>
      <c r="BD13" s="12">
        <f>IF('Données projet'!$A$88&gt;35,BD12+BC13-BL12,IF(A13&lt;'Données projet'!$A$88,$BA$205^A13,IF(A13='Données projet'!$A$88,'Données projet'!$B$88,BD12+BC13-BL12)))</f>
        <v>10.723805294763611</v>
      </c>
      <c r="BE13" s="13">
        <f>BD13*VLOOKUP('Données projet'!$B$11,Paramètres!$A$1:$I$89,3,0)*VLOOKUP('Données projet'!$B$11,Paramètres!$A$1:$I$89,5,0)</f>
        <v>5.0187408779493703</v>
      </c>
      <c r="BF13" s="13">
        <f t="shared" si="37"/>
        <v>1.9168918305981435</v>
      </c>
      <c r="BG13" s="20">
        <f t="shared" si="7"/>
        <v>12.079560300720253</v>
      </c>
      <c r="BH13" s="59">
        <f t="shared" si="8"/>
        <v>280.96844918960909</v>
      </c>
      <c r="BI13" s="59">
        <f ca="1">AVERAGE(OFFSET($BH$3,0,0,'Données projet'!$E$11+1,1))-AVERAGE(OFFSET($H$3,0,0,'Données projet'!$E$11+1,1))</f>
        <v>141.78548348627351</v>
      </c>
      <c r="BJ13" s="59">
        <f t="shared" si="38"/>
        <v>162.67012146297657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13.8</v>
      </c>
      <c r="N14" s="13">
        <f>IF('Données projet'!$A$36&gt;35,N13+M14-V13,IF(A14&lt;'Données projet'!$A$36,$K$205^A14,IF(A14='Données projet'!$A$36,'Données projet'!$B$36,N13+M14-V13)))</f>
        <v>84.800000000000011</v>
      </c>
      <c r="O14" s="13">
        <f>N14*VLOOKUP('Données projet'!$B$9,Paramètres!$A$1:$I$89,3,0)*VLOOKUP('Données projet'!$B$9,Paramètres!$A$1:$I$89,5,0)</f>
        <v>76.727040000000017</v>
      </c>
      <c r="P14" s="13">
        <f t="shared" si="33"/>
        <v>21.334993267156719</v>
      </c>
      <c r="Q14" s="20">
        <f t="shared" si="2"/>
        <v>170.79137460696464</v>
      </c>
      <c r="R14" s="59">
        <f t="shared" si="0"/>
        <v>440.90248571807581</v>
      </c>
      <c r="S14" s="59">
        <f ca="1">AVERAGE(OFFSET($R$3,0,0,'Données projet'!$E$9+1,1))-AVERAGE(OFFSET($H$3,0,0,'Données projet'!$E$9+1,1))</f>
        <v>394.42011098756564</v>
      </c>
      <c r="T14" s="59">
        <f t="shared" si="34"/>
        <v>559.92215054152859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5.5909090909090908</v>
      </c>
      <c r="AI14" s="13">
        <f>IF('Données projet'!$A$62&gt;35,AI13+AH14-AQ13,IF(A14&lt;'Données projet'!$A$62,$AF$205^A14,IF(A14='Données projet'!$A$62,'Données projet'!$B$62,AI13+AH14-AQ13)))</f>
        <v>11.090536506409412</v>
      </c>
      <c r="AJ14" s="13">
        <f>AI14*VLOOKUP('Données projet'!$B$10,Paramètres!$A$1:$I$89,3,0)*VLOOKUP('Données projet'!$B$10,Paramètres!$A$1:$I$89,5,0)</f>
        <v>6.6321408308328289</v>
      </c>
      <c r="AK14" s="13">
        <f t="shared" si="35"/>
        <v>2.4522531963221348</v>
      </c>
      <c r="AL14" s="20">
        <f t="shared" si="4"/>
        <v>15.821986263961561</v>
      </c>
      <c r="AM14" s="59">
        <f t="shared" si="5"/>
        <v>285.93309737507269</v>
      </c>
      <c r="AN14" s="59">
        <f ca="1">AVERAGE(OFFSET($AM$3,0,0,'Données projet'!$E$10+1,1))-AVERAGE(OFFSET($H$3,0,0,'Données projet'!$E$10+1,1))</f>
        <v>263.03078346375446</v>
      </c>
      <c r="AO14" s="59">
        <f t="shared" si="36"/>
        <v>251.74283929680905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5.75</v>
      </c>
      <c r="BD14" s="12">
        <f>IF('Données projet'!$A$88&gt;35,BD13+BC14-BL13,IF(A14&lt;'Données projet'!$A$88,$BA$205^A14,IF(A14='Données projet'!$A$88,'Données projet'!$B$88,BD13+BC14-BL13)))</f>
        <v>13.595144006008928</v>
      </c>
      <c r="BE14" s="13">
        <f>BD14*VLOOKUP('Données projet'!$B$11,Paramètres!$A$1:$I$89,3,0)*VLOOKUP('Données projet'!$B$11,Paramètres!$A$1:$I$89,5,0)</f>
        <v>6.3625273948121777</v>
      </c>
      <c r="BF14" s="13">
        <f t="shared" si="37"/>
        <v>2.3639551741679612</v>
      </c>
      <c r="BG14" s="20">
        <f t="shared" si="7"/>
        <v>15.198623807640407</v>
      </c>
      <c r="BH14" s="59">
        <f t="shared" si="8"/>
        <v>285.30973491875153</v>
      </c>
      <c r="BI14" s="59">
        <f ca="1">AVERAGE(OFFSET($BH$3,0,0,'Données projet'!$E$11+1,1))-AVERAGE(OFFSET($H$3,0,0,'Données projet'!$E$11+1,1))</f>
        <v>141.78548348627351</v>
      </c>
      <c r="BJ14" s="59">
        <f t="shared" si="38"/>
        <v>162.67012146297657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13.8</v>
      </c>
      <c r="N15" s="13">
        <f>IF('Données projet'!$A$36&gt;35,N14+M15-V14,IF(A15&lt;'Données projet'!$A$36,$K$205^A15,IF(A15='Données projet'!$A$36,'Données projet'!$B$36,N14+M15-V14)))</f>
        <v>98.600000000000009</v>
      </c>
      <c r="O15" s="13">
        <f>N15*VLOOKUP('Données projet'!$B$9,Paramètres!$A$1:$I$89,3,0)*VLOOKUP('Données projet'!$B$9,Paramètres!$A$1:$I$89,5,0)</f>
        <v>89.213280000000012</v>
      </c>
      <c r="P15" s="13">
        <f t="shared" si="33"/>
        <v>24.375390230293569</v>
      </c>
      <c r="Q15" s="20">
        <f t="shared" si="2"/>
        <v>197.83360065109466</v>
      </c>
      <c r="R15" s="59">
        <f t="shared" si="0"/>
        <v>469.16693398442794</v>
      </c>
      <c r="S15" s="59">
        <f ca="1">AVERAGE(OFFSET($R$3,0,0,'Données projet'!$E$9+1,1))-AVERAGE(OFFSET($H$3,0,0,'Données projet'!$E$9+1,1))</f>
        <v>394.42011098756564</v>
      </c>
      <c r="T15" s="59">
        <f t="shared" si="34"/>
        <v>559.92215054152859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5.5909090909090908</v>
      </c>
      <c r="AI15" s="13">
        <f>IF('Données projet'!$A$62&gt;35,AI14+AH15-AQ14,IF(A15&lt;'Données projet'!$A$62,$AF$205^A15,IF(A15='Données projet'!$A$62,'Données projet'!$B$62,AI14+AH15-AQ14)))</f>
        <v>13.802197659922571</v>
      </c>
      <c r="AJ15" s="13">
        <f>AI15*VLOOKUP('Données projet'!$B$10,Paramètres!$A$1:$I$89,3,0)*VLOOKUP('Données projet'!$B$10,Paramètres!$A$1:$I$89,5,0)</f>
        <v>8.2537142006336985</v>
      </c>
      <c r="AK15" s="13">
        <f t="shared" si="35"/>
        <v>2.9751132230743558</v>
      </c>
      <c r="AL15" s="20">
        <f t="shared" si="4"/>
        <v>19.556874429624859</v>
      </c>
      <c r="AM15" s="59">
        <f t="shared" si="5"/>
        <v>290.8902077629582</v>
      </c>
      <c r="AN15" s="59">
        <f ca="1">AVERAGE(OFFSET($AM$3,0,0,'Données projet'!$E$10+1,1))-AVERAGE(OFFSET($H$3,0,0,'Données projet'!$E$10+1,1))</f>
        <v>263.03078346375446</v>
      </c>
      <c r="AO15" s="59">
        <f t="shared" si="36"/>
        <v>251.74283929680905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5.75</v>
      </c>
      <c r="BD15" s="12">
        <f>IF('Données projet'!$A$88&gt;35,BD14+BC15-BL14,IF(A15&lt;'Données projet'!$A$88,$BA$205^A15,IF(A15='Données projet'!$A$88,'Données projet'!$B$88,BD14+BC15-BL14)))</f>
        <v>17.23529432545471</v>
      </c>
      <c r="BE15" s="13">
        <f>BD15*VLOOKUP('Données projet'!$B$11,Paramètres!$A$1:$I$89,3,0)*VLOOKUP('Données projet'!$B$11,Paramètres!$A$1:$I$89,5,0)</f>
        <v>8.0661177443128054</v>
      </c>
      <c r="BF15" s="13">
        <f t="shared" si="37"/>
        <v>2.915283990610841</v>
      </c>
      <c r="BG15" s="20">
        <f t="shared" si="7"/>
        <v>19.125941354992019</v>
      </c>
      <c r="BH15" s="59">
        <f t="shared" si="8"/>
        <v>290.45927468832531</v>
      </c>
      <c r="BI15" s="59">
        <f ca="1">AVERAGE(OFFSET($BH$3,0,0,'Données projet'!$E$11+1,1))-AVERAGE(OFFSET($H$3,0,0,'Données projet'!$E$11+1,1))</f>
        <v>141.78548348627351</v>
      </c>
      <c r="BJ15" s="59">
        <f t="shared" si="38"/>
        <v>162.67012146297657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13.8</v>
      </c>
      <c r="N16" s="13">
        <f>IF('Données projet'!$A$36&gt;35,N15+M16-V15,IF(A16&lt;'Données projet'!$A$36,$K$205^A16,IF(A16='Données projet'!$A$36,'Données projet'!$B$36,N15+M16-V15)))</f>
        <v>112.4</v>
      </c>
      <c r="O16" s="13">
        <f>N16*VLOOKUP('Données projet'!$B$9,Paramètres!$A$1:$I$89,3,0)*VLOOKUP('Données projet'!$B$9,Paramètres!$A$1:$I$89,5,0)</f>
        <v>101.69951999999999</v>
      </c>
      <c r="P16" s="13">
        <f t="shared" si="33"/>
        <v>27.366486780557949</v>
      </c>
      <c r="Q16" s="20">
        <f t="shared" si="2"/>
        <v>224.78996180947172</v>
      </c>
      <c r="R16" s="59">
        <f t="shared" si="0"/>
        <v>497.34551736502726</v>
      </c>
      <c r="S16" s="59">
        <f ca="1">AVERAGE(OFFSET($R$3,0,0,'Données projet'!$E$9+1,1))-AVERAGE(OFFSET($H$3,0,0,'Données projet'!$E$9+1,1))</f>
        <v>394.42011098756564</v>
      </c>
      <c r="T16" s="59">
        <f t="shared" si="34"/>
        <v>559.92215054152859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5.5909090909090908</v>
      </c>
      <c r="AI16" s="13">
        <f>IF('Données projet'!$A$62&gt;35,AI15+AH16-AQ15,IF(A16&lt;'Données projet'!$A$62,$AF$205^A16,IF(A16='Données projet'!$A$62,'Données projet'!$B$62,AI15+AH16-AQ15)))</f>
        <v>17.17686607257264</v>
      </c>
      <c r="AJ16" s="13">
        <f>AI16*VLOOKUP('Données projet'!$B$10,Paramètres!$A$1:$I$89,3,0)*VLOOKUP('Données projet'!$B$10,Paramètres!$A$1:$I$89,5,0)</f>
        <v>10.27176591139844</v>
      </c>
      <c r="AK16" s="13">
        <f t="shared" si="35"/>
        <v>3.609455460548272</v>
      </c>
      <c r="AL16" s="20">
        <f t="shared" si="4"/>
        <v>24.176460556140523</v>
      </c>
      <c r="AM16" s="59">
        <f t="shared" si="5"/>
        <v>296.73201611169605</v>
      </c>
      <c r="AN16" s="59">
        <f ca="1">AVERAGE(OFFSET($AM$3,0,0,'Données projet'!$E$10+1,1))-AVERAGE(OFFSET($H$3,0,0,'Données projet'!$E$10+1,1))</f>
        <v>263.03078346375446</v>
      </c>
      <c r="AO16" s="59">
        <f t="shared" si="36"/>
        <v>251.74283929680905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5.75</v>
      </c>
      <c r="BD16" s="12">
        <f>IF('Données projet'!$A$88&gt;35,BD15+BC16-BL15,IF(A16&lt;'Données projet'!$A$88,$BA$205^A16,IF(A16='Données projet'!$A$88,'Données projet'!$B$88,BD15+BC16-BL15)))</f>
        <v>21.850108417664106</v>
      </c>
      <c r="BE16" s="13">
        <f>BD16*VLOOKUP('Données projet'!$B$11,Paramètres!$A$1:$I$89,3,0)*VLOOKUP('Données projet'!$B$11,Paramètres!$A$1:$I$89,5,0)</f>
        <v>10.225850739466802</v>
      </c>
      <c r="BF16" s="13">
        <f t="shared" si="37"/>
        <v>3.5951953906669201</v>
      </c>
      <c r="BG16" s="20">
        <f t="shared" si="7"/>
        <v>24.071655343316234</v>
      </c>
      <c r="BH16" s="59">
        <f t="shared" si="8"/>
        <v>296.62721089887179</v>
      </c>
      <c r="BI16" s="59">
        <f ca="1">AVERAGE(OFFSET($BH$3,0,0,'Données projet'!$E$11+1,1))-AVERAGE(OFFSET($H$3,0,0,'Données projet'!$E$11+1,1))</f>
        <v>141.78548348627351</v>
      </c>
      <c r="BJ16" s="59">
        <f t="shared" si="38"/>
        <v>162.67012146297657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13.8</v>
      </c>
      <c r="N17" s="13">
        <f>IF('Données projet'!$A$36&gt;35,N16+M17-V16,IF(A17&lt;'Données projet'!$A$36,$K$205^A17,IF(A17='Données projet'!$A$36,'Données projet'!$B$36,N16+M17-V16)))</f>
        <v>126.2</v>
      </c>
      <c r="O17" s="13">
        <f>N17*VLOOKUP('Données projet'!$B$9,Paramètres!$A$1:$I$89,3,0)*VLOOKUP('Données projet'!$B$9,Paramètres!$A$1:$I$89,5,0)</f>
        <v>114.18576</v>
      </c>
      <c r="P17" s="13">
        <f t="shared" si="33"/>
        <v>30.315028515433259</v>
      </c>
      <c r="Q17" s="20">
        <f t="shared" si="2"/>
        <v>251.67220666437959</v>
      </c>
      <c r="R17" s="59">
        <f t="shared" si="0"/>
        <v>525.4499844421573</v>
      </c>
      <c r="S17" s="59">
        <f ca="1">AVERAGE(OFFSET($R$3,0,0,'Données projet'!$E$9+1,1))-AVERAGE(OFFSET($H$3,0,0,'Données projet'!$E$9+1,1))</f>
        <v>394.42011098756564</v>
      </c>
      <c r="T17" s="59">
        <f t="shared" si="34"/>
        <v>559.92215054152859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5.5909090909090908</v>
      </c>
      <c r="AI17" s="13">
        <f>IF('Données projet'!$A$62&gt;35,AI16+AH17-AQ16,IF(A17&lt;'Données projet'!$A$62,$AF$205^A17,IF(A17='Données projet'!$A$62,'Données projet'!$B$62,AI16+AH17-AQ16)))</f>
        <v>21.376648512419013</v>
      </c>
      <c r="AJ17" s="13">
        <f>AI17*VLOOKUP('Données projet'!$B$10,Paramètres!$A$1:$I$89,3,0)*VLOOKUP('Données projet'!$B$10,Paramètres!$A$1:$I$89,5,0)</f>
        <v>12.783235810426572</v>
      </c>
      <c r="AK17" s="13">
        <f t="shared" si="35"/>
        <v>4.3790497183898731</v>
      </c>
      <c r="AL17" s="20">
        <f t="shared" si="4"/>
        <v>29.890980629355308</v>
      </c>
      <c r="AM17" s="59">
        <f t="shared" si="5"/>
        <v>303.66875840713305</v>
      </c>
      <c r="AN17" s="59">
        <f ca="1">AVERAGE(OFFSET($AM$3,0,0,'Données projet'!$E$10+1,1))-AVERAGE(OFFSET($H$3,0,0,'Données projet'!$E$10+1,1))</f>
        <v>263.03078346375446</v>
      </c>
      <c r="AO17" s="59">
        <f t="shared" si="36"/>
        <v>251.74283929680905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5.75</v>
      </c>
      <c r="BD17" s="12">
        <f>IF('Données projet'!$A$88&gt;35,BD16+BC17-BL16,IF(A17&lt;'Données projet'!$A$88,$BA$205^A17,IF(A17='Données projet'!$A$88,'Données projet'!$B$88,BD16+BC17-BL16)))</f>
        <v>27.700556129091808</v>
      </c>
      <c r="BE17" s="13">
        <f>BD17*VLOOKUP('Données projet'!$B$11,Paramètres!$A$1:$I$89,3,0)*VLOOKUP('Données projet'!$B$11,Paramètres!$A$1:$I$89,5,0)</f>
        <v>12.963860268414967</v>
      </c>
      <c r="BF17" s="13">
        <f t="shared" si="37"/>
        <v>4.4336777956113931</v>
      </c>
      <c r="BG17" s="20">
        <f t="shared" si="7"/>
        <v>30.300712128179242</v>
      </c>
      <c r="BH17" s="59">
        <f t="shared" si="8"/>
        <v>304.07848990595699</v>
      </c>
      <c r="BI17" s="59">
        <f ca="1">AVERAGE(OFFSET($BH$3,0,0,'Données projet'!$E$11+1,1))-AVERAGE(OFFSET($H$3,0,0,'Données projet'!$E$11+1,1))</f>
        <v>141.78548348627351</v>
      </c>
      <c r="BJ17" s="59">
        <f t="shared" si="38"/>
        <v>162.67012146297657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140</v>
      </c>
      <c r="L18" s="12">
        <f>VLOOKUP(A18,'Données projet'!$A$35:$I$55,9,0)</f>
        <v>13.8</v>
      </c>
      <c r="M18" s="12">
        <f t="array" ref="M18">INDEX(L:L,MIN(IF(ISNUMBER(L18:L214),ROW(L18:L214),"")))</f>
        <v>13.8</v>
      </c>
      <c r="N18" s="13">
        <f>IF('Données projet'!$A$36&gt;35,N17+M18-V17,IF(A18&lt;'Données projet'!$A$36,$K$205^A18,IF(A18='Données projet'!$A$36,'Données projet'!$B$36,N17+M18-V17)))</f>
        <v>140</v>
      </c>
      <c r="O18" s="13">
        <f>N18*VLOOKUP('Données projet'!$B$9,Paramètres!$A$1:$I$89,3,0)*VLOOKUP('Données projet'!$B$9,Paramètres!$A$1:$I$89,5,0)</f>
        <v>126.67199999999998</v>
      </c>
      <c r="P18" s="13">
        <f t="shared" si="33"/>
        <v>33.226199426361347</v>
      </c>
      <c r="Q18" s="20">
        <f t="shared" si="2"/>
        <v>278.48936400091264</v>
      </c>
      <c r="R18" s="59">
        <f t="shared" si="0"/>
        <v>553.4893640009127</v>
      </c>
      <c r="S18" s="59">
        <f ca="1">AVERAGE(OFFSET($R$3,0,0,'Données projet'!$E$9+1,1))-AVERAGE(OFFSET($H$3,0,0,'Données projet'!$E$9+1,1))</f>
        <v>394.42011098756564</v>
      </c>
      <c r="T18" s="59">
        <f t="shared" si="34"/>
        <v>559.92215054152859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5.5909090909090908</v>
      </c>
      <c r="AI18" s="13">
        <f>IF('Données projet'!$A$62&gt;35,AI17+AH18-AQ17,IF(A18&lt;'Données projet'!$A$62,$AF$205^A18,IF(A18='Données projet'!$A$62,'Données projet'!$B$62,AI17+AH18-AQ17)))</f>
        <v>26.603287217402478</v>
      </c>
      <c r="AJ18" s="13">
        <f>AI18*VLOOKUP('Données projet'!$B$10,Paramètres!$A$1:$I$89,3,0)*VLOOKUP('Données projet'!$B$10,Paramètres!$A$1:$I$89,5,0)</f>
        <v>15.908765756006684</v>
      </c>
      <c r="AK18" s="13">
        <f t="shared" si="35"/>
        <v>5.312733913945455</v>
      </c>
      <c r="AL18" s="20">
        <f t="shared" si="4"/>
        <v>36.960778591833304</v>
      </c>
      <c r="AM18" s="59">
        <f t="shared" si="5"/>
        <v>311.96077859183333</v>
      </c>
      <c r="AN18" s="59">
        <f ca="1">AVERAGE(OFFSET($AM$3,0,0,'Données projet'!$E$10+1,1))-AVERAGE(OFFSET($H$3,0,0,'Données projet'!$E$10+1,1))</f>
        <v>263.03078346375446</v>
      </c>
      <c r="AO18" s="59">
        <f t="shared" si="36"/>
        <v>251.74283929680905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5.75</v>
      </c>
      <c r="BD18" s="12">
        <f>IF('Données projet'!$A$88&gt;35,BD17+BC18-BL17,IF(A18&lt;'Données projet'!$A$88,$BA$205^A18,IF(A18='Données projet'!$A$88,'Données projet'!$B$88,BD17+BC18-BL17)))</f>
        <v>35.117482952196561</v>
      </c>
      <c r="BE18" s="13">
        <f>BD18*VLOOKUP('Données projet'!$B$11,Paramètres!$A$1:$I$89,3,0)*VLOOKUP('Données projet'!$B$11,Paramètres!$A$1:$I$89,5,0)</f>
        <v>16.434982021627992</v>
      </c>
      <c r="BF18" s="13">
        <f t="shared" si="37"/>
        <v>5.4677136175486121</v>
      </c>
      <c r="BG18" s="20">
        <f t="shared" si="7"/>
        <v>38.147194904899251</v>
      </c>
      <c r="BH18" s="59">
        <f t="shared" si="8"/>
        <v>313.14719490489927</v>
      </c>
      <c r="BI18" s="59">
        <f ca="1">AVERAGE(OFFSET($BH$3,0,0,'Données projet'!$E$11+1,1))-AVERAGE(OFFSET($H$3,0,0,'Données projet'!$E$11+1,1))</f>
        <v>141.78548348627351</v>
      </c>
      <c r="BJ18" s="59">
        <f t="shared" si="38"/>
        <v>162.67012146297657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12.6</v>
      </c>
      <c r="N19" s="13">
        <f>IF('Données projet'!$A$36&gt;35,N18+M19-V18,IF(A19&lt;'Données projet'!$A$36,$K$205^A19,IF(A19='Données projet'!$A$36,'Données projet'!$B$36,N18+M19-V18)))</f>
        <v>152.6</v>
      </c>
      <c r="O19" s="13">
        <f>N19*VLOOKUP('Données projet'!$B$9,Paramètres!$A$1:$I$89,3,0)*VLOOKUP('Données projet'!$B$9,Paramètres!$A$1:$I$89,5,0)</f>
        <v>138.07247999999998</v>
      </c>
      <c r="P19" s="13">
        <f t="shared" si="33"/>
        <v>35.855082076777961</v>
      </c>
      <c r="Q19" s="20">
        <f t="shared" si="2"/>
        <v>302.92383728372158</v>
      </c>
      <c r="R19" s="59">
        <f t="shared" si="0"/>
        <v>579.14605950594387</v>
      </c>
      <c r="S19" s="59">
        <f ca="1">AVERAGE(OFFSET($R$3,0,0,'Données projet'!$E$9+1,1))-AVERAGE(OFFSET($H$3,0,0,'Données projet'!$E$9+1,1))</f>
        <v>394.42011098756564</v>
      </c>
      <c r="T19" s="59">
        <f t="shared" si="34"/>
        <v>559.92215054152859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5.5909090909090908</v>
      </c>
      <c r="AI19" s="13">
        <f>IF('Données projet'!$A$62&gt;35,AI18+AH19-AQ18,IF(A19&lt;'Données projet'!$A$62,$AF$205^A19,IF(A19='Données projet'!$A$62,'Données projet'!$B$62,AI18+AH19-AQ18)))</f>
        <v>33.107850856996748</v>
      </c>
      <c r="AJ19" s="13">
        <f>AI19*VLOOKUP('Données projet'!$B$10,Paramètres!$A$1:$I$89,3,0)*VLOOKUP('Données projet'!$B$10,Paramètres!$A$1:$I$89,5,0)</f>
        <v>19.798494812484059</v>
      </c>
      <c r="AK19" s="13">
        <f t="shared" si="35"/>
        <v>6.4454946747588586</v>
      </c>
      <c r="AL19" s="20">
        <f t="shared" si="4"/>
        <v>45.70828169028141</v>
      </c>
      <c r="AM19" s="59">
        <f t="shared" si="5"/>
        <v>321.93050391250364</v>
      </c>
      <c r="AN19" s="59">
        <f ca="1">AVERAGE(OFFSET($AM$3,0,0,'Données projet'!$E$10+1,1))-AVERAGE(OFFSET($H$3,0,0,'Données projet'!$E$10+1,1))</f>
        <v>263.03078346375446</v>
      </c>
      <c r="AO19" s="59">
        <f t="shared" si="36"/>
        <v>251.74283929680905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5.75</v>
      </c>
      <c r="BD19" s="12">
        <f>IF('Données projet'!$A$88&gt;35,BD18+BC19-BL18,IF(A19&lt;'Données projet'!$A$88,$BA$205^A19,IF(A19='Données projet'!$A$88,'Données projet'!$B$88,BD18+BC19-BL18)))</f>
        <v>44.52031948927695</v>
      </c>
      <c r="BE19" s="13">
        <f>BD19*VLOOKUP('Données projet'!$B$11,Paramètres!$A$1:$I$89,3,0)*VLOOKUP('Données projet'!$B$11,Paramètres!$A$1:$I$89,5,0)</f>
        <v>20.835509520981613</v>
      </c>
      <c r="BF19" s="13">
        <f t="shared" si="37"/>
        <v>6.7429104192276883</v>
      </c>
      <c r="BG19" s="20">
        <f t="shared" si="7"/>
        <v>48.03241472919786</v>
      </c>
      <c r="BH19" s="59">
        <f t="shared" si="8"/>
        <v>324.25463695142008</v>
      </c>
      <c r="BI19" s="59">
        <f ca="1">AVERAGE(OFFSET($BH$3,0,0,'Données projet'!$E$11+1,1))-AVERAGE(OFFSET($H$3,0,0,'Données projet'!$E$11+1,1))</f>
        <v>141.78548348627351</v>
      </c>
      <c r="BJ19" s="59">
        <f t="shared" si="38"/>
        <v>162.67012146297657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12.6</v>
      </c>
      <c r="N20" s="13">
        <f>IF('Données projet'!$A$36&gt;35,N19+M20-V19,IF(A20&lt;'Données projet'!$A$36,$K$205^A20,IF(A20='Données projet'!$A$36,'Données projet'!$B$36,N19+M20-V19)))</f>
        <v>165.2</v>
      </c>
      <c r="O20" s="13">
        <f>N20*VLOOKUP('Données projet'!$B$9,Paramètres!$A$1:$I$89,3,0)*VLOOKUP('Données projet'!$B$9,Paramètres!$A$1:$I$89,5,0)</f>
        <v>149.47296</v>
      </c>
      <c r="P20" s="13">
        <f t="shared" si="33"/>
        <v>38.458789365254987</v>
      </c>
      <c r="Q20" s="20">
        <f t="shared" si="2"/>
        <v>327.31446347781906</v>
      </c>
      <c r="R20" s="59">
        <f t="shared" si="0"/>
        <v>604.75890792226346</v>
      </c>
      <c r="S20" s="59">
        <f ca="1">AVERAGE(OFFSET($R$3,0,0,'Données projet'!$E$9+1,1))-AVERAGE(OFFSET($H$3,0,0,'Données projet'!$E$9+1,1))</f>
        <v>394.42011098756564</v>
      </c>
      <c r="T20" s="59">
        <f t="shared" si="34"/>
        <v>559.92215054152859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5.5909090909090908</v>
      </c>
      <c r="AI20" s="13">
        <f>IF('Données projet'!$A$62&gt;35,AI19+AH20-AQ19,IF(A20&lt;'Données projet'!$A$62,$AF$205^A20,IF(A20='Données projet'!$A$62,'Données projet'!$B$62,AI19+AH20-AQ19)))</f>
        <v>41.202794955809431</v>
      </c>
      <c r="AJ20" s="13">
        <f>AI20*VLOOKUP('Données projet'!$B$10,Paramètres!$A$1:$I$89,3,0)*VLOOKUP('Données projet'!$B$10,Paramètres!$A$1:$I$89,5,0)</f>
        <v>24.639271383574041</v>
      </c>
      <c r="AK20" s="13">
        <f t="shared" si="35"/>
        <v>7.8197783429910519</v>
      </c>
      <c r="AL20" s="20">
        <f t="shared" si="4"/>
        <v>56.532844940434195</v>
      </c>
      <c r="AM20" s="59">
        <f t="shared" si="5"/>
        <v>333.97728938487865</v>
      </c>
      <c r="AN20" s="59">
        <f ca="1">AVERAGE(OFFSET($AM$3,0,0,'Données projet'!$E$10+1,1))-AVERAGE(OFFSET($H$3,0,0,'Données projet'!$E$10+1,1))</f>
        <v>263.03078346375446</v>
      </c>
      <c r="AO20" s="59">
        <f t="shared" si="36"/>
        <v>251.74283929680905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5.75</v>
      </c>
      <c r="BD20" s="12">
        <f>IF('Données projet'!$A$88&gt;35,BD19+BC20-BL19,IF(A20&lt;'Données projet'!$A$88,$BA$205^A20,IF(A20='Données projet'!$A$88,'Données projet'!$B$88,BD19+BC20-BL19)))</f>
        <v>56.440800444763006</v>
      </c>
      <c r="BE20" s="13">
        <f>BD20*VLOOKUP('Données projet'!$B$11,Paramètres!$A$1:$I$89,3,0)*VLOOKUP('Données projet'!$B$11,Paramètres!$A$1:$I$89,5,0)</f>
        <v>26.414294608149088</v>
      </c>
      <c r="BF20" s="13">
        <f t="shared" si="37"/>
        <v>8.3155124979120405</v>
      </c>
      <c r="BG20" s="20">
        <f t="shared" si="7"/>
        <v>60.487747376389791</v>
      </c>
      <c r="BH20" s="59">
        <f t="shared" si="8"/>
        <v>337.93219182083425</v>
      </c>
      <c r="BI20" s="59">
        <f ca="1">AVERAGE(OFFSET($BH$3,0,0,'Données projet'!$E$11+1,1))-AVERAGE(OFFSET($H$3,0,0,'Données projet'!$E$11+1,1))</f>
        <v>141.78548348627351</v>
      </c>
      <c r="BJ20" s="59">
        <f t="shared" si="38"/>
        <v>162.67012146297657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12.6</v>
      </c>
      <c r="N21" s="13">
        <f>IF('Données projet'!$A$36&gt;35,N20+M21-V20,IF(A21&lt;'Données projet'!$A$36,$K$205^A21,IF(A21='Données projet'!$A$36,'Données projet'!$B$36,N20+M21-V20)))</f>
        <v>177.79999999999998</v>
      </c>
      <c r="O21" s="13">
        <f>N21*VLOOKUP('Données projet'!$B$9,Paramètres!$A$1:$I$89,3,0)*VLOOKUP('Données projet'!$B$9,Paramètres!$A$1:$I$89,5,0)</f>
        <v>160.87343999999999</v>
      </c>
      <c r="P21" s="13">
        <f t="shared" si="33"/>
        <v>41.039459771757215</v>
      </c>
      <c r="Q21" s="20">
        <f t="shared" si="2"/>
        <v>351.66496710247708</v>
      </c>
      <c r="R21" s="59">
        <f t="shared" si="0"/>
        <v>630.33163376914376</v>
      </c>
      <c r="S21" s="59">
        <f ca="1">AVERAGE(OFFSET($R$3,0,0,'Données projet'!$E$9+1,1))-AVERAGE(OFFSET($H$3,0,0,'Données projet'!$E$9+1,1))</f>
        <v>394.42011098756564</v>
      </c>
      <c r="T21" s="59">
        <f t="shared" si="34"/>
        <v>559.92215054152859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5.5909090909090908</v>
      </c>
      <c r="AI21" s="13">
        <f>IF('Données projet'!$A$62&gt;35,AI20+AH21-AQ20,IF(A21&lt;'Données projet'!$A$62,$AF$205^A21,IF(A21='Données projet'!$A$62,'Données projet'!$B$62,AI20+AH21-AQ20)))</f>
        <v>51.276971117915458</v>
      </c>
      <c r="AJ21" s="13">
        <f>AI21*VLOOKUP('Données projet'!$B$10,Paramètres!$A$1:$I$89,3,0)*VLOOKUP('Données projet'!$B$10,Paramètres!$A$1:$I$89,5,0)</f>
        <v>30.663628728513448</v>
      </c>
      <c r="AK21" s="13">
        <f t="shared" si="35"/>
        <v>9.4870815071768995</v>
      </c>
      <c r="AL21" s="20">
        <f t="shared" si="4"/>
        <v>69.929153660494023</v>
      </c>
      <c r="AM21" s="59">
        <f t="shared" si="5"/>
        <v>348.59582032716071</v>
      </c>
      <c r="AN21" s="59">
        <f ca="1">AVERAGE(OFFSET($AM$3,0,0,'Données projet'!$E$10+1,1))-AVERAGE(OFFSET($H$3,0,0,'Données projet'!$E$10+1,1))</f>
        <v>263.03078346375446</v>
      </c>
      <c r="AO21" s="59">
        <f t="shared" si="36"/>
        <v>251.74283929680905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5.75</v>
      </c>
      <c r="BD21" s="12">
        <f>IF('Données projet'!$A$88&gt;35,BD20+BC21-BL20,IF(A21&lt;'Données projet'!$A$88,$BA$205^A21,IF(A21='Données projet'!$A$88,'Données projet'!$B$88,BD20+BC21-BL20)))</f>
        <v>71.55303446582019</v>
      </c>
      <c r="BE21" s="13">
        <f>BD21*VLOOKUP('Données projet'!$B$11,Paramètres!$A$1:$I$89,3,0)*VLOOKUP('Données projet'!$B$11,Paramètres!$A$1:$I$89,5,0)</f>
        <v>33.486820130003849</v>
      </c>
      <c r="BF21" s="13">
        <f t="shared" si="37"/>
        <v>10.254881616957807</v>
      </c>
      <c r="BG21" s="20">
        <f t="shared" si="7"/>
        <v>76.183463875958196</v>
      </c>
      <c r="BH21" s="59">
        <f t="shared" si="8"/>
        <v>354.85013054262487</v>
      </c>
      <c r="BI21" s="59">
        <f ca="1">AVERAGE(OFFSET($BH$3,0,0,'Données projet'!$E$11+1,1))-AVERAGE(OFFSET($H$3,0,0,'Données projet'!$E$11+1,1))</f>
        <v>141.78548348627351</v>
      </c>
      <c r="BJ21" s="59">
        <f t="shared" si="38"/>
        <v>162.67012146297657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12.6</v>
      </c>
      <c r="N22" s="13">
        <f>IF('Données projet'!$A$36&gt;35,N21+M22-V21,IF(A22&lt;'Données projet'!$A$36,$K$205^A22,IF(A22='Données projet'!$A$36,'Données projet'!$B$36,N21+M22-V21)))</f>
        <v>190.39999999999998</v>
      </c>
      <c r="O22" s="13">
        <f>N22*VLOOKUP('Données projet'!$B$9,Paramètres!$A$1:$I$89,3,0)*VLOOKUP('Données projet'!$B$9,Paramètres!$A$1:$I$89,5,0)</f>
        <v>172.27391999999998</v>
      </c>
      <c r="P22" s="13">
        <f t="shared" si="33"/>
        <v>43.598911513699605</v>
      </c>
      <c r="Q22" s="20">
        <f t="shared" si="2"/>
        <v>375.97851488636002</v>
      </c>
      <c r="R22" s="59">
        <f t="shared" si="0"/>
        <v>655.86740377524893</v>
      </c>
      <c r="S22" s="59">
        <f ca="1">AVERAGE(OFFSET($R$3,0,0,'Données projet'!$E$9+1,1))-AVERAGE(OFFSET($H$3,0,0,'Données projet'!$E$9+1,1))</f>
        <v>394.42011098756564</v>
      </c>
      <c r="T22" s="59">
        <f t="shared" si="34"/>
        <v>559.92215054152859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5.5909090909090908</v>
      </c>
      <c r="AI22" s="13">
        <f>IF('Données projet'!$A$62&gt;35,AI21+AH22-AQ21,IF(A22&lt;'Données projet'!$A$62,$AF$205^A22,IF(A22='Données projet'!$A$62,'Données projet'!$B$62,AI21+AH22-AQ21)))</f>
        <v>63.814306040343304</v>
      </c>
      <c r="AJ22" s="13">
        <f>AI22*VLOOKUP('Données projet'!$B$10,Paramètres!$A$1:$I$89,3,0)*VLOOKUP('Données projet'!$B$10,Paramètres!$A$1:$I$89,5,0)</f>
        <v>38.160955012125299</v>
      </c>
      <c r="AK22" s="13">
        <f t="shared" si="35"/>
        <v>11.509880661066306</v>
      </c>
      <c r="AL22" s="20">
        <f t="shared" si="4"/>
        <v>86.510038797475374</v>
      </c>
      <c r="AM22" s="59">
        <f t="shared" si="5"/>
        <v>366.39892768636423</v>
      </c>
      <c r="AN22" s="59">
        <f ca="1">AVERAGE(OFFSET($AM$3,0,0,'Données projet'!$E$10+1,1))-AVERAGE(OFFSET($H$3,0,0,'Données projet'!$E$10+1,1))</f>
        <v>263.03078346375446</v>
      </c>
      <c r="AO22" s="59">
        <f t="shared" si="36"/>
        <v>251.74283929680905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5.75</v>
      </c>
      <c r="BD22" s="12">
        <f>IF('Données projet'!$A$88&gt;35,BD21+BC22-BL21,IF(A22&lt;'Données projet'!$A$88,$BA$205^A22,IF(A22='Données projet'!$A$88,'Données projet'!$B$88,BD21+BC22-BL21)))</f>
        <v>90.711625294497551</v>
      </c>
      <c r="BE22" s="13">
        <f>BD22*VLOOKUP('Données projet'!$B$11,Paramètres!$A$1:$I$89,3,0)*VLOOKUP('Données projet'!$B$11,Paramètres!$A$1:$I$89,5,0)</f>
        <v>42.453040637824856</v>
      </c>
      <c r="BF22" s="13">
        <f t="shared" si="37"/>
        <v>12.646556301156998</v>
      </c>
      <c r="BG22" s="20">
        <f t="shared" si="7"/>
        <v>95.96513133539338</v>
      </c>
      <c r="BH22" s="59">
        <f t="shared" si="8"/>
        <v>375.85402022428224</v>
      </c>
      <c r="BI22" s="59">
        <f ca="1">AVERAGE(OFFSET($BH$3,0,0,'Données projet'!$E$11+1,1))-AVERAGE(OFFSET($H$3,0,0,'Données projet'!$E$11+1,1))</f>
        <v>141.78548348627351</v>
      </c>
      <c r="BJ22" s="59">
        <f t="shared" si="38"/>
        <v>162.67012146297657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203</v>
      </c>
      <c r="L23" s="12">
        <f>VLOOKUP(A23,'Données projet'!$A$35:$I$55,9,0)</f>
        <v>12.6</v>
      </c>
      <c r="M23" s="12">
        <f t="array" ref="M23">INDEX(L:L,MIN(IF(ISNUMBER(L23:L219),ROW(L23:L219),"")))</f>
        <v>12.6</v>
      </c>
      <c r="N23" s="13">
        <f>IF('Données projet'!$A$36&gt;35,N22+M23-V22,IF(A23&lt;'Données projet'!$A$36,$K$205^A23,IF(A23='Données projet'!$A$36,'Données projet'!$B$36,N22+M23-V22)))</f>
        <v>202.99999999999997</v>
      </c>
      <c r="O23" s="13">
        <f>N23*VLOOKUP('Données projet'!$B$9,Paramètres!$A$1:$I$89,3,0)*VLOOKUP('Données projet'!$B$9,Paramètres!$A$1:$I$89,5,0)</f>
        <v>183.67439999999996</v>
      </c>
      <c r="P23" s="13">
        <f t="shared" si="33"/>
        <v>46.138708549418673</v>
      </c>
      <c r="Q23" s="20">
        <f t="shared" si="2"/>
        <v>400.25783072357075</v>
      </c>
      <c r="R23" s="59">
        <f t="shared" si="0"/>
        <v>681.36894183468189</v>
      </c>
      <c r="S23" s="59">
        <f ca="1">AVERAGE(OFFSET($R$3,0,0,'Données projet'!$E$9+1,1))-AVERAGE(OFFSET($H$3,0,0,'Données projet'!$E$9+1,1))</f>
        <v>394.42011098756564</v>
      </c>
      <c r="T23" s="59">
        <f t="shared" si="34"/>
        <v>559.92215054152859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5.5909090909090908</v>
      </c>
      <c r="AI23" s="13">
        <f>IF('Données projet'!$A$62&gt;35,AI22+AH23-AQ22,IF(A23&lt;'Données projet'!$A$62,$AF$205^A23,IF(A23='Données projet'!$A$62,'Données projet'!$B$62,AI22+AH23-AQ22)))</f>
        <v>79.417047587426694</v>
      </c>
      <c r="AJ23" s="13">
        <f>AI23*VLOOKUP('Données projet'!$B$10,Paramètres!$A$1:$I$89,3,0)*VLOOKUP('Données projet'!$B$10,Paramètres!$A$1:$I$89,5,0)</f>
        <v>47.49139445728116</v>
      </c>
      <c r="AK23" s="13">
        <f t="shared" si="35"/>
        <v>13.96397329692701</v>
      </c>
      <c r="AL23" s="20">
        <f t="shared" si="4"/>
        <v>107.03476550524589</v>
      </c>
      <c r="AM23" s="59">
        <f t="shared" si="5"/>
        <v>388.14587661635704</v>
      </c>
      <c r="AN23" s="59">
        <f ca="1">AVERAGE(OFFSET($AM$3,0,0,'Données projet'!$E$10+1,1))-AVERAGE(OFFSET($H$3,0,0,'Données projet'!$E$10+1,1))</f>
        <v>263.03078346375446</v>
      </c>
      <c r="AO23" s="59">
        <f t="shared" si="36"/>
        <v>251.74283929680905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115</v>
      </c>
      <c r="BB23" s="12">
        <f>VLOOKUP(A23,'Données projet'!$A$87:$I$107,9,0)</f>
        <v>5.75</v>
      </c>
      <c r="BC23" s="12">
        <f t="array" ref="BC23">INDEX(BB:BB,MIN(IF(ISNUMBER(BB23:BB219),ROW(BB23:BB219),"")))</f>
        <v>5.75</v>
      </c>
      <c r="BD23" s="12">
        <f>IF('Données projet'!$A$88&gt;35,BD22+BC23-BL22,IF(A23&lt;'Données projet'!$A$88,$BA$205^A23,IF(A23='Données projet'!$A$88,'Données projet'!$B$88,BD22+BC23-BL22)))</f>
        <v>115</v>
      </c>
      <c r="BE23" s="13">
        <f>BD23*VLOOKUP('Données projet'!$B$11,Paramètres!$A$1:$I$89,3,0)*VLOOKUP('Données projet'!$B$11,Paramètres!$A$1:$I$89,5,0)</f>
        <v>53.82</v>
      </c>
      <c r="BF23" s="13">
        <f t="shared" si="37"/>
        <v>15.596024630246266</v>
      </c>
      <c r="BG23" s="20">
        <f t="shared" si="7"/>
        <v>120.89957623101225</v>
      </c>
      <c r="BH23" s="59">
        <f t="shared" si="8"/>
        <v>402.01068734212339</v>
      </c>
      <c r="BI23" s="59">
        <f ca="1">AVERAGE(OFFSET($BH$3,0,0,'Données projet'!$E$11+1,1))-AVERAGE(OFFSET($H$3,0,0,'Données projet'!$E$11+1,1))</f>
        <v>141.78548348627351</v>
      </c>
      <c r="BJ23" s="59">
        <f t="shared" si="38"/>
        <v>162.67012146297657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10.6</v>
      </c>
      <c r="N24" s="13">
        <f>IF('Données projet'!$A$36&gt;35,N23+M24-V23,IF(A24&lt;'Données projet'!$A$36,$K$205^A24,IF(A24='Données projet'!$A$36,'Données projet'!$B$36,N23+M24-V23)))</f>
        <v>213.59999999999997</v>
      </c>
      <c r="O24" s="13">
        <f>N24*VLOOKUP('Données projet'!$B$9,Paramètres!$A$1:$I$89,3,0)*VLOOKUP('Données projet'!$B$9,Paramètres!$A$1:$I$89,5,0)</f>
        <v>193.26527999999996</v>
      </c>
      <c r="P24" s="13">
        <f t="shared" si="33"/>
        <v>48.2611424180011</v>
      </c>
      <c r="Q24" s="20">
        <f t="shared" si="2"/>
        <v>420.65851904468514</v>
      </c>
      <c r="R24" s="59">
        <f t="shared" si="0"/>
        <v>702.99185237801839</v>
      </c>
      <c r="S24" s="59">
        <f ca="1">AVERAGE(OFFSET($R$3,0,0,'Données projet'!$E$9+1,1))-AVERAGE(OFFSET($H$3,0,0,'Données projet'!$E$9+1,1))</f>
        <v>394.42011098756564</v>
      </c>
      <c r="T24" s="59">
        <f t="shared" si="34"/>
        <v>559.92215054152859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5.5909090909090908</v>
      </c>
      <c r="AI24" s="13">
        <f>IF('Données projet'!$A$62&gt;35,AI23+AH24-AQ23,IF(A24&lt;'Données projet'!$A$62,$AF$205^A24,IF(A24='Données projet'!$A$62,'Données projet'!$B$62,AI23+AH24-AQ23)))</f>
        <v>98.834694582689295</v>
      </c>
      <c r="AJ24" s="13">
        <f>AI24*VLOOKUP('Données projet'!$B$10,Paramètres!$A$1:$I$89,3,0)*VLOOKUP('Données projet'!$B$10,Paramètres!$A$1:$I$89,5,0)</f>
        <v>59.103147360448204</v>
      </c>
      <c r="AK24" s="13">
        <f t="shared" si="35"/>
        <v>16.94131815778756</v>
      </c>
      <c r="AL24" s="20">
        <f t="shared" si="4"/>
        <v>132.44411077759398</v>
      </c>
      <c r="AM24" s="59">
        <f t="shared" si="5"/>
        <v>414.77744411092726</v>
      </c>
      <c r="AN24" s="59">
        <f ca="1">AVERAGE(OFFSET($AM$3,0,0,'Données projet'!$E$10+1,1))-AVERAGE(OFFSET($H$3,0,0,'Données projet'!$E$10+1,1))</f>
        <v>263.03078346375446</v>
      </c>
      <c r="AO24" s="59">
        <f t="shared" si="36"/>
        <v>251.74283929680905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6.5</v>
      </c>
      <c r="BD24" s="12">
        <f>IF('Données projet'!$A$88&gt;35,BD23+BC24-BL23,IF(A24&lt;'Données projet'!$A$88,$BA$205^A24,IF(A24='Données projet'!$A$88,'Données projet'!$B$88,BD23+BC24-BL23)))</f>
        <v>121.5</v>
      </c>
      <c r="BE24" s="13">
        <f>BD24*VLOOKUP('Données projet'!$B$11,Paramètres!$A$1:$I$89,3,0)*VLOOKUP('Données projet'!$B$11,Paramètres!$A$1:$I$89,5,0)</f>
        <v>56.861999999999995</v>
      </c>
      <c r="BF24" s="13">
        <f t="shared" si="37"/>
        <v>16.372420859571687</v>
      </c>
      <c r="BG24" s="20">
        <f t="shared" si="7"/>
        <v>127.54994966375402</v>
      </c>
      <c r="BH24" s="59">
        <f t="shared" si="8"/>
        <v>409.88328299708735</v>
      </c>
      <c r="BI24" s="59">
        <f ca="1">AVERAGE(OFFSET($BH$3,0,0,'Données projet'!$E$11+1,1))-AVERAGE(OFFSET($H$3,0,0,'Données projet'!$E$11+1,1))</f>
        <v>141.78548348627351</v>
      </c>
      <c r="BJ24" s="59">
        <f t="shared" si="38"/>
        <v>162.67012146297657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10.6</v>
      </c>
      <c r="N25" s="13">
        <f>IF('Données projet'!$A$36&gt;35,N24+M25-V24,IF(A25&lt;'Données projet'!$A$36,$K$205^A25,IF(A25='Données projet'!$A$36,'Données projet'!$B$36,N24+M25-V24)))</f>
        <v>224.19999999999996</v>
      </c>
      <c r="O25" s="13">
        <f>N25*VLOOKUP('Données projet'!$B$9,Paramètres!$A$1:$I$89,3,0)*VLOOKUP('Données projet'!$B$9,Paramètres!$A$1:$I$89,5,0)</f>
        <v>202.85615999999996</v>
      </c>
      <c r="P25" s="13">
        <f t="shared" si="33"/>
        <v>50.371346291665432</v>
      </c>
      <c r="Q25" s="20">
        <f t="shared" si="2"/>
        <v>441.03790679131725</v>
      </c>
      <c r="R25" s="59">
        <f t="shared" si="0"/>
        <v>724.5934623468728</v>
      </c>
      <c r="S25" s="59">
        <f ca="1">AVERAGE(OFFSET($R$3,0,0,'Données projet'!$E$9+1,1))-AVERAGE(OFFSET($H$3,0,0,'Données projet'!$E$9+1,1))</f>
        <v>394.42011098756564</v>
      </c>
      <c r="T25" s="59">
        <f t="shared" si="34"/>
        <v>559.92215054152859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123</v>
      </c>
      <c r="AG25" s="12">
        <f>VLOOKUP(A25,'Données projet'!$A$61:$I$81,9,0)</f>
        <v>5.5909090909090908</v>
      </c>
      <c r="AH25" s="12">
        <f t="array" ref="AH25">INDEX(AG:AG,MIN(IF(ISNUMBER(AG25:AG221),ROW(AG25:AG221),"")))</f>
        <v>5.5909090909090908</v>
      </c>
      <c r="AI25" s="13">
        <f>IF('Données projet'!$A$62&gt;35,AI24+AH25-AQ24,IF(A25&lt;'Données projet'!$A$62,$AF$205^A25,IF(A25='Données projet'!$A$62,'Données projet'!$B$62,AI24+AH25-AQ24)))</f>
        <v>123</v>
      </c>
      <c r="AJ25" s="13">
        <f>AI25*VLOOKUP('Données projet'!$B$10,Paramètres!$A$1:$I$89,3,0)*VLOOKUP('Données projet'!$B$10,Paramètres!$A$1:$I$89,5,0)</f>
        <v>73.554000000000016</v>
      </c>
      <c r="AK25" s="13">
        <f t="shared" si="35"/>
        <v>20.553481077376691</v>
      </c>
      <c r="AL25" s="20">
        <f t="shared" si="4"/>
        <v>163.90386287643108</v>
      </c>
      <c r="AM25" s="59">
        <f t="shared" si="5"/>
        <v>447.45941843198659</v>
      </c>
      <c r="AN25" s="59">
        <f ca="1">AVERAGE(OFFSET($AM$3,0,0,'Données projet'!$E$10+1,1))-AVERAGE(OFFSET($H$3,0,0,'Données projet'!$E$10+1,1))</f>
        <v>263.03078346375446</v>
      </c>
      <c r="AO25" s="59">
        <f t="shared" si="36"/>
        <v>251.74283929680905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6.5</v>
      </c>
      <c r="BD25" s="12">
        <f>IF('Données projet'!$A$88&gt;35,BD24+BC25-BL24,IF(A25&lt;'Données projet'!$A$88,$BA$205^A25,IF(A25='Données projet'!$A$88,'Données projet'!$B$88,BD24+BC25-BL24)))</f>
        <v>128</v>
      </c>
      <c r="BE25" s="13">
        <f>BD25*VLOOKUP('Données projet'!$B$11,Paramètres!$A$1:$I$89,3,0)*VLOOKUP('Données projet'!$B$11,Paramètres!$A$1:$I$89,5,0)</f>
        <v>59.903999999999996</v>
      </c>
      <c r="BF25" s="13">
        <f t="shared" si="37"/>
        <v>17.143994938960184</v>
      </c>
      <c r="BG25" s="20">
        <f t="shared" si="7"/>
        <v>134.19192451868898</v>
      </c>
      <c r="BH25" s="59">
        <f t="shared" si="8"/>
        <v>417.74748007424455</v>
      </c>
      <c r="BI25" s="59">
        <f ca="1">AVERAGE(OFFSET($BH$3,0,0,'Données projet'!$E$11+1,1))-AVERAGE(OFFSET($H$3,0,0,'Données projet'!$E$11+1,1))</f>
        <v>141.78548348627351</v>
      </c>
      <c r="BJ25" s="59">
        <f t="shared" si="38"/>
        <v>162.67012146297657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10.6</v>
      </c>
      <c r="N26" s="13">
        <f>IF('Données projet'!$A$36&gt;35,N25+M26-V25,IF(A26&lt;'Données projet'!$A$36,$K$205^A26,IF(A26='Données projet'!$A$36,'Données projet'!$B$36,N25+M26-V25)))</f>
        <v>234.79999999999995</v>
      </c>
      <c r="O26" s="13">
        <f>N26*VLOOKUP('Données projet'!$B$9,Paramètres!$A$1:$I$89,3,0)*VLOOKUP('Données projet'!$B$9,Paramètres!$A$1:$I$89,5,0)</f>
        <v>212.44703999999996</v>
      </c>
      <c r="P26" s="13">
        <f t="shared" si="33"/>
        <v>52.469964418207439</v>
      </c>
      <c r="Q26" s="20">
        <f t="shared" si="2"/>
        <v>461.39711602837787</v>
      </c>
      <c r="R26" s="59">
        <f t="shared" si="0"/>
        <v>746.17489380615564</v>
      </c>
      <c r="S26" s="59">
        <f ca="1">AVERAGE(OFFSET($R$3,0,0,'Données projet'!$E$9+1,1))-AVERAGE(OFFSET($H$3,0,0,'Données projet'!$E$9+1,1))</f>
        <v>394.42011098756564</v>
      </c>
      <c r="T26" s="59">
        <f t="shared" si="34"/>
        <v>559.92215054152859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12.333333333333334</v>
      </c>
      <c r="AI26" s="13">
        <f>IF('Données projet'!$A$62&gt;35,AI25+AH26-AQ25,IF(A26&lt;'Données projet'!$A$62,$AF$205^A26,IF(A26='Données projet'!$A$62,'Données projet'!$B$62,AI25+AH26-AQ25)))</f>
        <v>135.33333333333334</v>
      </c>
      <c r="AJ26" s="13">
        <f>AI26*VLOOKUP('Données projet'!$B$10,Paramètres!$A$1:$I$89,3,0)*VLOOKUP('Données projet'!$B$10,Paramètres!$A$1:$I$89,5,0)</f>
        <v>80.929333333333346</v>
      </c>
      <c r="AK26" s="13">
        <f t="shared" si="35"/>
        <v>22.364257994262992</v>
      </c>
      <c r="AL26" s="20">
        <f t="shared" si="4"/>
        <v>179.90300489556364</v>
      </c>
      <c r="AM26" s="59">
        <f t="shared" si="5"/>
        <v>464.68078267334141</v>
      </c>
      <c r="AN26" s="59">
        <f ca="1">AVERAGE(OFFSET($AM$3,0,0,'Données projet'!$E$10+1,1))-AVERAGE(OFFSET($H$3,0,0,'Données projet'!$E$10+1,1))</f>
        <v>263.03078346375446</v>
      </c>
      <c r="AO26" s="59">
        <f t="shared" si="36"/>
        <v>251.74283929680905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6.5</v>
      </c>
      <c r="BD26" s="12">
        <f>IF('Données projet'!$A$88&gt;35,BD25+BC26-BL25,IF(A26&lt;'Données projet'!$A$88,$BA$205^A26,IF(A26='Données projet'!$A$88,'Données projet'!$B$88,BD25+BC26-BL25)))</f>
        <v>134.5</v>
      </c>
      <c r="BE26" s="13">
        <f>BD26*VLOOKUP('Données projet'!$B$11,Paramètres!$A$1:$I$89,3,0)*VLOOKUP('Données projet'!$B$11,Paramètres!$A$1:$I$89,5,0)</f>
        <v>62.946000000000005</v>
      </c>
      <c r="BF26" s="13">
        <f t="shared" si="37"/>
        <v>17.911019680519331</v>
      </c>
      <c r="BG26" s="20">
        <f t="shared" si="7"/>
        <v>140.82597594357114</v>
      </c>
      <c r="BH26" s="59">
        <f t="shared" si="8"/>
        <v>425.60375372134888</v>
      </c>
      <c r="BI26" s="59">
        <f ca="1">AVERAGE(OFFSET($BH$3,0,0,'Données projet'!$E$11+1,1))-AVERAGE(OFFSET($H$3,0,0,'Données projet'!$E$11+1,1))</f>
        <v>141.78548348627351</v>
      </c>
      <c r="BJ26" s="59">
        <f t="shared" si="38"/>
        <v>162.67012146297657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10.6</v>
      </c>
      <c r="N27" s="13">
        <f>IF('Données projet'!$A$36&gt;35,N26+M27-V26,IF(A27&lt;'Données projet'!$A$36,$K$205^A27,IF(A27='Données projet'!$A$36,'Données projet'!$B$36,N26+M27-V26)))</f>
        <v>245.39999999999995</v>
      </c>
      <c r="O27" s="13">
        <f>N27*VLOOKUP('Données projet'!$B$9,Paramètres!$A$1:$I$89,3,0)*VLOOKUP('Données projet'!$B$9,Paramètres!$A$1:$I$89,5,0)</f>
        <v>222.03791999999996</v>
      </c>
      <c r="P27" s="13">
        <f t="shared" si="33"/>
        <v>54.55757958827305</v>
      </c>
      <c r="Q27" s="20">
        <f t="shared" si="2"/>
        <v>481.73716178290874</v>
      </c>
      <c r="R27" s="59">
        <f t="shared" si="0"/>
        <v>767.73716178290874</v>
      </c>
      <c r="S27" s="59">
        <f ca="1">AVERAGE(OFFSET($R$3,0,0,'Données projet'!$E$9+1,1))-AVERAGE(OFFSET($H$3,0,0,'Données projet'!$E$9+1,1))</f>
        <v>394.42011098756564</v>
      </c>
      <c r="T27" s="59">
        <f t="shared" si="34"/>
        <v>559.92215054152859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12.333333333333334</v>
      </c>
      <c r="AI27" s="13">
        <f>IF('Données projet'!$A$62&gt;35,AI26+AH27-AQ26,IF(A27&lt;'Données projet'!$A$62,$AF$205^A27,IF(A27='Données projet'!$A$62,'Données projet'!$B$62,AI26+AH27-AQ26)))</f>
        <v>147.66666666666669</v>
      </c>
      <c r="AJ27" s="13">
        <f>AI27*VLOOKUP('Données projet'!$B$10,Paramètres!$A$1:$I$89,3,0)*VLOOKUP('Données projet'!$B$10,Paramètres!$A$1:$I$89,5,0)</f>
        <v>88.304666666666677</v>
      </c>
      <c r="AK27" s="13">
        <f t="shared" si="35"/>
        <v>24.155899989082851</v>
      </c>
      <c r="AL27" s="20">
        <f t="shared" si="4"/>
        <v>195.86882025876375</v>
      </c>
      <c r="AM27" s="59">
        <f t="shared" si="5"/>
        <v>481.86882025876378</v>
      </c>
      <c r="AN27" s="59">
        <f ca="1">AVERAGE(OFFSET($AM$3,0,0,'Données projet'!$E$10+1,1))-AVERAGE(OFFSET($H$3,0,0,'Données projet'!$E$10+1,1))</f>
        <v>263.03078346375446</v>
      </c>
      <c r="AO27" s="59">
        <f t="shared" si="36"/>
        <v>251.74283929680905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6.5</v>
      </c>
      <c r="BD27" s="12">
        <f>IF('Données projet'!$A$88&gt;35,BD26+BC27-BL26,IF(A27&lt;'Données projet'!$A$88,$BA$205^A27,IF(A27='Données projet'!$A$88,'Données projet'!$B$88,BD26+BC27-BL26)))</f>
        <v>141</v>
      </c>
      <c r="BE27" s="13">
        <f>BD27*VLOOKUP('Données projet'!$B$11,Paramètres!$A$1:$I$89,3,0)*VLOOKUP('Données projet'!$B$11,Paramètres!$A$1:$I$89,5,0)</f>
        <v>65.988</v>
      </c>
      <c r="BF27" s="13">
        <f t="shared" si="37"/>
        <v>18.67374003807944</v>
      </c>
      <c r="BG27" s="20">
        <f t="shared" si="7"/>
        <v>147.45253056632168</v>
      </c>
      <c r="BH27" s="59">
        <f t="shared" si="8"/>
        <v>433.45253056632168</v>
      </c>
      <c r="BI27" s="59">
        <f ca="1">AVERAGE(OFFSET($BH$3,0,0,'Données projet'!$E$11+1,1))-AVERAGE(OFFSET($H$3,0,0,'Données projet'!$E$11+1,1))</f>
        <v>141.78548348627351</v>
      </c>
      <c r="BJ27" s="59">
        <f t="shared" si="38"/>
        <v>162.67012146297657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256</v>
      </c>
      <c r="L28" s="12">
        <f>VLOOKUP(A28,'Données projet'!$A$35:$I$55,9,0)</f>
        <v>10.6</v>
      </c>
      <c r="M28" s="12">
        <f t="array" ref="M28">INDEX(L:L,MIN(IF(ISNUMBER(L28:L224),ROW(L28:L224),"")))</f>
        <v>10.6</v>
      </c>
      <c r="N28" s="13">
        <f>IF('Données projet'!$A$36&gt;35,N27+M28-V27,IF(A28&lt;'Données projet'!$A$36,$K$205^A28,IF(A28='Données projet'!$A$36,'Données projet'!$B$36,N27+M28-V27)))</f>
        <v>255.99999999999994</v>
      </c>
      <c r="O28" s="13">
        <f>N28*VLOOKUP('Données projet'!$B$9,Paramètres!$A$1:$I$89,3,0)*VLOOKUP('Données projet'!$B$9,Paramètres!$A$1:$I$89,5,0)</f>
        <v>231.62879999999996</v>
      </c>
      <c r="P28" s="13">
        <f t="shared" si="33"/>
        <v>56.63472139815822</v>
      </c>
      <c r="Q28" s="20">
        <f t="shared" si="2"/>
        <v>502.05896643512546</v>
      </c>
      <c r="R28" s="59">
        <f t="shared" si="0"/>
        <v>789.28118865734768</v>
      </c>
      <c r="S28" s="59">
        <f ca="1">AVERAGE(OFFSET($R$3,0,0,'Données projet'!$E$9+1,1))-AVERAGE(OFFSET($H$3,0,0,'Données projet'!$E$9+1,1))</f>
        <v>394.42011098756564</v>
      </c>
      <c r="T28" s="59">
        <f t="shared" si="34"/>
        <v>559.92215054152859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160</v>
      </c>
      <c r="AG28" s="12">
        <f>VLOOKUP(A28,'Données projet'!$A$61:$I$81,9,0)</f>
        <v>12.333333333333334</v>
      </c>
      <c r="AH28" s="12">
        <f t="array" ref="AH28">INDEX(AG:AG,MIN(IF(ISNUMBER(AG28:AG224),ROW(AG28:AG224),"")))</f>
        <v>12.333333333333334</v>
      </c>
      <c r="AI28" s="13">
        <f>IF('Données projet'!$A$62&gt;35,AI27+AH28-AQ27,IF(A28&lt;'Données projet'!$A$62,$AF$205^A28,IF(A28='Données projet'!$A$62,'Données projet'!$B$62,AI27+AH28-AQ27)))</f>
        <v>160.00000000000003</v>
      </c>
      <c r="AJ28" s="13">
        <f>AI28*VLOOKUP('Données projet'!$B$10,Paramètres!$A$1:$I$89,3,0)*VLOOKUP('Données projet'!$B$10,Paramètres!$A$1:$I$89,5,0)</f>
        <v>95.680000000000035</v>
      </c>
      <c r="AK28" s="13">
        <f t="shared" si="35"/>
        <v>25.930186937101965</v>
      </c>
      <c r="AL28" s="20">
        <f t="shared" si="4"/>
        <v>211.80440891545263</v>
      </c>
      <c r="AM28" s="59">
        <f t="shared" si="5"/>
        <v>499.02663113767483</v>
      </c>
      <c r="AN28" s="59">
        <f ca="1">AVERAGE(OFFSET($AM$3,0,0,'Données projet'!$E$10+1,1))-AVERAGE(OFFSET($H$3,0,0,'Données projet'!$E$10+1,1))</f>
        <v>263.03078346375446</v>
      </c>
      <c r="AO28" s="59">
        <f t="shared" si="36"/>
        <v>251.74283929680905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17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0.22500000000000001</v>
      </c>
      <c r="AT28" s="16">
        <f>IF(ISNA(VLOOKUP(A28,'Données projet'!$A$61:$I$81,7,0)),0%,VLOOKUP(A28,'Données projet'!$A$61:$I$81,7,0))</f>
        <v>0.5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3.0223699441395868</v>
      </c>
      <c r="AW28" s="21">
        <f>EXP(-LN(2)/2)*AW27+(1-EXP(-LN(2)/2))/(LN(2)/2)*AQ28*AT28*VLOOKUP('Données projet'!$B$10,Paramètres!$A$1:$I$89,3,0)*0.475*44/12</f>
        <v>5.7551367683270263</v>
      </c>
      <c r="AX28" s="21">
        <f t="shared" si="6"/>
        <v>8.7775067124666126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6.5</v>
      </c>
      <c r="BD28" s="12">
        <f>IF('Données projet'!$A$88&gt;35,BD27+BC28-BL27,IF(A28&lt;'Données projet'!$A$88,$BA$205^A28,IF(A28='Données projet'!$A$88,'Données projet'!$B$88,BD27+BC28-BL27)))</f>
        <v>147.5</v>
      </c>
      <c r="BE28" s="13">
        <f>BD28*VLOOKUP('Données projet'!$B$11,Paramètres!$A$1:$I$89,3,0)*VLOOKUP('Données projet'!$B$11,Paramètres!$A$1:$I$89,5,0)</f>
        <v>69.03</v>
      </c>
      <c r="BF28" s="13">
        <f t="shared" si="37"/>
        <v>19.432377104615718</v>
      </c>
      <c r="BG28" s="20">
        <f t="shared" si="7"/>
        <v>154.0719734572057</v>
      </c>
      <c r="BH28" s="59">
        <f t="shared" si="8"/>
        <v>441.29419567942796</v>
      </c>
      <c r="BI28" s="59">
        <f ca="1">AVERAGE(OFFSET($BH$3,0,0,'Données projet'!$E$11+1,1))-AVERAGE(OFFSET($H$3,0,0,'Données projet'!$E$11+1,1))</f>
        <v>141.78548348627351</v>
      </c>
      <c r="BJ28" s="59">
        <f t="shared" si="38"/>
        <v>162.67012146297657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8.6</v>
      </c>
      <c r="N29" s="13">
        <f>IF('Données projet'!$A$36&gt;35,N28+M29-V28,IF(A29&lt;'Données projet'!$A$36,$K$205^A29,IF(A29='Données projet'!$A$36,'Données projet'!$B$36,N28+M29-V28)))</f>
        <v>264.59999999999997</v>
      </c>
      <c r="O29" s="13">
        <f>N29*VLOOKUP('Données projet'!$B$9,Paramètres!$A$1:$I$89,3,0)*VLOOKUP('Données projet'!$B$9,Paramètres!$A$1:$I$89,5,0)</f>
        <v>239.41007999999994</v>
      </c>
      <c r="P29" s="13">
        <f t="shared" si="33"/>
        <v>58.312588146640756</v>
      </c>
      <c r="Q29" s="20">
        <f t="shared" si="2"/>
        <v>518.53364702206579</v>
      </c>
      <c r="R29" s="59">
        <f t="shared" si="0"/>
        <v>806.97809146651025</v>
      </c>
      <c r="S29" s="59">
        <f ca="1">AVERAGE(OFFSET($R$3,0,0,'Données projet'!$E$9+1,1))-AVERAGE(OFFSET($H$3,0,0,'Données projet'!$E$9+1,1))</f>
        <v>394.42011098756564</v>
      </c>
      <c r="T29" s="59">
        <f t="shared" si="34"/>
        <v>559.92215054152859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156.40000000000003</v>
      </c>
      <c r="AJ29" s="13">
        <f>AI29*VLOOKUP('Données projet'!$B$10,Paramètres!$A$1:$I$89,3,0)*VLOOKUP('Données projet'!$B$10,Paramètres!$A$1:$I$89,5,0)</f>
        <v>93.527200000000022</v>
      </c>
      <c r="AK29" s="13">
        <f t="shared" si="35"/>
        <v>25.413988099106522</v>
      </c>
      <c r="AL29" s="20">
        <f t="shared" si="4"/>
        <v>207.15590260594388</v>
      </c>
      <c r="AM29" s="59">
        <f t="shared" si="5"/>
        <v>495.60034705038834</v>
      </c>
      <c r="AN29" s="59">
        <f ca="1">AVERAGE(OFFSET($AM$3,0,0,'Données projet'!$E$10+1,1))-AVERAGE(OFFSET($H$3,0,0,'Données projet'!$E$10+1,1))</f>
        <v>263.03078346375446</v>
      </c>
      <c r="AO29" s="59">
        <f t="shared" si="36"/>
        <v>251.74283929680905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2.9397230790775621</v>
      </c>
      <c r="AW29" s="21">
        <f>EXP(-LN(2)/2)*AW28+(1-EXP(-LN(2)/2))/(LN(2)/2)*AQ29*AT29*VLOOKUP('Données projet'!$B$10,Paramètres!$A$1:$I$89,3,0)*0.475*44/12</f>
        <v>4.0694962355400728</v>
      </c>
      <c r="AX29" s="21">
        <f t="shared" si="6"/>
        <v>7.0092193146176349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72.072000000000003</v>
      </c>
      <c r="BF29" s="13">
        <f t="shared" si="37"/>
        <v>20.187131385147271</v>
      </c>
      <c r="BG29" s="20">
        <f t="shared" si="7"/>
        <v>160.68465382913149</v>
      </c>
      <c r="BH29" s="59">
        <f t="shared" si="8"/>
        <v>449.12909827357595</v>
      </c>
      <c r="BI29" s="59">
        <f ca="1">AVERAGE(OFFSET($BH$3,0,0,'Données projet'!$E$11+1,1))-AVERAGE(OFFSET($H$3,0,0,'Données projet'!$E$11+1,1))</f>
        <v>141.78548348627351</v>
      </c>
      <c r="BJ29" s="59">
        <f t="shared" si="38"/>
        <v>162.67012146297657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8.6</v>
      </c>
      <c r="N30" s="13">
        <f>IF('Données projet'!$A$36&gt;35,N29+M30-V29,IF(A30&lt;'Données projet'!$A$36,$K$205^A30,IF(A30='Données projet'!$A$36,'Données projet'!$B$36,N29+M30-V29)))</f>
        <v>273.2</v>
      </c>
      <c r="O30" s="13">
        <f>N30*VLOOKUP('Données projet'!$B$9,Paramètres!$A$1:$I$89,3,0)*VLOOKUP('Données projet'!$B$9,Paramètres!$A$1:$I$89,5,0)</f>
        <v>247.19136</v>
      </c>
      <c r="P30" s="13">
        <f t="shared" si="33"/>
        <v>59.984117969781565</v>
      </c>
      <c r="Q30" s="20">
        <f t="shared" si="2"/>
        <v>534.99729079736949</v>
      </c>
      <c r="R30" s="59">
        <f t="shared" si="0"/>
        <v>824.66395746403623</v>
      </c>
      <c r="S30" s="59">
        <f ca="1">AVERAGE(OFFSET($R$3,0,0,'Données projet'!$E$9+1,1))-AVERAGE(OFFSET($H$3,0,0,'Données projet'!$E$9+1,1))</f>
        <v>394.42011098756564</v>
      </c>
      <c r="T30" s="59">
        <f t="shared" si="34"/>
        <v>559.92215054152859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169.80000000000004</v>
      </c>
      <c r="AJ30" s="13">
        <f>AI30*VLOOKUP('Données projet'!$B$10,Paramètres!$A$1:$I$89,3,0)*VLOOKUP('Données projet'!$B$10,Paramètres!$A$1:$I$89,5,0)</f>
        <v>101.54040000000003</v>
      </c>
      <c r="AK30" s="13">
        <f t="shared" si="35"/>
        <v>27.328649476054974</v>
      </c>
      <c r="AL30" s="20">
        <f t="shared" si="4"/>
        <v>224.44692783746248</v>
      </c>
      <c r="AM30" s="59">
        <f t="shared" si="5"/>
        <v>514.1135945041292</v>
      </c>
      <c r="AN30" s="59">
        <f ca="1">AVERAGE(OFFSET($AM$3,0,0,'Données projet'!$E$10+1,1))-AVERAGE(OFFSET($H$3,0,0,'Données projet'!$E$10+1,1))</f>
        <v>263.03078346375446</v>
      </c>
      <c r="AO30" s="59">
        <f t="shared" si="36"/>
        <v>251.74283929680905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2.8593361968868685</v>
      </c>
      <c r="AW30" s="21">
        <f>EXP(-LN(2)/2)*AW29+(1-EXP(-LN(2)/2))/(LN(2)/2)*AQ30*AT30*VLOOKUP('Données projet'!$B$10,Paramètres!$A$1:$I$89,3,0)*0.475*44/12</f>
        <v>2.8775683841635131</v>
      </c>
      <c r="AX30" s="21">
        <f t="shared" si="6"/>
        <v>5.736904581050382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6.5</v>
      </c>
      <c r="BD30" s="12">
        <f>IF('Données projet'!$A$88&gt;35,BD29+BC30-BL29,IF(A30&lt;'Données projet'!$A$88,$BA$205^A30,IF(A30='Données projet'!$A$88,'Données projet'!$B$88,BD29+BC30-BL29)))</f>
        <v>160.5</v>
      </c>
      <c r="BE30" s="13">
        <f>BD30*VLOOKUP('Données projet'!$B$11,Paramètres!$A$1:$I$89,3,0)*VLOOKUP('Données projet'!$B$11,Paramètres!$A$1:$I$89,5,0)</f>
        <v>75.114000000000004</v>
      </c>
      <c r="BF30" s="13">
        <f t="shared" si="37"/>
        <v>20.938185501492693</v>
      </c>
      <c r="BG30" s="20">
        <f t="shared" si="7"/>
        <v>167.2908897484331</v>
      </c>
      <c r="BH30" s="59">
        <f t="shared" si="8"/>
        <v>456.95755641509982</v>
      </c>
      <c r="BI30" s="59">
        <f ca="1">AVERAGE(OFFSET($BH$3,0,0,'Données projet'!$E$11+1,1))-AVERAGE(OFFSET($H$3,0,0,'Données projet'!$E$11+1,1))</f>
        <v>141.78548348627351</v>
      </c>
      <c r="BJ30" s="59">
        <f t="shared" si="38"/>
        <v>162.67012146297657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8.6</v>
      </c>
      <c r="N31" s="13">
        <f>IF('Données projet'!$A$36&gt;35,N30+M31-V30,IF(A31&lt;'Données projet'!$A$36,$K$205^A31,IF(A31='Données projet'!$A$36,'Données projet'!$B$36,N30+M31-V30)))</f>
        <v>281.8</v>
      </c>
      <c r="O31" s="13">
        <f>N31*VLOOKUP('Données projet'!$B$9,Paramètres!$A$1:$I$89,3,0)*VLOOKUP('Données projet'!$B$9,Paramètres!$A$1:$I$89,5,0)</f>
        <v>254.97263999999998</v>
      </c>
      <c r="P31" s="13">
        <f t="shared" si="33"/>
        <v>61.649533232533919</v>
      </c>
      <c r="Q31" s="20">
        <f t="shared" si="2"/>
        <v>551.45028504666311</v>
      </c>
      <c r="R31" s="59">
        <f t="shared" si="0"/>
        <v>842.33917393555203</v>
      </c>
      <c r="S31" s="59">
        <f ca="1">AVERAGE(OFFSET($R$3,0,0,'Données projet'!$E$9+1,1))-AVERAGE(OFFSET($H$3,0,0,'Données projet'!$E$9+1,1))</f>
        <v>394.42011098756564</v>
      </c>
      <c r="T31" s="59">
        <f t="shared" si="34"/>
        <v>559.92215054152859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183.20000000000005</v>
      </c>
      <c r="AJ31" s="13">
        <f>AI31*VLOOKUP('Données projet'!$B$10,Paramètres!$A$1:$I$89,3,0)*VLOOKUP('Données projet'!$B$10,Paramètres!$A$1:$I$89,5,0)</f>
        <v>109.55360000000003</v>
      </c>
      <c r="AK31" s="13">
        <f t="shared" si="35"/>
        <v>29.225784372214765</v>
      </c>
      <c r="AL31" s="20">
        <f t="shared" si="4"/>
        <v>241.70742778160744</v>
      </c>
      <c r="AM31" s="59">
        <f t="shared" si="5"/>
        <v>532.59631667049632</v>
      </c>
      <c r="AN31" s="59">
        <f ca="1">AVERAGE(OFFSET($AM$3,0,0,'Données projet'!$E$10+1,1))-AVERAGE(OFFSET($H$3,0,0,'Données projet'!$E$10+1,1))</f>
        <v>263.03078346375446</v>
      </c>
      <c r="AO31" s="59">
        <f t="shared" si="36"/>
        <v>251.74283929680905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2.7811474982170417</v>
      </c>
      <c r="AW31" s="21">
        <f>EXP(-LN(2)/2)*AW30+(1-EXP(-LN(2)/2))/(LN(2)/2)*AQ31*AT31*VLOOKUP('Données projet'!$B$10,Paramètres!$A$1:$I$89,3,0)*0.475*44/12</f>
        <v>2.0347481177700364</v>
      </c>
      <c r="AX31" s="21">
        <f t="shared" si="6"/>
        <v>4.8158956159870776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6.5</v>
      </c>
      <c r="BD31" s="12">
        <f>IF('Données projet'!$A$88&gt;35,BD30+BC31-BL30,IF(A31&lt;'Données projet'!$A$88,$BA$205^A31,IF(A31='Données projet'!$A$88,'Données projet'!$B$88,BD30+BC31-BL30)))</f>
        <v>167</v>
      </c>
      <c r="BE31" s="13">
        <f>BD31*VLOOKUP('Données projet'!$B$11,Paramètres!$A$1:$I$89,3,0)*VLOOKUP('Données projet'!$B$11,Paramètres!$A$1:$I$89,5,0)</f>
        <v>78.156000000000006</v>
      </c>
      <c r="BF31" s="13">
        <f t="shared" si="37"/>
        <v>21.685706446534809</v>
      </c>
      <c r="BG31" s="20">
        <f t="shared" si="7"/>
        <v>173.89097206104813</v>
      </c>
      <c r="BH31" s="59">
        <f t="shared" si="8"/>
        <v>464.77986094993696</v>
      </c>
      <c r="BI31" s="59">
        <f ca="1">AVERAGE(OFFSET($BH$3,0,0,'Données projet'!$E$11+1,1))-AVERAGE(OFFSET($H$3,0,0,'Données projet'!$E$11+1,1))</f>
        <v>141.78548348627351</v>
      </c>
      <c r="BJ31" s="59">
        <f t="shared" si="38"/>
        <v>162.67012146297657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8.6</v>
      </c>
      <c r="N32" s="13">
        <f>IF('Données projet'!$A$36&gt;35,N31+M32-V31,IF(A32&lt;'Données projet'!$A$36,$K$205^A32,IF(A32='Données projet'!$A$36,'Données projet'!$B$36,N31+M32-V31)))</f>
        <v>290.40000000000003</v>
      </c>
      <c r="O32" s="13">
        <f>N32*VLOOKUP('Données projet'!$B$9,Paramètres!$A$1:$I$89,3,0)*VLOOKUP('Données projet'!$B$9,Paramètres!$A$1:$I$89,5,0)</f>
        <v>262.75392000000005</v>
      </c>
      <c r="P32" s="13">
        <f t="shared" si="33"/>
        <v>63.309041956360382</v>
      </c>
      <c r="Q32" s="20">
        <f t="shared" si="2"/>
        <v>567.89299207399438</v>
      </c>
      <c r="R32" s="59">
        <f t="shared" si="0"/>
        <v>860.00410318510558</v>
      </c>
      <c r="S32" s="59">
        <f ca="1">AVERAGE(OFFSET($R$3,0,0,'Données projet'!$E$9+1,1))-AVERAGE(OFFSET($H$3,0,0,'Données projet'!$E$9+1,1))</f>
        <v>394.42011098756564</v>
      </c>
      <c r="T32" s="59">
        <f t="shared" si="34"/>
        <v>559.92215054152859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196.60000000000005</v>
      </c>
      <c r="AJ32" s="13">
        <f>AI32*VLOOKUP('Données projet'!$B$10,Paramètres!$A$1:$I$89,3,0)*VLOOKUP('Données projet'!$B$10,Paramètres!$A$1:$I$89,5,0)</f>
        <v>117.56680000000003</v>
      </c>
      <c r="AK32" s="13">
        <f t="shared" si="35"/>
        <v>31.106820530957542</v>
      </c>
      <c r="AL32" s="20">
        <f t="shared" si="4"/>
        <v>258.9398890914178</v>
      </c>
      <c r="AM32" s="59">
        <f t="shared" si="5"/>
        <v>551.05100020252894</v>
      </c>
      <c r="AN32" s="59">
        <f ca="1">AVERAGE(OFFSET($AM$3,0,0,'Données projet'!$E$10+1,1))-AVERAGE(OFFSET($H$3,0,0,'Données projet'!$E$10+1,1))</f>
        <v>263.03078346375446</v>
      </c>
      <c r="AO32" s="59">
        <f t="shared" si="36"/>
        <v>251.74283929680905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2.7050968736241061</v>
      </c>
      <c r="AW32" s="21">
        <f>EXP(-LN(2)/2)*AW31+(1-EXP(-LN(2)/2))/(LN(2)/2)*AQ32*AT32*VLOOKUP('Données projet'!$B$10,Paramètres!$A$1:$I$89,3,0)*0.475*44/12</f>
        <v>1.4387841920817566</v>
      </c>
      <c r="AX32" s="21">
        <f t="shared" si="6"/>
        <v>4.1438810657058625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6.5</v>
      </c>
      <c r="BD32" s="12">
        <f>IF('Données projet'!$A$88&gt;35,BD31+BC32-BL31,IF(A32&lt;'Données projet'!$A$88,$BA$205^A32,IF(A32='Données projet'!$A$88,'Données projet'!$B$88,BD31+BC32-BL31)))</f>
        <v>173.5</v>
      </c>
      <c r="BE32" s="13">
        <f>BD32*VLOOKUP('Données projet'!$B$11,Paramètres!$A$1:$I$89,3,0)*VLOOKUP('Données projet'!$B$11,Paramètres!$A$1:$I$89,5,0)</f>
        <v>81.198000000000008</v>
      </c>
      <c r="BF32" s="13">
        <f t="shared" si="37"/>
        <v>22.429847477648512</v>
      </c>
      <c r="BG32" s="20">
        <f t="shared" si="7"/>
        <v>180.48516769023783</v>
      </c>
      <c r="BH32" s="59">
        <f t="shared" si="8"/>
        <v>472.59627880134894</v>
      </c>
      <c r="BI32" s="59">
        <f ca="1">AVERAGE(OFFSET($BH$3,0,0,'Données projet'!$E$11+1,1))-AVERAGE(OFFSET($H$3,0,0,'Données projet'!$E$11+1,1))</f>
        <v>141.78548348627351</v>
      </c>
      <c r="BJ32" s="59">
        <f t="shared" si="38"/>
        <v>162.67012146297657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299</v>
      </c>
      <c r="L33" s="12">
        <f>VLOOKUP(A33,'Données projet'!$A$35:$I$55,9,0)</f>
        <v>8.6</v>
      </c>
      <c r="M33" s="12">
        <f t="array" ref="M33">INDEX(L:L,MIN(IF(ISNUMBER(L33:L229),ROW(L33:L229),"")))</f>
        <v>8.6</v>
      </c>
      <c r="N33" s="13">
        <f>IF('Données projet'!$A$36&gt;35,N32+M33-V32,IF(A33&lt;'Données projet'!$A$36,$K$205^A33,IF(A33='Données projet'!$A$36,'Données projet'!$B$36,N32+M33-V32)))</f>
        <v>299.00000000000006</v>
      </c>
      <c r="O33" s="13">
        <f>N33*VLOOKUP('Données projet'!$B$9,Paramètres!$A$1:$I$89,3,0)*VLOOKUP('Données projet'!$B$9,Paramètres!$A$1:$I$89,5,0)</f>
        <v>270.53520000000003</v>
      </c>
      <c r="P33" s="13">
        <f t="shared" si="33"/>
        <v>64.962839141501462</v>
      </c>
      <c r="Q33" s="20">
        <f t="shared" si="2"/>
        <v>584.32575150478181</v>
      </c>
      <c r="R33" s="59">
        <f t="shared" si="0"/>
        <v>877.65908483811518</v>
      </c>
      <c r="S33" s="59">
        <f ca="1">AVERAGE(OFFSET($R$3,0,0,'Données projet'!$E$9+1,1))-AVERAGE(OFFSET($H$3,0,0,'Données projet'!$E$9+1,1))</f>
        <v>394.42011098756564</v>
      </c>
      <c r="T33" s="59">
        <f t="shared" si="34"/>
        <v>559.92215054152859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210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210.00000000000006</v>
      </c>
      <c r="AJ33" s="13">
        <f>AI33*VLOOKUP('Données projet'!$B$10,Paramètres!$A$1:$I$89,3,0)*VLOOKUP('Données projet'!$B$10,Paramètres!$A$1:$I$89,5,0)</f>
        <v>125.58000000000006</v>
      </c>
      <c r="AK33" s="13">
        <f t="shared" si="35"/>
        <v>32.972980053624248</v>
      </c>
      <c r="AL33" s="20">
        <f t="shared" si="4"/>
        <v>276.14644026006232</v>
      </c>
      <c r="AM33" s="59">
        <f t="shared" si="5"/>
        <v>569.47977359339563</v>
      </c>
      <c r="AN33" s="59">
        <f ca="1">AVERAGE(OFFSET($AM$3,0,0,'Données projet'!$E$10+1,1))-AVERAGE(OFFSET($H$3,0,0,'Données projet'!$E$10+1,1))</f>
        <v>263.03078346375446</v>
      </c>
      <c r="AO33" s="59">
        <f t="shared" si="36"/>
        <v>251.74283929680905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2.6311258573599927</v>
      </c>
      <c r="AW33" s="21">
        <f>EXP(-LN(2)/2)*AW32+(1-EXP(-LN(2)/2))/(LN(2)/2)*AQ33*AT33*VLOOKUP('Données projet'!$B$10,Paramètres!$A$1:$I$89,3,0)*0.475*44/12</f>
        <v>1.0173740588850182</v>
      </c>
      <c r="AX33" s="21">
        <f t="shared" si="6"/>
        <v>3.6484999162450107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180</v>
      </c>
      <c r="BB33" s="12">
        <f>VLOOKUP(A33,'Données projet'!$A$87:$I$107,9,0)</f>
        <v>6.5</v>
      </c>
      <c r="BC33" s="12">
        <f t="array" ref="BC33">INDEX(BB:BB,MIN(IF(ISNUMBER(BB33:BB229),ROW(BB33:BB229),"")))</f>
        <v>6.5</v>
      </c>
      <c r="BD33" s="12">
        <f>IF('Données projet'!$A$88&gt;35,BD32+BC33-BL32,IF(A33&lt;'Données projet'!$A$88,$BA$205^A33,IF(A33='Données projet'!$A$88,'Données projet'!$B$88,BD32+BC33-BL32)))</f>
        <v>180</v>
      </c>
      <c r="BE33" s="13">
        <f>BD33*VLOOKUP('Données projet'!$B$11,Paramètres!$A$1:$I$89,3,0)*VLOOKUP('Données projet'!$B$11,Paramètres!$A$1:$I$89,5,0)</f>
        <v>84.24</v>
      </c>
      <c r="BF33" s="13">
        <f t="shared" si="37"/>
        <v>23.170749718409468</v>
      </c>
      <c r="BG33" s="20">
        <f t="shared" si="7"/>
        <v>187.07372242622981</v>
      </c>
      <c r="BH33" s="59">
        <f t="shared" si="8"/>
        <v>480.40705575956315</v>
      </c>
      <c r="BI33" s="59">
        <f ca="1">AVERAGE(OFFSET($BH$3,0,0,'Données projet'!$E$11+1,1))-AVERAGE(OFFSET($H$3,0,0,'Données projet'!$E$11+1,1))</f>
        <v>141.78548348627351</v>
      </c>
      <c r="BJ33" s="59">
        <f t="shared" si="38"/>
        <v>162.67012146297657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0.27500000000000002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4.5915287642427476</v>
      </c>
      <c r="BR33" s="21">
        <f>EXP(-LN(2)/2)*BR32+(1-EXP(-LN(2)/2))/(LN(2)/2)*BL33*BO33*VLOOKUP('Données projet'!$B$11,Paramètres!$A$1:$I$89,3,0)*0.475*44/12</f>
        <v>7.153443655772211</v>
      </c>
      <c r="BS33" s="22">
        <f t="shared" si="9"/>
        <v>11.744972420014959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</v>
      </c>
      <c r="N34" s="13">
        <f>IF('Données projet'!$A$36&gt;35,N33+M34-V33,IF(A34&lt;'Données projet'!$A$36,$K$205^A34,IF(A34='Données projet'!$A$36,'Données projet'!$B$36,N33+M34-V33)))</f>
        <v>306.00000000000006</v>
      </c>
      <c r="O34" s="13">
        <f>N34*VLOOKUP('Données projet'!$B$9,Paramètres!$A$1:$I$89,3,0)*VLOOKUP('Données projet'!$B$9,Paramètres!$A$1:$I$89,5,0)</f>
        <v>276.86880000000002</v>
      </c>
      <c r="P34" s="13">
        <f t="shared" si="33"/>
        <v>66.30486383631866</v>
      </c>
      <c r="Q34" s="20">
        <f t="shared" si="2"/>
        <v>597.69413118158832</v>
      </c>
      <c r="R34" s="59">
        <f t="shared" si="0"/>
        <v>891.02746451492158</v>
      </c>
      <c r="S34" s="59">
        <f ca="1">AVERAGE(OFFSET($R$3,0,0,'Données projet'!$E$9+1,1))-AVERAGE(OFFSET($H$3,0,0,'Données projet'!$E$9+1,1))</f>
        <v>394.42011098756564</v>
      </c>
      <c r="T34" s="59">
        <f t="shared" si="34"/>
        <v>559.92215054152859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</v>
      </c>
      <c r="AI34" s="13">
        <f>IF('Données projet'!$A$62&gt;35,AI33+AH34-AQ33,IF(A34&lt;'Données projet'!$A$62,$AF$205^A34,IF(A34='Données projet'!$A$62,'Données projet'!$B$62,AI33+AH34-AQ33)))</f>
        <v>224.60000000000005</v>
      </c>
      <c r="AJ34" s="13">
        <f>AI34*VLOOKUP('Données projet'!$B$10,Paramètres!$A$1:$I$89,3,0)*VLOOKUP('Données projet'!$B$10,Paramètres!$A$1:$I$89,5,0)</f>
        <v>134.31080000000006</v>
      </c>
      <c r="AK34" s="13">
        <f t="shared" si="35"/>
        <v>34.990559574445506</v>
      </c>
      <c r="AL34" s="20">
        <f t="shared" si="4"/>
        <v>294.86653459215933</v>
      </c>
      <c r="AM34" s="59">
        <f t="shared" si="5"/>
        <v>588.19986792549264</v>
      </c>
      <c r="AN34" s="59">
        <f ca="1">AVERAGE(OFFSET($AM$3,0,0,'Données projet'!$E$10+1,1))-AVERAGE(OFFSET($H$3,0,0,'Données projet'!$E$10+1,1))</f>
        <v>263.03078346375446</v>
      </c>
      <c r="AO34" s="59">
        <f t="shared" si="36"/>
        <v>251.74283929680905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2.5591775824255882</v>
      </c>
      <c r="AW34" s="21">
        <f>EXP(-LN(2)/2)*AW33+(1-EXP(-LN(2)/2))/(LN(2)/2)*AQ34*AT34*VLOOKUP('Données projet'!$B$10,Paramètres!$A$1:$I$89,3,0)*0.475*44/12</f>
        <v>0.71939209604087828</v>
      </c>
      <c r="AX34" s="21">
        <f t="shared" si="6"/>
        <v>3.2785696784664666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</v>
      </c>
      <c r="BD34" s="12">
        <f>IF('Données projet'!$A$88&gt;35,BD33+BC34-BL33,IF(A34&lt;'Données projet'!$A$88,$BA$205^A34,IF(A34='Données projet'!$A$88,'Données projet'!$B$88,BD33+BC34-BL33)))</f>
        <v>160</v>
      </c>
      <c r="BE34" s="13">
        <f>BD34*VLOOKUP('Données projet'!$B$11,Paramètres!$A$1:$I$89,3,0)*VLOOKUP('Données projet'!$B$11,Paramètres!$A$1:$I$89,5,0)</f>
        <v>74.88</v>
      </c>
      <c r="BF34" s="13">
        <f t="shared" si="37"/>
        <v>20.880539585643231</v>
      </c>
      <c r="BG34" s="20">
        <f t="shared" si="7"/>
        <v>166.78293977832863</v>
      </c>
      <c r="BH34" s="59">
        <f t="shared" si="8"/>
        <v>460.11627311166194</v>
      </c>
      <c r="BI34" s="59">
        <f ca="1">AVERAGE(OFFSET($BH$3,0,0,'Données projet'!$E$11+1,1))-AVERAGE(OFFSET($H$3,0,0,'Données projet'!$E$11+1,1))</f>
        <v>141.78548348627351</v>
      </c>
      <c r="BJ34" s="59">
        <f t="shared" si="38"/>
        <v>162.67012146297657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4.4659731687265261</v>
      </c>
      <c r="BR34" s="21">
        <f>EXP(-LN(2)/2)*BR33+(1-EXP(-LN(2)/2))/(LN(2)/2)*BL34*BO34*VLOOKUP('Données projet'!$B$11,Paramètres!$A$1:$I$89,3,0)*0.475*44/12</f>
        <v>5.0582485178324177</v>
      </c>
      <c r="BS34" s="22">
        <f t="shared" si="9"/>
        <v>9.5242216865589437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</v>
      </c>
      <c r="N35" s="13">
        <f>IF('Données projet'!$A$36&gt;35,N34+M35-V34,IF(A35&lt;'Données projet'!$A$36,$K$205^A35,IF(A35='Données projet'!$A$36,'Données projet'!$B$36,N34+M35-V34)))</f>
        <v>313.00000000000006</v>
      </c>
      <c r="O35" s="13">
        <f>N35*VLOOKUP('Données projet'!$B$9,Paramètres!$A$1:$I$89,3,0)*VLOOKUP('Données projet'!$B$9,Paramètres!$A$1:$I$89,5,0)</f>
        <v>283.20240000000007</v>
      </c>
      <c r="P35" s="13">
        <f t="shared" si="33"/>
        <v>67.643319485855841</v>
      </c>
      <c r="Q35" s="20">
        <f t="shared" ref="Q35:Q66" si="53">(O35+P35)*0.475*44/12</f>
        <v>611.05629477119896</v>
      </c>
      <c r="R35" s="59">
        <f t="shared" si="0"/>
        <v>904.38962810453222</v>
      </c>
      <c r="S35" s="59">
        <f ca="1">AVERAGE(OFFSET($R$3,0,0,'Données projet'!$E$9+1,1))-AVERAGE(OFFSET($H$3,0,0,'Données projet'!$E$9+1,1))</f>
        <v>394.42011098756564</v>
      </c>
      <c r="T35" s="59">
        <f t="shared" si="34"/>
        <v>559.92215054152859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</v>
      </c>
      <c r="AI35" s="13">
        <f>IF('Données projet'!$A$62&gt;35,AI34+AH35-AQ34,IF(A35&lt;'Données projet'!$A$62,$AF$205^A35,IF(A35='Données projet'!$A$62,'Données projet'!$B$62,AI34+AH35-AQ34)))</f>
        <v>239.20000000000005</v>
      </c>
      <c r="AJ35" s="13">
        <f>AI35*VLOOKUP('Données projet'!$B$10,Paramètres!$A$1:$I$89,3,0)*VLOOKUP('Données projet'!$B$10,Paramètres!$A$1:$I$89,5,0)</f>
        <v>143.04160000000005</v>
      </c>
      <c r="AK35" s="13">
        <f t="shared" si="35"/>
        <v>36.992919341750572</v>
      </c>
      <c r="AL35" s="20">
        <f t="shared" si="4"/>
        <v>313.56012118688233</v>
      </c>
      <c r="AM35" s="59">
        <f t="shared" si="5"/>
        <v>606.89345452021564</v>
      </c>
      <c r="AN35" s="59">
        <f ca="1">AVERAGE(OFFSET($AM$3,0,0,'Données projet'!$E$10+1,1))-AVERAGE(OFFSET($H$3,0,0,'Données projet'!$E$10+1,1))</f>
        <v>263.03078346375446</v>
      </c>
      <c r="AO35" s="59">
        <f t="shared" si="36"/>
        <v>251.74283929680905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2.4891967368528607</v>
      </c>
      <c r="AW35" s="21">
        <f>EXP(-LN(2)/2)*AW34+(1-EXP(-LN(2)/2))/(LN(2)/2)*AQ35*AT35*VLOOKUP('Données projet'!$B$10,Paramètres!$A$1:$I$89,3,0)*0.475*44/12</f>
        <v>0.5086870294425091</v>
      </c>
      <c r="AX35" s="21">
        <f t="shared" si="6"/>
        <v>2.9978837662953697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</v>
      </c>
      <c r="BD35" s="12">
        <f>IF('Données projet'!$A$88&gt;35,BD34+BC35-BL34,IF(A35&lt;'Données projet'!$A$88,$BA$205^A35,IF(A35='Données projet'!$A$88,'Données projet'!$B$88,BD34+BC35-BL34)))</f>
        <v>167</v>
      </c>
      <c r="BE35" s="13">
        <f>BD35*VLOOKUP('Données projet'!$B$11,Paramètres!$A$1:$I$89,3,0)*VLOOKUP('Données projet'!$B$11,Paramètres!$A$1:$I$89,5,0)</f>
        <v>78.156000000000006</v>
      </c>
      <c r="BF35" s="13">
        <f t="shared" si="37"/>
        <v>21.685706446534809</v>
      </c>
      <c r="BG35" s="20">
        <f t="shared" si="7"/>
        <v>173.89097206104813</v>
      </c>
      <c r="BH35" s="59">
        <f t="shared" si="8"/>
        <v>467.22430539438142</v>
      </c>
      <c r="BI35" s="59">
        <f ca="1">AVERAGE(OFFSET($BH$3,0,0,'Données projet'!$E$11+1,1))-AVERAGE(OFFSET($H$3,0,0,'Données projet'!$E$11+1,1))</f>
        <v>141.78548348627351</v>
      </c>
      <c r="BJ35" s="59">
        <f t="shared" si="38"/>
        <v>162.67012146297657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4.3438508975723771</v>
      </c>
      <c r="BR35" s="21">
        <f>EXP(-LN(2)/2)*BR34+(1-EXP(-LN(2)/2))/(LN(2)/2)*BL35*BO35*VLOOKUP('Données projet'!$B$11,Paramètres!$A$1:$I$89,3,0)*0.475*44/12</f>
        <v>3.5767218278861059</v>
      </c>
      <c r="BS35" s="22">
        <f t="shared" si="9"/>
        <v>7.9205727254584826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</v>
      </c>
      <c r="N36" s="13">
        <f>IF('Données projet'!$A$36&gt;35,N35+M36-V35,IF(A36&lt;'Données projet'!$A$36,$K$205^A36,IF(A36='Données projet'!$A$36,'Données projet'!$B$36,N35+M36-V35)))</f>
        <v>320.00000000000006</v>
      </c>
      <c r="O36" s="13">
        <f>N36*VLOOKUP('Données projet'!$B$9,Paramètres!$A$1:$I$89,3,0)*VLOOKUP('Données projet'!$B$9,Paramètres!$A$1:$I$89,5,0)</f>
        <v>289.53600000000006</v>
      </c>
      <c r="P36" s="13">
        <f t="shared" si="33"/>
        <v>68.978295099044416</v>
      </c>
      <c r="Q36" s="20">
        <f t="shared" si="53"/>
        <v>624.41239729750248</v>
      </c>
      <c r="R36" s="59">
        <f t="shared" si="0"/>
        <v>917.74573063083585</v>
      </c>
      <c r="S36" s="59">
        <f ca="1">AVERAGE(OFFSET($R$3,0,0,'Données projet'!$E$9+1,1))-AVERAGE(OFFSET($H$3,0,0,'Données projet'!$E$9+1,1))</f>
        <v>394.42011098756564</v>
      </c>
      <c r="T36" s="59">
        <f t="shared" si="34"/>
        <v>559.92215054152859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</v>
      </c>
      <c r="AI36" s="13">
        <f>IF('Données projet'!$A$62&gt;35,AI35+AH36-AQ35,IF(A36&lt;'Données projet'!$A$62,$AF$205^A36,IF(A36='Données projet'!$A$62,'Données projet'!$B$62,AI35+AH36-AQ35)))</f>
        <v>253.80000000000004</v>
      </c>
      <c r="AJ36" s="13">
        <f>AI36*VLOOKUP('Données projet'!$B$10,Paramètres!$A$1:$I$89,3,0)*VLOOKUP('Données projet'!$B$10,Paramètres!$A$1:$I$89,5,0)</f>
        <v>151.77240000000003</v>
      </c>
      <c r="AK36" s="13">
        <f t="shared" si="35"/>
        <v>38.981094100085443</v>
      </c>
      <c r="AL36" s="20">
        <f t="shared" si="4"/>
        <v>332.22900222431548</v>
      </c>
      <c r="AM36" s="59">
        <f t="shared" si="5"/>
        <v>625.56233555764879</v>
      </c>
      <c r="AN36" s="59">
        <f ca="1">AVERAGE(OFFSET($AM$3,0,0,'Données projet'!$E$10+1,1))-AVERAGE(OFFSET($H$3,0,0,'Données projet'!$E$10+1,1))</f>
        <v>263.03078346375446</v>
      </c>
      <c r="AO36" s="59">
        <f t="shared" si="36"/>
        <v>251.74283929680905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2.4211295211824519</v>
      </c>
      <c r="AW36" s="21">
        <f>EXP(-LN(2)/2)*AW35+(1-EXP(-LN(2)/2))/(LN(2)/2)*AQ36*AT36*VLOOKUP('Données projet'!$B$10,Paramètres!$A$1:$I$89,3,0)*0.475*44/12</f>
        <v>0.35969604802043914</v>
      </c>
      <c r="AX36" s="21">
        <f t="shared" si="6"/>
        <v>2.7808255692028911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</v>
      </c>
      <c r="BD36" s="12">
        <f>IF('Données projet'!$A$88&gt;35,BD35+BC36-BL35,IF(A36&lt;'Données projet'!$A$88,$BA$205^A36,IF(A36='Données projet'!$A$88,'Données projet'!$B$88,BD35+BC36-BL35)))</f>
        <v>174</v>
      </c>
      <c r="BE36" s="13">
        <f>BD36*VLOOKUP('Données projet'!$B$11,Paramètres!$A$1:$I$89,3,0)*VLOOKUP('Données projet'!$B$11,Paramètres!$A$1:$I$89,5,0)</f>
        <v>81.432000000000002</v>
      </c>
      <c r="BF36" s="13">
        <f t="shared" si="37"/>
        <v>22.486953220240881</v>
      </c>
      <c r="BG36" s="20">
        <f t="shared" si="7"/>
        <v>180.99217685858619</v>
      </c>
      <c r="BH36" s="59">
        <f t="shared" si="8"/>
        <v>474.32551019191953</v>
      </c>
      <c r="BI36" s="59">
        <f ca="1">AVERAGE(OFFSET($BH$3,0,0,'Données projet'!$E$11+1,1))-AVERAGE(OFFSET($H$3,0,0,'Données projet'!$E$11+1,1))</f>
        <v>141.78548348627351</v>
      </c>
      <c r="BJ36" s="59">
        <f t="shared" si="38"/>
        <v>162.67012146297657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4.2250680663450702</v>
      </c>
      <c r="BR36" s="21">
        <f>EXP(-LN(2)/2)*BR35+(1-EXP(-LN(2)/2))/(LN(2)/2)*BL36*BO36*VLOOKUP('Données projet'!$B$11,Paramètres!$A$1:$I$89,3,0)*0.475*44/12</f>
        <v>2.5291242589162093</v>
      </c>
      <c r="BS36" s="22">
        <f t="shared" si="9"/>
        <v>6.754192325261279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</v>
      </c>
      <c r="N37" s="13">
        <f>IF('Données projet'!$A$36&gt;35,N36+M37-V36,IF(A37&lt;'Données projet'!$A$36,$K$205^A37,IF(A37='Données projet'!$A$36,'Données projet'!$B$36,N36+M37-V36)))</f>
        <v>327.00000000000006</v>
      </c>
      <c r="O37" s="13">
        <f>N37*VLOOKUP('Données projet'!$B$9,Paramètres!$A$1:$I$89,3,0)*VLOOKUP('Données projet'!$B$9,Paramètres!$A$1:$I$89,5,0)</f>
        <v>295.86960000000005</v>
      </c>
      <c r="P37" s="13">
        <f t="shared" si="33"/>
        <v>70.309875568291218</v>
      </c>
      <c r="Q37" s="20">
        <f t="shared" si="53"/>
        <v>637.76258661477402</v>
      </c>
      <c r="R37" s="59">
        <f t="shared" si="0"/>
        <v>931.09591994810739</v>
      </c>
      <c r="S37" s="59">
        <f ca="1">AVERAGE(OFFSET($R$3,0,0,'Données projet'!$E$9+1,1))-AVERAGE(OFFSET($H$3,0,0,'Données projet'!$E$9+1,1))</f>
        <v>394.42011098756564</v>
      </c>
      <c r="T37" s="59">
        <f t="shared" si="34"/>
        <v>559.92215054152859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</v>
      </c>
      <c r="AI37" s="13">
        <f>IF('Données projet'!$A$62&gt;35,AI36+AH37-AQ36,IF(A37&lt;'Données projet'!$A$62,$AF$205^A37,IF(A37='Données projet'!$A$62,'Données projet'!$B$62,AI36+AH37-AQ36)))</f>
        <v>268.40000000000003</v>
      </c>
      <c r="AJ37" s="13">
        <f>AI37*VLOOKUP('Données projet'!$B$10,Paramètres!$A$1:$I$89,3,0)*VLOOKUP('Données projet'!$B$10,Paramètres!$A$1:$I$89,5,0)</f>
        <v>160.50320000000005</v>
      </c>
      <c r="AK37" s="13">
        <f t="shared" si="35"/>
        <v>40.955992820977649</v>
      </c>
      <c r="AL37" s="20">
        <f t="shared" si="4"/>
        <v>350.8747608298695</v>
      </c>
      <c r="AM37" s="59">
        <f t="shared" si="5"/>
        <v>644.20809416320276</v>
      </c>
      <c r="AN37" s="59">
        <f ca="1">AVERAGE(OFFSET($AM$3,0,0,'Données projet'!$E$10+1,1))-AVERAGE(OFFSET($H$3,0,0,'Données projet'!$E$10+1,1))</f>
        <v>263.03078346375446</v>
      </c>
      <c r="AO37" s="59">
        <f t="shared" si="36"/>
        <v>251.74283929680905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2.35492360710405</v>
      </c>
      <c r="AW37" s="21">
        <f>EXP(-LN(2)/2)*AW36+(1-EXP(-LN(2)/2))/(LN(2)/2)*AQ37*AT37*VLOOKUP('Données projet'!$B$10,Paramètres!$A$1:$I$89,3,0)*0.475*44/12</f>
        <v>0.25434351472125455</v>
      </c>
      <c r="AX37" s="21">
        <f t="shared" si="6"/>
        <v>2.6092671218253045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</v>
      </c>
      <c r="BD37" s="12">
        <f>IF('Données projet'!$A$88&gt;35,BD36+BC37-BL36,IF(A37&lt;'Données projet'!$A$88,$BA$205^A37,IF(A37='Données projet'!$A$88,'Données projet'!$B$88,BD36+BC37-BL36)))</f>
        <v>181</v>
      </c>
      <c r="BE37" s="13">
        <f>BD37*VLOOKUP('Données projet'!$B$11,Paramètres!$A$1:$I$89,3,0)*VLOOKUP('Données projet'!$B$11,Paramètres!$A$1:$I$89,5,0)</f>
        <v>84.707999999999998</v>
      </c>
      <c r="BF37" s="13">
        <f t="shared" si="37"/>
        <v>23.284455653273685</v>
      </c>
      <c r="BG37" s="20">
        <f t="shared" si="7"/>
        <v>188.086860262785</v>
      </c>
      <c r="BH37" s="59">
        <f t="shared" si="8"/>
        <v>481.42019359611834</v>
      </c>
      <c r="BI37" s="59">
        <f ca="1">AVERAGE(OFFSET($BH$3,0,0,'Données projet'!$E$11+1,1))-AVERAGE(OFFSET($H$3,0,0,'Données projet'!$E$11+1,1))</f>
        <v>141.78548348627351</v>
      </c>
      <c r="BJ37" s="59">
        <f t="shared" si="38"/>
        <v>162.67012146297657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4.1095333578841915</v>
      </c>
      <c r="BR37" s="21">
        <f>EXP(-LN(2)/2)*BR36+(1-EXP(-LN(2)/2))/(LN(2)/2)*BL37*BO37*VLOOKUP('Données projet'!$B$11,Paramètres!$A$1:$I$89,3,0)*0.475*44/12</f>
        <v>1.7883609139430532</v>
      </c>
      <c r="BS37" s="22">
        <f t="shared" si="9"/>
        <v>5.8978942718272442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334</v>
      </c>
      <c r="L38" s="12">
        <f>VLOOKUP(A38,'Données projet'!$A$35:$I$55,9,0)</f>
        <v>7</v>
      </c>
      <c r="M38" s="12">
        <f t="array" ref="M38">INDEX(L:L,MIN(IF(ISNUMBER(L38:L234),ROW(L38:L234),"")))</f>
        <v>7</v>
      </c>
      <c r="N38" s="13">
        <f>IF('Données projet'!$A$36&gt;35,N37+M38-V37,IF(A38&lt;'Données projet'!$A$36,$K$205^A38,IF(A38='Données projet'!$A$36,'Données projet'!$B$36,N37+M38-V37)))</f>
        <v>334.00000000000006</v>
      </c>
      <c r="O38" s="13">
        <f>N38*VLOOKUP('Données projet'!$B$9,Paramètres!$A$1:$I$89,3,0)*VLOOKUP('Données projet'!$B$9,Paramètres!$A$1:$I$89,5,0)</f>
        <v>302.20320000000004</v>
      </c>
      <c r="P38" s="13">
        <f t="shared" si="33"/>
        <v>71.638141943842299</v>
      </c>
      <c r="Q38" s="20">
        <f t="shared" si="53"/>
        <v>651.10700388552539</v>
      </c>
      <c r="R38" s="59">
        <f t="shared" si="0"/>
        <v>944.44033721885876</v>
      </c>
      <c r="S38" s="59">
        <f ca="1">AVERAGE(OFFSET($R$3,0,0,'Données projet'!$E$9+1,1))-AVERAGE(OFFSET($H$3,0,0,'Données projet'!$E$9+1,1))</f>
        <v>394.42011098756564</v>
      </c>
      <c r="T38" s="59">
        <f t="shared" si="34"/>
        <v>559.92215054152859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283</v>
      </c>
      <c r="AG38" s="12">
        <f>VLOOKUP(A38,'Données projet'!$A$61:$I$81,9,0)</f>
        <v>14.6</v>
      </c>
      <c r="AH38" s="12">
        <f t="array" ref="AH38">INDEX(AG:AG,MIN(IF(ISNUMBER(AG38:AG234),ROW(AG38:AG234),"")))</f>
        <v>14.6</v>
      </c>
      <c r="AI38" s="13">
        <f>IF('Données projet'!$A$62&gt;35,AI37+AH38-AQ37,IF(A38&lt;'Données projet'!$A$62,$AF$205^A38,IF(A38='Données projet'!$A$62,'Données projet'!$B$62,AI37+AH38-AQ37)))</f>
        <v>283.00000000000006</v>
      </c>
      <c r="AJ38" s="13">
        <f>AI38*VLOOKUP('Données projet'!$B$10,Paramètres!$A$1:$I$89,3,0)*VLOOKUP('Données projet'!$B$10,Paramètres!$A$1:$I$89,5,0)</f>
        <v>169.23400000000007</v>
      </c>
      <c r="AK38" s="13">
        <f t="shared" si="35"/>
        <v>42.918420001269354</v>
      </c>
      <c r="AL38" s="20">
        <f t="shared" si="4"/>
        <v>369.49879816887756</v>
      </c>
      <c r="AM38" s="59">
        <f t="shared" si="5"/>
        <v>662.83213150221081</v>
      </c>
      <c r="AN38" s="59">
        <f ca="1">AVERAGE(OFFSET($AM$3,0,0,'Données projet'!$E$10+1,1))-AVERAGE(OFFSET($H$3,0,0,'Données projet'!$E$10+1,1))</f>
        <v>263.03078346375446</v>
      </c>
      <c r="AO38" s="59">
        <f t="shared" si="36"/>
        <v>251.74283929680905</v>
      </c>
      <c r="AP38" s="15">
        <f>IF(ISNA(VLOOKUP(A38,'Données projet'!$A$61:$I$81,3,0)),0,VLOOKUP(A38,'Données projet'!$A$61:$I$81,3,0))</f>
        <v>2</v>
      </c>
      <c r="AQ38" s="15">
        <f>IF(ISNA(VLOOKUP(A38,'Données projet'!$A$61:$I$81,4,0)),0,VLOOKUP(A38,'Données projet'!$A$61:$I$81,4,0))</f>
        <v>75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2.2905280972277393</v>
      </c>
      <c r="AW38" s="21">
        <f>EXP(-LN(2)/2)*AW37+(1-EXP(-LN(2)/2))/(LN(2)/2)*AQ38*AT38*VLOOKUP('Données projet'!$B$10,Paramètres!$A$1:$I$89,3,0)*0.475*44/12</f>
        <v>0.17984802401021957</v>
      </c>
      <c r="AX38" s="21">
        <f t="shared" si="6"/>
        <v>2.4703761212379587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</v>
      </c>
      <c r="BD38" s="12">
        <f>IF('Données projet'!$A$88&gt;35,BD37+BC38-BL37,IF(A38&lt;'Données projet'!$A$88,$BA$205^A38,IF(A38='Données projet'!$A$88,'Données projet'!$B$88,BD37+BC38-BL37)))</f>
        <v>188</v>
      </c>
      <c r="BE38" s="13">
        <f>BD38*VLOOKUP('Données projet'!$B$11,Paramètres!$A$1:$I$89,3,0)*VLOOKUP('Données projet'!$B$11,Paramètres!$A$1:$I$89,5,0)</f>
        <v>87.983999999999995</v>
      </c>
      <c r="BF38" s="13">
        <f t="shared" si="37"/>
        <v>24.078375128721785</v>
      </c>
      <c r="BG38" s="20">
        <f t="shared" si="7"/>
        <v>195.17530334919044</v>
      </c>
      <c r="BH38" s="59">
        <f t="shared" si="8"/>
        <v>488.50863668252373</v>
      </c>
      <c r="BI38" s="59">
        <f ca="1">AVERAGE(OFFSET($BH$3,0,0,'Données projet'!$E$11+1,1))-AVERAGE(OFFSET($H$3,0,0,'Données projet'!$E$11+1,1))</f>
        <v>141.78548348627351</v>
      </c>
      <c r="BJ38" s="59">
        <f t="shared" si="38"/>
        <v>162.67012146297657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3.9971579521018814</v>
      </c>
      <c r="BR38" s="21">
        <f>EXP(-LN(2)/2)*BR37+(1-EXP(-LN(2)/2))/(LN(2)/2)*BL38*BO38*VLOOKUP('Données projet'!$B$11,Paramètres!$A$1:$I$89,3,0)*0.475*44/12</f>
        <v>1.2645621294581046</v>
      </c>
      <c r="BS38" s="22">
        <f t="shared" si="9"/>
        <v>5.2617200815599858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6.2</v>
      </c>
      <c r="N39" s="13">
        <f>IF('Données projet'!$A$36&gt;35,N38+M39-V38,IF(A39&lt;'Données projet'!$A$36,$K$205^A39,IF(A39='Données projet'!$A$36,'Données projet'!$B$36,N38+M39-V38)))</f>
        <v>340.20000000000005</v>
      </c>
      <c r="O39" s="13">
        <f>N39*VLOOKUP('Données projet'!$B$9,Paramètres!$A$1:$I$89,3,0)*VLOOKUP('Données projet'!$B$9,Paramètres!$A$1:$I$89,5,0)</f>
        <v>307.81296000000003</v>
      </c>
      <c r="P39" s="13">
        <f t="shared" si="33"/>
        <v>72.811901141533681</v>
      </c>
      <c r="Q39" s="20">
        <f t="shared" si="53"/>
        <v>662.92163315483776</v>
      </c>
      <c r="R39" s="59">
        <f t="shared" si="0"/>
        <v>956.25496648817102</v>
      </c>
      <c r="S39" s="59">
        <f ca="1">AVERAGE(OFFSET($R$3,0,0,'Données projet'!$E$9+1,1))-AVERAGE(OFFSET($H$3,0,0,'Données projet'!$E$9+1,1))</f>
        <v>394.42011098756564</v>
      </c>
      <c r="T39" s="59">
        <f t="shared" si="34"/>
        <v>559.92215054152859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14.4</v>
      </c>
      <c r="AI39" s="13">
        <f>IF('Données projet'!$A$62&gt;35,AI38+AH39-AQ38,IF(A39&lt;'Données projet'!$A$62,$AF$205^A39,IF(A39='Données projet'!$A$62,'Données projet'!$B$62,AI38+AH39-AQ38)))</f>
        <v>222.40000000000003</v>
      </c>
      <c r="AJ39" s="13">
        <f>AI39*VLOOKUP('Données projet'!$B$10,Paramètres!$A$1:$I$89,3,0)*VLOOKUP('Données projet'!$B$10,Paramètres!$A$1:$I$89,5,0)</f>
        <v>132.99520000000004</v>
      </c>
      <c r="AK39" s="13">
        <f t="shared" si="35"/>
        <v>34.687541912630508</v>
      </c>
      <c r="AL39" s="20">
        <f t="shared" si="4"/>
        <v>292.04744216449819</v>
      </c>
      <c r="AM39" s="59">
        <f t="shared" si="5"/>
        <v>585.38077549783156</v>
      </c>
      <c r="AN39" s="59">
        <f ca="1">AVERAGE(OFFSET($AM$3,0,0,'Données projet'!$E$10+1,1))-AVERAGE(OFFSET($H$3,0,0,'Données projet'!$E$10+1,1))</f>
        <v>263.03078346375446</v>
      </c>
      <c r="AO39" s="59">
        <f t="shared" si="36"/>
        <v>251.74283929680905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2.2278934859554091</v>
      </c>
      <c r="AW39" s="21">
        <f>EXP(-LN(2)/2)*AW38+(1-EXP(-LN(2)/2))/(LN(2)/2)*AQ39*AT39*VLOOKUP('Données projet'!$B$10,Paramètres!$A$1:$I$89,3,0)*0.475*44/12</f>
        <v>0.12717175736062727</v>
      </c>
      <c r="AX39" s="21">
        <f t="shared" si="6"/>
        <v>2.3550652433160364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</v>
      </c>
      <c r="BD39" s="12">
        <f>IF('Données projet'!$A$88&gt;35,BD38+BC39-BL38,IF(A39&lt;'Données projet'!$A$88,$BA$205^A39,IF(A39='Données projet'!$A$88,'Données projet'!$B$88,BD38+BC39-BL38)))</f>
        <v>195</v>
      </c>
      <c r="BE39" s="13">
        <f>BD39*VLOOKUP('Données projet'!$B$11,Paramètres!$A$1:$I$89,3,0)*VLOOKUP('Données projet'!$B$11,Paramètres!$A$1:$I$89,5,0)</f>
        <v>91.26</v>
      </c>
      <c r="BF39" s="13">
        <f t="shared" si="37"/>
        <v>24.868860330902777</v>
      </c>
      <c r="BG39" s="20">
        <f t="shared" si="7"/>
        <v>202.25776507632233</v>
      </c>
      <c r="BH39" s="59">
        <f t="shared" si="8"/>
        <v>495.59109840965561</v>
      </c>
      <c r="BI39" s="59">
        <f ca="1">AVERAGE(OFFSET($BH$3,0,0,'Données projet'!$E$11+1,1))-AVERAGE(OFFSET($H$3,0,0,'Données projet'!$E$11+1,1))</f>
        <v>141.78548348627351</v>
      </c>
      <c r="BJ39" s="59">
        <f t="shared" si="38"/>
        <v>162.67012146297657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3.8878554577002542</v>
      </c>
      <c r="BR39" s="21">
        <f>EXP(-LN(2)/2)*BR38+(1-EXP(-LN(2)/2))/(LN(2)/2)*BL39*BO39*VLOOKUP('Données projet'!$B$11,Paramètres!$A$1:$I$89,3,0)*0.475*44/12</f>
        <v>0.89418045697152659</v>
      </c>
      <c r="BS39" s="22">
        <f t="shared" si="9"/>
        <v>4.7820359146717806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6.2</v>
      </c>
      <c r="N40" s="13">
        <f>IF('Données projet'!$A$36&gt;35,N39+M40-V39,IF(A40&lt;'Données projet'!$A$36,$K$205^A40,IF(A40='Données projet'!$A$36,'Données projet'!$B$36,N39+M40-V39)))</f>
        <v>346.40000000000003</v>
      </c>
      <c r="O40" s="13">
        <f>N40*VLOOKUP('Données projet'!$B$9,Paramètres!$A$1:$I$89,3,0)*VLOOKUP('Données projet'!$B$9,Paramètres!$A$1:$I$89,5,0)</f>
        <v>313.42272000000003</v>
      </c>
      <c r="P40" s="13">
        <f t="shared" si="33"/>
        <v>73.983172890008831</v>
      </c>
      <c r="Q40" s="20">
        <f t="shared" si="53"/>
        <v>674.73193011676551</v>
      </c>
      <c r="R40" s="59">
        <f t="shared" si="0"/>
        <v>968.06526345009888</v>
      </c>
      <c r="S40" s="59">
        <f ca="1">AVERAGE(OFFSET($R$3,0,0,'Données projet'!$E$9+1,1))-AVERAGE(OFFSET($H$3,0,0,'Données projet'!$E$9+1,1))</f>
        <v>394.42011098756564</v>
      </c>
      <c r="T40" s="59">
        <f t="shared" si="34"/>
        <v>559.92215054152859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14.4</v>
      </c>
      <c r="AI40" s="13">
        <f>IF('Données projet'!$A$62&gt;35,AI39+AH40-AQ39,IF(A40&lt;'Données projet'!$A$62,$AF$205^A40,IF(A40='Données projet'!$A$62,'Données projet'!$B$62,AI39+AH40-AQ39)))</f>
        <v>236.80000000000004</v>
      </c>
      <c r="AJ40" s="13">
        <f>AI40*VLOOKUP('Données projet'!$B$10,Paramètres!$A$1:$I$89,3,0)*VLOOKUP('Données projet'!$B$10,Paramètres!$A$1:$I$89,5,0)</f>
        <v>141.60640000000004</v>
      </c>
      <c r="AK40" s="13">
        <f t="shared" si="35"/>
        <v>36.664764466112921</v>
      </c>
      <c r="AL40" s="20">
        <f t="shared" si="4"/>
        <v>310.48894477848006</v>
      </c>
      <c r="AM40" s="59">
        <f t="shared" si="5"/>
        <v>603.82227811181338</v>
      </c>
      <c r="AN40" s="59">
        <f ca="1">AVERAGE(OFFSET($AM$3,0,0,'Données projet'!$E$10+1,1))-AVERAGE(OFFSET($H$3,0,0,'Données projet'!$E$10+1,1))</f>
        <v>263.03078346375446</v>
      </c>
      <c r="AO40" s="59">
        <f t="shared" si="36"/>
        <v>251.74283929680905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2.1669716214221322</v>
      </c>
      <c r="AW40" s="21">
        <f>EXP(-LN(2)/2)*AW39+(1-EXP(-LN(2)/2))/(LN(2)/2)*AQ40*AT40*VLOOKUP('Données projet'!$B$10,Paramètres!$A$1:$I$89,3,0)*0.475*44/12</f>
        <v>8.9924012005109785E-2</v>
      </c>
      <c r="AX40" s="21">
        <f t="shared" si="6"/>
        <v>2.2568956334272419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</v>
      </c>
      <c r="BD40" s="12">
        <f>IF('Données projet'!$A$88&gt;35,BD39+BC40-BL39,IF(A40&lt;'Données projet'!$A$88,$BA$205^A40,IF(A40='Données projet'!$A$88,'Données projet'!$B$88,BD39+BC40-BL39)))</f>
        <v>202</v>
      </c>
      <c r="BE40" s="13">
        <f>BD40*VLOOKUP('Données projet'!$B$11,Paramètres!$A$1:$I$89,3,0)*VLOOKUP('Données projet'!$B$11,Paramètres!$A$1:$I$89,5,0)</f>
        <v>94.536000000000001</v>
      </c>
      <c r="BF40" s="13">
        <f t="shared" si="37"/>
        <v>25.656048664271697</v>
      </c>
      <c r="BG40" s="20">
        <f t="shared" si="7"/>
        <v>209.33448475693987</v>
      </c>
      <c r="BH40" s="59">
        <f t="shared" si="8"/>
        <v>502.66781809027316</v>
      </c>
      <c r="BI40" s="59">
        <f ca="1">AVERAGE(OFFSET($BH$3,0,0,'Données projet'!$E$11+1,1))-AVERAGE(OFFSET($H$3,0,0,'Données projet'!$E$11+1,1))</f>
        <v>141.78548348627351</v>
      </c>
      <c r="BJ40" s="59">
        <f t="shared" si="38"/>
        <v>162.67012146297657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3.7815418457560082</v>
      </c>
      <c r="BR40" s="21">
        <f>EXP(-LN(2)/2)*BR39+(1-EXP(-LN(2)/2))/(LN(2)/2)*BL40*BO40*VLOOKUP('Données projet'!$B$11,Paramètres!$A$1:$I$89,3,0)*0.475*44/12</f>
        <v>0.63228106472905232</v>
      </c>
      <c r="BS40" s="22">
        <f t="shared" si="9"/>
        <v>4.4138229104850604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6.2</v>
      </c>
      <c r="N41" s="13">
        <f>IF('Données projet'!$A$36&gt;35,N40+M41-V40,IF(A41&lt;'Données projet'!$A$36,$K$205^A41,IF(A41='Données projet'!$A$36,'Données projet'!$B$36,N40+M41-V40)))</f>
        <v>352.6</v>
      </c>
      <c r="O41" s="13">
        <f>N41*VLOOKUP('Données projet'!$B$9,Paramètres!$A$1:$I$89,3,0)*VLOOKUP('Données projet'!$B$9,Paramètres!$A$1:$I$89,5,0)</f>
        <v>319.03248000000002</v>
      </c>
      <c r="P41" s="13">
        <f t="shared" si="33"/>
        <v>75.152006846475302</v>
      </c>
      <c r="Q41" s="20">
        <f t="shared" si="53"/>
        <v>686.53798125761114</v>
      </c>
      <c r="R41" s="59">
        <f t="shared" si="0"/>
        <v>979.87131459094439</v>
      </c>
      <c r="S41" s="59">
        <f ca="1">AVERAGE(OFFSET($R$3,0,0,'Données projet'!$E$9+1,1))-AVERAGE(OFFSET($H$3,0,0,'Données projet'!$E$9+1,1))</f>
        <v>394.42011098756564</v>
      </c>
      <c r="T41" s="59">
        <f t="shared" si="34"/>
        <v>559.92215054152859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14.4</v>
      </c>
      <c r="AI41" s="13">
        <f>IF('Données projet'!$A$62&gt;35,AI40+AH41-AQ40,IF(A41&lt;'Données projet'!$A$62,$AF$205^A41,IF(A41='Données projet'!$A$62,'Données projet'!$B$62,AI40+AH41-AQ40)))</f>
        <v>251.20000000000005</v>
      </c>
      <c r="AJ41" s="13">
        <f>AI41*VLOOKUP('Données projet'!$B$10,Paramètres!$A$1:$I$89,3,0)*VLOOKUP('Données projet'!$B$10,Paramètres!$A$1:$I$89,5,0)</f>
        <v>150.21760000000003</v>
      </c>
      <c r="AK41" s="13">
        <f t="shared" si="35"/>
        <v>38.628031828897512</v>
      </c>
      <c r="AL41" s="20">
        <f t="shared" si="4"/>
        <v>328.90614210199652</v>
      </c>
      <c r="AM41" s="59">
        <f t="shared" si="5"/>
        <v>622.23947543532984</v>
      </c>
      <c r="AN41" s="59">
        <f ca="1">AVERAGE(OFFSET($AM$3,0,0,'Données projet'!$E$10+1,1))-AVERAGE(OFFSET($H$3,0,0,'Données projet'!$E$10+1,1))</f>
        <v>263.03078346375446</v>
      </c>
      <c r="AO41" s="59">
        <f t="shared" si="36"/>
        <v>251.74283929680905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2.1077156684782592</v>
      </c>
      <c r="AW41" s="21">
        <f>EXP(-LN(2)/2)*AW40+(1-EXP(-LN(2)/2))/(LN(2)/2)*AQ41*AT41*VLOOKUP('Données projet'!$B$10,Paramètres!$A$1:$I$89,3,0)*0.475*44/12</f>
        <v>6.3585878680313637E-2</v>
      </c>
      <c r="AX41" s="21">
        <f t="shared" si="6"/>
        <v>2.1713015471585728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</v>
      </c>
      <c r="BD41" s="12">
        <f>IF('Données projet'!$A$88&gt;35,BD40+BC41-BL40,IF(A41&lt;'Données projet'!$A$88,$BA$205^A41,IF(A41='Données projet'!$A$88,'Données projet'!$B$88,BD40+BC41-BL40)))</f>
        <v>209</v>
      </c>
      <c r="BE41" s="13">
        <f>BD41*VLOOKUP('Données projet'!$B$11,Paramètres!$A$1:$I$89,3,0)*VLOOKUP('Données projet'!$B$11,Paramètres!$A$1:$I$89,5,0)</f>
        <v>97.811999999999998</v>
      </c>
      <c r="BF41" s="13">
        <f t="shared" si="37"/>
        <v>26.44006747012326</v>
      </c>
      <c r="BG41" s="20">
        <f t="shared" si="7"/>
        <v>216.40568417713132</v>
      </c>
      <c r="BH41" s="59">
        <f t="shared" si="8"/>
        <v>509.73901751046463</v>
      </c>
      <c r="BI41" s="59">
        <f ca="1">AVERAGE(OFFSET($BH$3,0,0,'Données projet'!$E$11+1,1))-AVERAGE(OFFSET($H$3,0,0,'Données projet'!$E$11+1,1))</f>
        <v>141.78548348627351</v>
      </c>
      <c r="BJ41" s="59">
        <f t="shared" si="38"/>
        <v>162.67012146297657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3.6781353851211671</v>
      </c>
      <c r="BR41" s="21">
        <f>EXP(-LN(2)/2)*BR40+(1-EXP(-LN(2)/2))/(LN(2)/2)*BL41*BO41*VLOOKUP('Données projet'!$B$11,Paramètres!$A$1:$I$89,3,0)*0.475*44/12</f>
        <v>0.4470902284857633</v>
      </c>
      <c r="BS41" s="22">
        <f t="shared" si="9"/>
        <v>4.1252256136069301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6.2</v>
      </c>
      <c r="N42" s="13">
        <f>IF('Données projet'!$A$36&gt;35,N41+M42-V41,IF(A42&lt;'Données projet'!$A$36,$K$205^A42,IF(A42='Données projet'!$A$36,'Données projet'!$B$36,N41+M42-V41)))</f>
        <v>358.8</v>
      </c>
      <c r="O42" s="13">
        <f>N42*VLOOKUP('Données projet'!$B$9,Paramètres!$A$1:$I$89,3,0)*VLOOKUP('Données projet'!$B$9,Paramètres!$A$1:$I$89,5,0)</f>
        <v>324.64224000000002</v>
      </c>
      <c r="P42" s="13">
        <f t="shared" si="33"/>
        <v>76.318450821798876</v>
      </c>
      <c r="Q42" s="20">
        <f t="shared" si="53"/>
        <v>698.33986984796638</v>
      </c>
      <c r="R42" s="59">
        <f t="shared" si="0"/>
        <v>991.67320318129964</v>
      </c>
      <c r="S42" s="59">
        <f ca="1">AVERAGE(OFFSET($R$3,0,0,'Données projet'!$E$9+1,1))-AVERAGE(OFFSET($H$3,0,0,'Données projet'!$E$9+1,1))</f>
        <v>394.42011098756564</v>
      </c>
      <c r="T42" s="59">
        <f t="shared" si="34"/>
        <v>559.92215054152859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14.4</v>
      </c>
      <c r="AI42" s="13">
        <f>IF('Données projet'!$A$62&gt;35,AI41+AH42-AQ41,IF(A42&lt;'Données projet'!$A$62,$AF$205^A42,IF(A42='Données projet'!$A$62,'Données projet'!$B$62,AI41+AH42-AQ41)))</f>
        <v>265.60000000000002</v>
      </c>
      <c r="AJ42" s="13">
        <f>AI42*VLOOKUP('Données projet'!$B$10,Paramètres!$A$1:$I$89,3,0)*VLOOKUP('Données projet'!$B$10,Paramètres!$A$1:$I$89,5,0)</f>
        <v>158.82880000000003</v>
      </c>
      <c r="AK42" s="13">
        <f t="shared" si="35"/>
        <v>40.578235128063156</v>
      </c>
      <c r="AL42" s="20">
        <f t="shared" si="4"/>
        <v>347.30058618137667</v>
      </c>
      <c r="AM42" s="59">
        <f t="shared" si="5"/>
        <v>640.63391951470999</v>
      </c>
      <c r="AN42" s="59">
        <f ca="1">AVERAGE(OFFSET($AM$3,0,0,'Données projet'!$E$10+1,1))-AVERAGE(OFFSET($H$3,0,0,'Données projet'!$E$10+1,1))</f>
        <v>263.03078346375446</v>
      </c>
      <c r="AO42" s="59">
        <f t="shared" si="36"/>
        <v>251.74283929680905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2.0500800726837713</v>
      </c>
      <c r="AW42" s="21">
        <f>EXP(-LN(2)/2)*AW41+(1-EXP(-LN(2)/2))/(LN(2)/2)*AQ42*AT42*VLOOKUP('Données projet'!$B$10,Paramètres!$A$1:$I$89,3,0)*0.475*44/12</f>
        <v>4.4962006002554893E-2</v>
      </c>
      <c r="AX42" s="21">
        <f t="shared" si="6"/>
        <v>2.0950420786863262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</v>
      </c>
      <c r="BD42" s="12">
        <f>IF('Données projet'!$A$88&gt;35,BD41+BC42-BL41,IF(A42&lt;'Données projet'!$A$88,$BA$205^A42,IF(A42='Données projet'!$A$88,'Données projet'!$B$88,BD41+BC42-BL41)))</f>
        <v>216</v>
      </c>
      <c r="BE42" s="13">
        <f>BD42*VLOOKUP('Données projet'!$B$11,Paramètres!$A$1:$I$89,3,0)*VLOOKUP('Données projet'!$B$11,Paramètres!$A$1:$I$89,5,0)</f>
        <v>101.08799999999999</v>
      </c>
      <c r="BF42" s="13">
        <f t="shared" si="37"/>
        <v>27.221035075711939</v>
      </c>
      <c r="BG42" s="20">
        <f t="shared" si="7"/>
        <v>223.47156942353161</v>
      </c>
      <c r="BH42" s="59">
        <f t="shared" si="8"/>
        <v>516.80490275686498</v>
      </c>
      <c r="BI42" s="59">
        <f ca="1">AVERAGE(OFFSET($BH$3,0,0,'Données projet'!$E$11+1,1))-AVERAGE(OFFSET($H$3,0,0,'Données projet'!$E$11+1,1))</f>
        <v>141.78548348627351</v>
      </c>
      <c r="BJ42" s="59">
        <f t="shared" si="38"/>
        <v>162.67012146297657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3.5775565795902953</v>
      </c>
      <c r="BR42" s="21">
        <f>EXP(-LN(2)/2)*BR41+(1-EXP(-LN(2)/2))/(LN(2)/2)*BL42*BO42*VLOOKUP('Données projet'!$B$11,Paramètres!$A$1:$I$89,3,0)*0.475*44/12</f>
        <v>0.31614053236452616</v>
      </c>
      <c r="BS42" s="22">
        <f t="shared" si="9"/>
        <v>3.8936971119548214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365</v>
      </c>
      <c r="L43" s="12">
        <f>VLOOKUP(A43,'Données projet'!$A$35:$I$55,9,0)</f>
        <v>6.2</v>
      </c>
      <c r="M43" s="12">
        <f t="array" ref="M43">INDEX(L:L,MIN(IF(ISNUMBER(L43:L239),ROW(L43:L239),"")))</f>
        <v>6.2</v>
      </c>
      <c r="N43" s="13">
        <f>IF('Données projet'!$A$36&gt;35,N42+M43-V42,IF(A43&lt;'Données projet'!$A$36,$K$205^A43,IF(A43='Données projet'!$A$36,'Données projet'!$B$36,N42+M43-V42)))</f>
        <v>365</v>
      </c>
      <c r="O43" s="13">
        <f>N43*VLOOKUP('Données projet'!$B$9,Paramètres!$A$1:$I$89,3,0)*VLOOKUP('Données projet'!$B$9,Paramètres!$A$1:$I$89,5,0)</f>
        <v>330.25200000000001</v>
      </c>
      <c r="P43" s="13">
        <f t="shared" si="33"/>
        <v>77.482550879850933</v>
      </c>
      <c r="Q43" s="20">
        <f t="shared" si="53"/>
        <v>710.13767611574031</v>
      </c>
      <c r="R43" s="59">
        <f t="shared" si="0"/>
        <v>1003.4710094490736</v>
      </c>
      <c r="S43" s="59">
        <f ca="1">AVERAGE(OFFSET($R$3,0,0,'Données projet'!$E$9+1,1))-AVERAGE(OFFSET($H$3,0,0,'Données projet'!$E$9+1,1))</f>
        <v>394.42011098756564</v>
      </c>
      <c r="T43" s="59">
        <f t="shared" si="34"/>
        <v>559.92215054152859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280</v>
      </c>
      <c r="AG43" s="12">
        <f>VLOOKUP(A43,'Données projet'!$A$61:$I$81,9,0)</f>
        <v>14.4</v>
      </c>
      <c r="AH43" s="12">
        <f t="array" ref="AH43">INDEX(AG:AG,MIN(IF(ISNUMBER(AG43:AG239),ROW(AG43:AG239),"")))</f>
        <v>14.4</v>
      </c>
      <c r="AI43" s="13">
        <f>IF('Données projet'!$A$62&gt;35,AI42+AH43-AQ42,IF(A43&lt;'Données projet'!$A$62,$AF$205^A43,IF(A43='Données projet'!$A$62,'Données projet'!$B$62,AI42+AH43-AQ42)))</f>
        <v>280</v>
      </c>
      <c r="AJ43" s="13">
        <f>AI43*VLOOKUP('Données projet'!$B$10,Paramètres!$A$1:$I$89,3,0)*VLOOKUP('Données projet'!$B$10,Paramètres!$A$1:$I$89,5,0)</f>
        <v>167.44000000000003</v>
      </c>
      <c r="AK43" s="13">
        <f t="shared" si="35"/>
        <v>42.516163405082935</v>
      </c>
      <c r="AL43" s="20">
        <f t="shared" si="4"/>
        <v>365.67365126385283</v>
      </c>
      <c r="AM43" s="59">
        <f t="shared" si="5"/>
        <v>659.00698459718615</v>
      </c>
      <c r="AN43" s="59">
        <f ca="1">AVERAGE(OFFSET($AM$3,0,0,'Données projet'!$E$10+1,1))-AVERAGE(OFFSET($H$3,0,0,'Données projet'!$E$10+1,1))</f>
        <v>263.03078346375446</v>
      </c>
      <c r="AO43" s="59">
        <f t="shared" si="36"/>
        <v>251.74283929680905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1.9940205252872081</v>
      </c>
      <c r="AW43" s="21">
        <f>EXP(-LN(2)/2)*AW42+(1-EXP(-LN(2)/2))/(LN(2)/2)*AQ43*AT43*VLOOKUP('Données projet'!$B$10,Paramètres!$A$1:$I$89,3,0)*0.475*44/12</f>
        <v>3.1792939340156819E-2</v>
      </c>
      <c r="AX43" s="21">
        <f t="shared" si="6"/>
        <v>2.0258134646273649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223</v>
      </c>
      <c r="BB43" s="12">
        <f>VLOOKUP(A43,'Données projet'!$A$87:$I$107,9,0)</f>
        <v>7</v>
      </c>
      <c r="BC43" s="12">
        <f t="array" ref="BC43">INDEX(BB:BB,MIN(IF(ISNUMBER(BB43:BB239),ROW(BB43:BB239),"")))</f>
        <v>7</v>
      </c>
      <c r="BD43" s="12">
        <f>IF('Données projet'!$A$88&gt;35,BD42+BC43-BL42,IF(A43&lt;'Données projet'!$A$88,$BA$205^A43,IF(A43='Données projet'!$A$88,'Données projet'!$B$88,BD42+BC43-BL42)))</f>
        <v>223</v>
      </c>
      <c r="BE43" s="13">
        <f>BD43*VLOOKUP('Données projet'!$B$11,Paramètres!$A$1:$I$89,3,0)*VLOOKUP('Données projet'!$B$11,Paramètres!$A$1:$I$89,5,0)</f>
        <v>104.364</v>
      </c>
      <c r="BF43" s="13">
        <f t="shared" si="37"/>
        <v>27.999061703554624</v>
      </c>
      <c r="BG43" s="20">
        <f t="shared" si="7"/>
        <v>230.53233246702428</v>
      </c>
      <c r="BH43" s="59">
        <f t="shared" si="8"/>
        <v>523.86566580035765</v>
      </c>
      <c r="BI43" s="59">
        <f ca="1">AVERAGE(OFFSET($BH$3,0,0,'Données projet'!$E$11+1,1))-AVERAGE(OFFSET($H$3,0,0,'Données projet'!$E$11+1,1))</f>
        <v>141.78548348627351</v>
      </c>
      <c r="BJ43" s="59">
        <f t="shared" si="38"/>
        <v>162.67012146297657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33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3.479728106785875</v>
      </c>
      <c r="BR43" s="21">
        <f>EXP(-LN(2)/2)*BR42+(1-EXP(-LN(2)/2))/(LN(2)/2)*BL43*BO43*VLOOKUP('Données projet'!$B$11,Paramètres!$A$1:$I$89,3,0)*0.475*44/12</f>
        <v>0.22354511424288165</v>
      </c>
      <c r="BS43" s="22">
        <f t="shared" si="9"/>
        <v>3.7032732210287564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6.2</v>
      </c>
      <c r="N44" s="13">
        <f>IF('Données projet'!$A$36&gt;35,N43+M44-V43,IF(A44&lt;'Données projet'!$A$36,$K$205^A44,IF(A44='Données projet'!$A$36,'Données projet'!$B$36,N43+M44-V43)))</f>
        <v>371.2</v>
      </c>
      <c r="O44" s="13">
        <f>N44*VLOOKUP('Données projet'!$B$9,Paramètres!$A$1:$I$89,3,0)*VLOOKUP('Données projet'!$B$9,Paramètres!$A$1:$I$89,5,0)</f>
        <v>335.86176</v>
      </c>
      <c r="P44" s="13">
        <f t="shared" si="33"/>
        <v>78.644351429913428</v>
      </c>
      <c r="Q44" s="20">
        <f t="shared" si="53"/>
        <v>721.93147740709912</v>
      </c>
      <c r="R44" s="59">
        <f t="shared" si="0"/>
        <v>1015.2648107404325</v>
      </c>
      <c r="S44" s="59">
        <f ca="1">AVERAGE(OFFSET($R$3,0,0,'Données projet'!$E$9+1,1))-AVERAGE(OFFSET($H$3,0,0,'Données projet'!$E$9+1,1))</f>
        <v>394.42011098756564</v>
      </c>
      <c r="T44" s="59">
        <f t="shared" si="34"/>
        <v>559.92215054152859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16.600000000000001</v>
      </c>
      <c r="AI44" s="13">
        <f>IF('Données projet'!$A$62&gt;35,AI43+AH44-AQ43,IF(A44&lt;'Données projet'!$A$62,$AF$205^A44,IF(A44='Données projet'!$A$62,'Données projet'!$B$62,AI43+AH44-AQ43)))</f>
        <v>296.60000000000002</v>
      </c>
      <c r="AJ44" s="13">
        <f>AI44*VLOOKUP('Données projet'!$B$10,Paramètres!$A$1:$I$89,3,0)*VLOOKUP('Données projet'!$B$10,Paramètres!$A$1:$I$89,5,0)</f>
        <v>177.36680000000001</v>
      </c>
      <c r="AK44" s="13">
        <f t="shared" si="35"/>
        <v>44.735846160189553</v>
      </c>
      <c r="AL44" s="20">
        <f t="shared" si="4"/>
        <v>386.82877539566351</v>
      </c>
      <c r="AM44" s="59">
        <f t="shared" si="5"/>
        <v>680.16210872899683</v>
      </c>
      <c r="AN44" s="59">
        <f ca="1">AVERAGE(OFFSET($AM$3,0,0,'Données projet'!$E$10+1,1))-AVERAGE(OFFSET($H$3,0,0,'Données projet'!$E$10+1,1))</f>
        <v>263.03078346375446</v>
      </c>
      <c r="AO44" s="59">
        <f t="shared" si="36"/>
        <v>251.74283929680905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1.9394939291622473</v>
      </c>
      <c r="AW44" s="21">
        <f>EXP(-LN(2)/2)*AW43+(1-EXP(-LN(2)/2))/(LN(2)/2)*AQ44*AT44*VLOOKUP('Données projet'!$B$10,Paramètres!$A$1:$I$89,3,0)*0.475*44/12</f>
        <v>2.2481003001277446E-2</v>
      </c>
      <c r="AX44" s="21">
        <f t="shared" si="6"/>
        <v>1.9619749321635247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</v>
      </c>
      <c r="BD44" s="12">
        <f>IF('Données projet'!$A$88&gt;35,BD43+BC44-BL43,IF(A44&lt;'Données projet'!$A$88,$BA$205^A44,IF(A44='Données projet'!$A$88,'Données projet'!$B$88,BD43+BC44-BL43)))</f>
        <v>197</v>
      </c>
      <c r="BE44" s="13">
        <f>BD44*VLOOKUP('Données projet'!$B$11,Paramètres!$A$1:$I$89,3,0)*VLOOKUP('Données projet'!$B$11,Paramètres!$A$1:$I$89,5,0)</f>
        <v>92.196000000000012</v>
      </c>
      <c r="BF44" s="13">
        <f t="shared" si="37"/>
        <v>25.094101950594489</v>
      </c>
      <c r="BG44" s="20">
        <f t="shared" si="7"/>
        <v>204.28026089728542</v>
      </c>
      <c r="BH44" s="59">
        <f t="shared" si="8"/>
        <v>497.61359423061873</v>
      </c>
      <c r="BI44" s="59">
        <f ca="1">AVERAGE(OFFSET($BH$3,0,0,'Données projet'!$E$11+1,1))-AVERAGE(OFFSET($H$3,0,0,'Données projet'!$E$11+1,1))</f>
        <v>141.78548348627351</v>
      </c>
      <c r="BJ44" s="59">
        <f t="shared" si="38"/>
        <v>162.67012146297657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3.3845747587148671</v>
      </c>
      <c r="BR44" s="21">
        <f>EXP(-LN(2)/2)*BR43+(1-EXP(-LN(2)/2))/(LN(2)/2)*BL44*BO44*VLOOKUP('Données projet'!$B$11,Paramètres!$A$1:$I$89,3,0)*0.475*44/12</f>
        <v>0.15807026618226308</v>
      </c>
      <c r="BS44" s="22">
        <f t="shared" si="9"/>
        <v>3.5426450248971304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6.2</v>
      </c>
      <c r="N45" s="13">
        <f>IF('Données projet'!$A$36&gt;35,N44+M45-V44,IF(A45&lt;'Données projet'!$A$36,$K$205^A45,IF(A45='Données projet'!$A$36,'Données projet'!$B$36,N44+M45-V44)))</f>
        <v>377.4</v>
      </c>
      <c r="O45" s="13">
        <f>N45*VLOOKUP('Données projet'!$B$9,Paramètres!$A$1:$I$89,3,0)*VLOOKUP('Données projet'!$B$9,Paramètres!$A$1:$I$89,5,0)</f>
        <v>341.47151999999994</v>
      </c>
      <c r="P45" s="13">
        <f t="shared" si="33"/>
        <v>79.803895312735904</v>
      </c>
      <c r="Q45" s="20">
        <f t="shared" si="53"/>
        <v>733.72134833634811</v>
      </c>
      <c r="R45" s="59">
        <f t="shared" si="0"/>
        <v>1027.0546816696815</v>
      </c>
      <c r="S45" s="59">
        <f ca="1">AVERAGE(OFFSET($R$3,0,0,'Données projet'!$E$9+1,1))-AVERAGE(OFFSET($H$3,0,0,'Données projet'!$E$9+1,1))</f>
        <v>394.42011098756564</v>
      </c>
      <c r="T45" s="59">
        <f t="shared" si="34"/>
        <v>559.92215054152859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16.600000000000001</v>
      </c>
      <c r="AI45" s="13">
        <f>IF('Données projet'!$A$62&gt;35,AI44+AH45-AQ44,IF(A45&lt;'Données projet'!$A$62,$AF$205^A45,IF(A45='Données projet'!$A$62,'Données projet'!$B$62,AI44+AH45-AQ44)))</f>
        <v>313.20000000000005</v>
      </c>
      <c r="AJ45" s="13">
        <f>AI45*VLOOKUP('Données projet'!$B$10,Paramètres!$A$1:$I$89,3,0)*VLOOKUP('Données projet'!$B$10,Paramètres!$A$1:$I$89,5,0)</f>
        <v>187.29360000000005</v>
      </c>
      <c r="AK45" s="13">
        <f t="shared" si="35"/>
        <v>46.941107550760456</v>
      </c>
      <c r="AL45" s="20">
        <f t="shared" si="4"/>
        <v>407.9587823175745</v>
      </c>
      <c r="AM45" s="59">
        <f t="shared" si="5"/>
        <v>701.29211565090782</v>
      </c>
      <c r="AN45" s="59">
        <f ca="1">AVERAGE(OFFSET($AM$3,0,0,'Données projet'!$E$10+1,1))-AVERAGE(OFFSET($H$3,0,0,'Données projet'!$E$10+1,1))</f>
        <v>263.03078346375446</v>
      </c>
      <c r="AO45" s="59">
        <f t="shared" si="36"/>
        <v>251.74283929680905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1.8864583656757528</v>
      </c>
      <c r="AW45" s="21">
        <f>EXP(-LN(2)/2)*AW44+(1-EXP(-LN(2)/2))/(LN(2)/2)*AQ45*AT45*VLOOKUP('Données projet'!$B$10,Paramètres!$A$1:$I$89,3,0)*0.475*44/12</f>
        <v>1.5896469670078409E-2</v>
      </c>
      <c r="AX45" s="21">
        <f t="shared" si="6"/>
        <v>1.9023548353458313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</v>
      </c>
      <c r="BD45" s="12">
        <f>IF('Données projet'!$A$88&gt;35,BD44+BC45-BL44,IF(A45&lt;'Données projet'!$A$88,$BA$205^A45,IF(A45='Données projet'!$A$88,'Données projet'!$B$88,BD44+BC45-BL44)))</f>
        <v>204</v>
      </c>
      <c r="BE45" s="13">
        <f>BD45*VLOOKUP('Données projet'!$B$11,Paramètres!$A$1:$I$89,3,0)*VLOOKUP('Données projet'!$B$11,Paramètres!$A$1:$I$89,5,0)</f>
        <v>95.471999999999994</v>
      </c>
      <c r="BF45" s="13">
        <f t="shared" si="37"/>
        <v>25.880372123231169</v>
      </c>
      <c r="BG45" s="20">
        <f t="shared" si="7"/>
        <v>211.35538144796092</v>
      </c>
      <c r="BH45" s="59">
        <f t="shared" si="8"/>
        <v>504.68871478129427</v>
      </c>
      <c r="BI45" s="59">
        <f ca="1">AVERAGE(OFFSET($BH$3,0,0,'Données projet'!$E$11+1,1))-AVERAGE(OFFSET($H$3,0,0,'Données projet'!$E$11+1,1))</f>
        <v>141.78548348627351</v>
      </c>
      <c r="BJ45" s="59">
        <f t="shared" si="38"/>
        <v>162.67012146297657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3.2920233839507582</v>
      </c>
      <c r="BR45" s="21">
        <f>EXP(-LN(2)/2)*BR44+(1-EXP(-LN(2)/2))/(LN(2)/2)*BL45*BO45*VLOOKUP('Données projet'!$B$11,Paramètres!$A$1:$I$89,3,0)*0.475*44/12</f>
        <v>0.11177255712144082</v>
      </c>
      <c r="BS45" s="22">
        <f t="shared" si="9"/>
        <v>3.403795941072199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6.2</v>
      </c>
      <c r="N46" s="13">
        <f>IF('Données projet'!$A$36&gt;35,N45+M46-V45,IF(A46&lt;'Données projet'!$A$36,$K$205^A46,IF(A46='Données projet'!$A$36,'Données projet'!$B$36,N45+M46-V45)))</f>
        <v>383.59999999999997</v>
      </c>
      <c r="O46" s="13">
        <f>N46*VLOOKUP('Données projet'!$B$9,Paramètres!$A$1:$I$89,3,0)*VLOOKUP('Données projet'!$B$9,Paramètres!$A$1:$I$89,5,0)</f>
        <v>347.08127999999999</v>
      </c>
      <c r="P46" s="13">
        <f t="shared" si="33"/>
        <v>80.961223880777212</v>
      </c>
      <c r="Q46" s="20">
        <f t="shared" si="53"/>
        <v>745.50736092568695</v>
      </c>
      <c r="R46" s="59">
        <f t="shared" si="0"/>
        <v>1038.8406942590202</v>
      </c>
      <c r="S46" s="59">
        <f ca="1">AVERAGE(OFFSET($R$3,0,0,'Données projet'!$E$9+1,1))-AVERAGE(OFFSET($H$3,0,0,'Données projet'!$E$9+1,1))</f>
        <v>394.42011098756564</v>
      </c>
      <c r="T46" s="59">
        <f t="shared" si="34"/>
        <v>559.92215054152859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16.600000000000001</v>
      </c>
      <c r="AI46" s="13">
        <f>IF('Données projet'!$A$62&gt;35,AI45+AH46-AQ45,IF(A46&lt;'Données projet'!$A$62,$AF$205^A46,IF(A46='Données projet'!$A$62,'Données projet'!$B$62,AI45+AH46-AQ45)))</f>
        <v>329.80000000000007</v>
      </c>
      <c r="AJ46" s="13">
        <f>AI46*VLOOKUP('Données projet'!$B$10,Paramètres!$A$1:$I$89,3,0)*VLOOKUP('Données projet'!$B$10,Paramètres!$A$1:$I$89,5,0)</f>
        <v>197.22040000000004</v>
      </c>
      <c r="AK46" s="13">
        <f t="shared" si="35"/>
        <v>49.132799088963161</v>
      </c>
      <c r="AL46" s="20">
        <f t="shared" si="4"/>
        <v>429.06515507994419</v>
      </c>
      <c r="AM46" s="59">
        <f t="shared" si="5"/>
        <v>722.39848841327751</v>
      </c>
      <c r="AN46" s="59">
        <f ca="1">AVERAGE(OFFSET($AM$3,0,0,'Données projet'!$E$10+1,1))-AVERAGE(OFFSET($H$3,0,0,'Données projet'!$E$10+1,1))</f>
        <v>263.03078346375446</v>
      </c>
      <c r="AO46" s="59">
        <f t="shared" si="36"/>
        <v>251.74283929680905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1.8348730624618155</v>
      </c>
      <c r="AW46" s="21">
        <f>EXP(-LN(2)/2)*AW45+(1-EXP(-LN(2)/2))/(LN(2)/2)*AQ46*AT46*VLOOKUP('Données projet'!$B$10,Paramètres!$A$1:$I$89,3,0)*0.475*44/12</f>
        <v>1.1240501500638723E-2</v>
      </c>
      <c r="AX46" s="21">
        <f t="shared" si="6"/>
        <v>1.8461135639624542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</v>
      </c>
      <c r="BD46" s="12">
        <f>IF('Données projet'!$A$88&gt;35,BD45+BC46-BL45,IF(A46&lt;'Données projet'!$A$88,$BA$205^A46,IF(A46='Données projet'!$A$88,'Données projet'!$B$88,BD45+BC46-BL45)))</f>
        <v>211</v>
      </c>
      <c r="BE46" s="13">
        <f>BD46*VLOOKUP('Données projet'!$B$11,Paramètres!$A$1:$I$89,3,0)*VLOOKUP('Données projet'!$B$11,Paramètres!$A$1:$I$89,5,0)</f>
        <v>98.74799999999999</v>
      </c>
      <c r="BF46" s="13">
        <f t="shared" si="37"/>
        <v>26.663507453762108</v>
      </c>
      <c r="BG46" s="20">
        <f t="shared" si="7"/>
        <v>218.42504214863564</v>
      </c>
      <c r="BH46" s="59">
        <f t="shared" si="8"/>
        <v>511.75837548196898</v>
      </c>
      <c r="BI46" s="59">
        <f ca="1">AVERAGE(OFFSET($BH$3,0,0,'Données projet'!$E$11+1,1))-AVERAGE(OFFSET($H$3,0,0,'Données projet'!$E$11+1,1))</f>
        <v>141.78548348627351</v>
      </c>
      <c r="BJ46" s="59">
        <f t="shared" si="38"/>
        <v>162.67012146297657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3.2020028313966389</v>
      </c>
      <c r="BR46" s="21">
        <f>EXP(-LN(2)/2)*BR45+(1-EXP(-LN(2)/2))/(LN(2)/2)*BL46*BO46*VLOOKUP('Données projet'!$B$11,Paramètres!$A$1:$I$89,3,0)*0.475*44/12</f>
        <v>7.903513309113154E-2</v>
      </c>
      <c r="BS46" s="22">
        <f t="shared" si="9"/>
        <v>3.2810379644877705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6.2</v>
      </c>
      <c r="N47" s="13">
        <f>IF('Données projet'!$A$36&gt;35,N46+M47-V46,IF(A47&lt;'Données projet'!$A$36,$K$205^A47,IF(A47='Données projet'!$A$36,'Données projet'!$B$36,N46+M47-V46)))</f>
        <v>389.79999999999995</v>
      </c>
      <c r="O47" s="13">
        <f>N47*VLOOKUP('Données projet'!$B$9,Paramètres!$A$1:$I$89,3,0)*VLOOKUP('Données projet'!$B$9,Paramètres!$A$1:$I$89,5,0)</f>
        <v>352.69103999999993</v>
      </c>
      <c r="P47" s="13">
        <f t="shared" si="33"/>
        <v>82.116377073111735</v>
      </c>
      <c r="Q47" s="20">
        <f t="shared" si="53"/>
        <v>757.28958473566945</v>
      </c>
      <c r="R47" s="59">
        <f t="shared" si="0"/>
        <v>1050.6229180690027</v>
      </c>
      <c r="S47" s="59">
        <f ca="1">AVERAGE(OFFSET($R$3,0,0,'Données projet'!$E$9+1,1))-AVERAGE(OFFSET($H$3,0,0,'Données projet'!$E$9+1,1))</f>
        <v>394.42011098756564</v>
      </c>
      <c r="T47" s="59">
        <f t="shared" si="34"/>
        <v>559.92215054152859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16.600000000000001</v>
      </c>
      <c r="AI47" s="13">
        <f>IF('Données projet'!$A$62&gt;35,AI46+AH47-AQ46,IF(A47&lt;'Données projet'!$A$62,$AF$205^A47,IF(A47='Données projet'!$A$62,'Données projet'!$B$62,AI46+AH47-AQ46)))</f>
        <v>346.40000000000009</v>
      </c>
      <c r="AJ47" s="13">
        <f>AI47*VLOOKUP('Données projet'!$B$10,Paramètres!$A$1:$I$89,3,0)*VLOOKUP('Données projet'!$B$10,Paramètres!$A$1:$I$89,5,0)</f>
        <v>207.14720000000008</v>
      </c>
      <c r="AK47" s="13">
        <f t="shared" si="35"/>
        <v>51.311681725639559</v>
      </c>
      <c r="AL47" s="20">
        <f t="shared" si="4"/>
        <v>450.14921900548899</v>
      </c>
      <c r="AM47" s="59">
        <f t="shared" si="5"/>
        <v>743.4825523388223</v>
      </c>
      <c r="AN47" s="59">
        <f ca="1">AVERAGE(OFFSET($AM$3,0,0,'Données projet'!$E$10+1,1))-AVERAGE(OFFSET($H$3,0,0,'Données projet'!$E$10+1,1))</f>
        <v>263.03078346375446</v>
      </c>
      <c r="AO47" s="59">
        <f t="shared" si="36"/>
        <v>251.74283929680905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1.7846983620770165</v>
      </c>
      <c r="AW47" s="21">
        <f>EXP(-LN(2)/2)*AW46+(1-EXP(-LN(2)/2))/(LN(2)/2)*AQ47*AT47*VLOOKUP('Données projet'!$B$10,Paramètres!$A$1:$I$89,3,0)*0.475*44/12</f>
        <v>7.9482348350392047E-3</v>
      </c>
      <c r="AX47" s="21">
        <f t="shared" si="6"/>
        <v>1.7926465969120557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</v>
      </c>
      <c r="BD47" s="12">
        <f>IF('Données projet'!$A$88&gt;35,BD46+BC47-BL46,IF(A47&lt;'Données projet'!$A$88,$BA$205^A47,IF(A47='Données projet'!$A$88,'Données projet'!$B$88,BD46+BC47-BL46)))</f>
        <v>218</v>
      </c>
      <c r="BE47" s="13">
        <f>BD47*VLOOKUP('Données projet'!$B$11,Paramètres!$A$1:$I$89,3,0)*VLOOKUP('Données projet'!$B$11,Paramètres!$A$1:$I$89,5,0)</f>
        <v>102.02400000000002</v>
      </c>
      <c r="BF47" s="13">
        <f t="shared" si="37"/>
        <v>27.443623866530594</v>
      </c>
      <c r="BG47" s="20">
        <f t="shared" si="7"/>
        <v>225.48944490087413</v>
      </c>
      <c r="BH47" s="59">
        <f t="shared" si="8"/>
        <v>518.82277823420748</v>
      </c>
      <c r="BI47" s="59">
        <f ca="1">AVERAGE(OFFSET($BH$3,0,0,'Données projet'!$E$11+1,1))-AVERAGE(OFFSET($H$3,0,0,'Données projet'!$E$11+1,1))</f>
        <v>141.78548348627351</v>
      </c>
      <c r="BJ47" s="59">
        <f t="shared" si="38"/>
        <v>162.67012146297657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3.1144438955860871</v>
      </c>
      <c r="BR47" s="21">
        <f>EXP(-LN(2)/2)*BR46+(1-EXP(-LN(2)/2))/(LN(2)/2)*BL47*BO47*VLOOKUP('Données projet'!$B$11,Paramètres!$A$1:$I$89,3,0)*0.475*44/12</f>
        <v>5.5886278560720412E-2</v>
      </c>
      <c r="BS47" s="22">
        <f t="shared" si="9"/>
        <v>3.1703301741468075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396</v>
      </c>
      <c r="L48" s="12">
        <f>VLOOKUP(A48,'Données projet'!$A$35:$I$55,9,0)</f>
        <v>6.2</v>
      </c>
      <c r="M48" s="12">
        <f t="array" ref="M48">INDEX(L:L,MIN(IF(ISNUMBER(L48:L244),ROW(L48:L244),"")))</f>
        <v>6.2</v>
      </c>
      <c r="N48" s="13">
        <f>IF('Données projet'!$A$36&gt;35,N47+M48-V47,IF(A48&lt;'Données projet'!$A$36,$K$205^A48,IF(A48='Données projet'!$A$36,'Données projet'!$B$36,N47+M48-V47)))</f>
        <v>395.99999999999994</v>
      </c>
      <c r="O48" s="13">
        <f>N48*VLOOKUP('Données projet'!$B$9,Paramètres!$A$1:$I$89,3,0)*VLOOKUP('Données projet'!$B$9,Paramètres!$A$1:$I$89,5,0)</f>
        <v>358.30079999999992</v>
      </c>
      <c r="P48" s="13">
        <f t="shared" si="33"/>
        <v>83.269393485435742</v>
      </c>
      <c r="Q48" s="20">
        <f t="shared" si="53"/>
        <v>769.06808698713382</v>
      </c>
      <c r="R48" s="59">
        <f t="shared" si="0"/>
        <v>1062.4014203204672</v>
      </c>
      <c r="S48" s="59">
        <f ca="1">AVERAGE(OFFSET($R$3,0,0,'Données projet'!$E$9+1,1))-AVERAGE(OFFSET($H$3,0,0,'Données projet'!$E$9+1,1))</f>
        <v>394.42011098756564</v>
      </c>
      <c r="T48" s="59">
        <f t="shared" si="34"/>
        <v>559.92215054152859</v>
      </c>
      <c r="U48" s="15">
        <f>IF(ISNA(VLOOKUP(A48,'Données projet'!$A$35:$I$55,3,0)),0,VLOOKUP(A48,'Données projet'!$A$35:$I$55,3,0))</f>
        <v>2</v>
      </c>
      <c r="V48" s="15">
        <f>IF(ISNA(VLOOKUP(A48,'Données projet'!$A$35:$I$55,4,0)),0,VLOOKUP(A48,'Données projet'!$A$35:$I$55,4,0))</f>
        <v>396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363</v>
      </c>
      <c r="AG48" s="12">
        <f>VLOOKUP(A48,'Données projet'!$A$61:$I$81,9,0)</f>
        <v>16.600000000000001</v>
      </c>
      <c r="AH48" s="12">
        <f t="array" ref="AH48">INDEX(AG:AG,MIN(IF(ISNUMBER(AG48:AG244),ROW(AG48:AG244),"")))</f>
        <v>16.600000000000001</v>
      </c>
      <c r="AI48" s="13">
        <f>IF('Données projet'!$A$62&gt;35,AI47+AH48-AQ47,IF(A48&lt;'Données projet'!$A$62,$AF$205^A48,IF(A48='Données projet'!$A$62,'Données projet'!$B$62,AI47+AH48-AQ47)))</f>
        <v>363.00000000000011</v>
      </c>
      <c r="AJ48" s="13">
        <f>AI48*VLOOKUP('Données projet'!$B$10,Paramètres!$A$1:$I$89,3,0)*VLOOKUP('Données projet'!$B$10,Paramètres!$A$1:$I$89,5,0)</f>
        <v>217.07400000000007</v>
      </c>
      <c r="AK48" s="13">
        <f t="shared" si="35"/>
        <v>53.478439358974512</v>
      </c>
      <c r="AL48" s="20">
        <f t="shared" si="4"/>
        <v>471.21216521688075</v>
      </c>
      <c r="AM48" s="59">
        <f t="shared" si="5"/>
        <v>764.54549855021401</v>
      </c>
      <c r="AN48" s="59">
        <f ca="1">AVERAGE(OFFSET($AM$3,0,0,'Données projet'!$E$10+1,1))-AVERAGE(OFFSET($H$3,0,0,'Données projet'!$E$10+1,1))</f>
        <v>263.03078346375446</v>
      </c>
      <c r="AO48" s="59">
        <f t="shared" si="36"/>
        <v>251.74283929680905</v>
      </c>
      <c r="AP48" s="15">
        <f>IF(ISNA(VLOOKUP(A48,'Données projet'!$A$61:$I$81,3,0)),0,VLOOKUP(A48,'Données projet'!$A$61:$I$81,3,0))</f>
        <v>3</v>
      </c>
      <c r="AQ48" s="15">
        <f>IF(ISNA(VLOOKUP(A48,'Données projet'!$A$61:$I$81,4,0)),0,VLOOKUP(A48,'Données projet'!$A$61:$I$81,4,0))</f>
        <v>94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1.7358956915128125</v>
      </c>
      <c r="AW48" s="21">
        <f>EXP(-LN(2)/2)*AW47+(1-EXP(-LN(2)/2))/(LN(2)/2)*AQ48*AT48*VLOOKUP('Données projet'!$B$10,Paramètres!$A$1:$I$89,3,0)*0.475*44/12</f>
        <v>5.6202507503193616E-3</v>
      </c>
      <c r="AX48" s="21">
        <f t="shared" si="6"/>
        <v>1.7415159422631319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</v>
      </c>
      <c r="BD48" s="12">
        <f>IF('Données projet'!$A$88&gt;35,BD47+BC48-BL47,IF(A48&lt;'Données projet'!$A$88,$BA$205^A48,IF(A48='Données projet'!$A$88,'Données projet'!$B$88,BD47+BC48-BL47)))</f>
        <v>225</v>
      </c>
      <c r="BE48" s="13">
        <f>BD48*VLOOKUP('Données projet'!$B$11,Paramètres!$A$1:$I$89,3,0)*VLOOKUP('Données projet'!$B$11,Paramètres!$A$1:$I$89,5,0)</f>
        <v>105.3</v>
      </c>
      <c r="BF48" s="13">
        <f t="shared" si="37"/>
        <v>28.220829418515034</v>
      </c>
      <c r="BG48" s="20">
        <f t="shared" si="7"/>
        <v>232.54877790391367</v>
      </c>
      <c r="BH48" s="59">
        <f t="shared" si="8"/>
        <v>525.88211123724705</v>
      </c>
      <c r="BI48" s="59">
        <f ca="1">AVERAGE(OFFSET($BH$3,0,0,'Données projet'!$E$11+1,1))-AVERAGE(OFFSET($H$3,0,0,'Données projet'!$E$11+1,1))</f>
        <v>141.78548348627351</v>
      </c>
      <c r="BJ48" s="59">
        <f t="shared" si="38"/>
        <v>162.67012146297657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3.0292792634797991</v>
      </c>
      <c r="BR48" s="21">
        <f>EXP(-LN(2)/2)*BR47+(1-EXP(-LN(2)/2))/(LN(2)/2)*BL48*BO48*VLOOKUP('Données projet'!$B$11,Paramètres!$A$1:$I$89,3,0)*0.475*44/12</f>
        <v>3.951756654556577E-2</v>
      </c>
      <c r="BS48" s="22">
        <f t="shared" si="9"/>
        <v>3.0687968300253647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-5.1431925385259088E-14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394.42011098756564</v>
      </c>
      <c r="T49" s="59">
        <f t="shared" si="34"/>
        <v>559.92215054152859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17.399999999999999</v>
      </c>
      <c r="AI49" s="13">
        <f>IF('Données projet'!$A$62&gt;35,AI48+AH49-AQ48,IF(A49&lt;'Données projet'!$A$62,$AF$205^A49,IF(A49='Données projet'!$A$62,'Données projet'!$B$62,AI48+AH49-AQ48)))</f>
        <v>286.40000000000009</v>
      </c>
      <c r="AJ49" s="13">
        <f>AI49*VLOOKUP('Données projet'!$B$10,Paramètres!$A$1:$I$89,3,0)*VLOOKUP('Données projet'!$B$10,Paramètres!$A$1:$I$89,5,0)</f>
        <v>171.26720000000009</v>
      </c>
      <c r="AK49" s="13">
        <f t="shared" si="35"/>
        <v>43.373711445811871</v>
      </c>
      <c r="AL49" s="20">
        <f t="shared" si="4"/>
        <v>373.83292076812245</v>
      </c>
      <c r="AM49" s="59">
        <f t="shared" si="5"/>
        <v>667.16625410145571</v>
      </c>
      <c r="AN49" s="59">
        <f ca="1">AVERAGE(OFFSET($AM$3,0,0,'Données projet'!$E$10+1,1))-AVERAGE(OFFSET($H$3,0,0,'Données projet'!$E$10+1,1))</f>
        <v>263.03078346375446</v>
      </c>
      <c r="AO49" s="59">
        <f t="shared" si="36"/>
        <v>251.74283929680905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1.6884275325416076</v>
      </c>
      <c r="AW49" s="21">
        <f>EXP(-LN(2)/2)*AW48+(1-EXP(-LN(2)/2))/(LN(2)/2)*AQ49*AT49*VLOOKUP('Données projet'!$B$10,Paramètres!$A$1:$I$89,3,0)*0.475*44/12</f>
        <v>3.9741174175196023E-3</v>
      </c>
      <c r="AX49" s="21">
        <f t="shared" si="6"/>
        <v>1.6924016499591272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</v>
      </c>
      <c r="BD49" s="12">
        <f>IF('Données projet'!$A$88&gt;35,BD48+BC49-BL48,IF(A49&lt;'Données projet'!$A$88,$BA$205^A49,IF(A49='Données projet'!$A$88,'Données projet'!$B$88,BD48+BC49-BL48)))</f>
        <v>232</v>
      </c>
      <c r="BE49" s="13">
        <f>BD49*VLOOKUP('Données projet'!$B$11,Paramètres!$A$1:$I$89,3,0)*VLOOKUP('Données projet'!$B$11,Paramètres!$A$1:$I$89,5,0)</f>
        <v>108.57599999999999</v>
      </c>
      <c r="BF49" s="13">
        <f t="shared" si="37"/>
        <v>28.995225061228002</v>
      </c>
      <c r="BG49" s="20">
        <f t="shared" si="7"/>
        <v>239.60321698163875</v>
      </c>
      <c r="BH49" s="59">
        <f t="shared" si="8"/>
        <v>532.93655031497201</v>
      </c>
      <c r="BI49" s="59">
        <f ca="1">AVERAGE(OFFSET($BH$3,0,0,'Données projet'!$E$11+1,1))-AVERAGE(OFFSET($H$3,0,0,'Données projet'!$E$11+1,1))</f>
        <v>141.78548348627351</v>
      </c>
      <c r="BJ49" s="59">
        <f t="shared" si="38"/>
        <v>162.67012146297657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2.9464434627170712</v>
      </c>
      <c r="BR49" s="21">
        <f>EXP(-LN(2)/2)*BR48+(1-EXP(-LN(2)/2))/(LN(2)/2)*BL49*BO49*VLOOKUP('Données projet'!$B$11,Paramètres!$A$1:$I$89,3,0)*0.475*44/12</f>
        <v>2.7943139280360206E-2</v>
      </c>
      <c r="BS49" s="22">
        <f t="shared" si="9"/>
        <v>2.9743866019974314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-5.1431925385259088E-14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394.42011098756564</v>
      </c>
      <c r="T50" s="59">
        <f t="shared" si="34"/>
        <v>559.92215054152859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17.399999999999999</v>
      </c>
      <c r="AI50" s="13">
        <f>IF('Données projet'!$A$62&gt;35,AI49+AH50-AQ49,IF(A50&lt;'Données projet'!$A$62,$AF$205^A50,IF(A50='Données projet'!$A$62,'Données projet'!$B$62,AI49+AH50-AQ49)))</f>
        <v>303.80000000000007</v>
      </c>
      <c r="AJ50" s="13">
        <f>AI50*VLOOKUP('Données projet'!$B$10,Paramètres!$A$1:$I$89,3,0)*VLOOKUP('Données projet'!$B$10,Paramètres!$A$1:$I$89,5,0)</f>
        <v>181.67240000000007</v>
      </c>
      <c r="AK50" s="13">
        <f t="shared" si="35"/>
        <v>45.694063848121147</v>
      </c>
      <c r="AL50" s="20">
        <f t="shared" si="4"/>
        <v>395.99659120214437</v>
      </c>
      <c r="AM50" s="59">
        <f t="shared" si="5"/>
        <v>689.32992453547763</v>
      </c>
      <c r="AN50" s="59">
        <f ca="1">AVERAGE(OFFSET($AM$3,0,0,'Données projet'!$E$10+1,1))-AVERAGE(OFFSET($H$3,0,0,'Données projet'!$E$10+1,1))</f>
        <v>263.03078346375446</v>
      </c>
      <c r="AO50" s="59">
        <f t="shared" si="36"/>
        <v>251.74283929680905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1.6422573928737123</v>
      </c>
      <c r="AW50" s="21">
        <f>EXP(-LN(2)/2)*AW49+(1-EXP(-LN(2)/2))/(LN(2)/2)*AQ50*AT50*VLOOKUP('Données projet'!$B$10,Paramètres!$A$1:$I$89,3,0)*0.475*44/12</f>
        <v>2.8101253751596808E-3</v>
      </c>
      <c r="AX50" s="21">
        <f t="shared" si="6"/>
        <v>1.6450675182488721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</v>
      </c>
      <c r="BD50" s="12">
        <f>IF('Données projet'!$A$88&gt;35,BD49+BC50-BL49,IF(A50&lt;'Données projet'!$A$88,$BA$205^A50,IF(A50='Données projet'!$A$88,'Données projet'!$B$88,BD49+BC50-BL49)))</f>
        <v>239</v>
      </c>
      <c r="BE50" s="13">
        <f>BD50*VLOOKUP('Données projet'!$B$11,Paramètres!$A$1:$I$89,3,0)*VLOOKUP('Données projet'!$B$11,Paramètres!$A$1:$I$89,5,0)</f>
        <v>111.85199999999999</v>
      </c>
      <c r="BF50" s="13">
        <f t="shared" si="37"/>
        <v>29.766905308078066</v>
      </c>
      <c r="BG50" s="20">
        <f t="shared" si="7"/>
        <v>246.65292674490266</v>
      </c>
      <c r="BH50" s="59">
        <f t="shared" si="8"/>
        <v>539.986260078236</v>
      </c>
      <c r="BI50" s="59">
        <f ca="1">AVERAGE(OFFSET($BH$3,0,0,'Données projet'!$E$11+1,1))-AVERAGE(OFFSET($H$3,0,0,'Données projet'!$E$11+1,1))</f>
        <v>141.78548348627351</v>
      </c>
      <c r="BJ50" s="59">
        <f t="shared" si="38"/>
        <v>162.67012146297657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2.8658728112823453</v>
      </c>
      <c r="BR50" s="21">
        <f>EXP(-LN(2)/2)*BR49+(1-EXP(-LN(2)/2))/(LN(2)/2)*BL50*BO50*VLOOKUP('Données projet'!$B$11,Paramètres!$A$1:$I$89,3,0)*0.475*44/12</f>
        <v>1.9758783272782885E-2</v>
      </c>
      <c r="BS50" s="22">
        <f t="shared" si="9"/>
        <v>2.8856315945551283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-5.1431925385259088E-14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394.42011098756564</v>
      </c>
      <c r="T51" s="59">
        <f t="shared" si="34"/>
        <v>559.92215054152859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17.399999999999999</v>
      </c>
      <c r="AI51" s="13">
        <f>IF('Données projet'!$A$62&gt;35,AI50+AH51-AQ50,IF(A51&lt;'Données projet'!$A$62,$AF$205^A51,IF(A51='Données projet'!$A$62,'Données projet'!$B$62,AI50+AH51-AQ50)))</f>
        <v>321.20000000000005</v>
      </c>
      <c r="AJ51" s="13">
        <f>AI51*VLOOKUP('Données projet'!$B$10,Paramètres!$A$1:$I$89,3,0)*VLOOKUP('Données projet'!$B$10,Paramètres!$A$1:$I$89,5,0)</f>
        <v>192.07760000000005</v>
      </c>
      <c r="AK51" s="13">
        <f t="shared" si="35"/>
        <v>47.998989578649159</v>
      </c>
      <c r="AL51" s="20">
        <f t="shared" si="4"/>
        <v>418.13339351614735</v>
      </c>
      <c r="AM51" s="59">
        <f t="shared" si="5"/>
        <v>711.46672684948066</v>
      </c>
      <c r="AN51" s="59">
        <f ca="1">AVERAGE(OFFSET($AM$3,0,0,'Données projet'!$E$10+1,1))-AVERAGE(OFFSET($H$3,0,0,'Données projet'!$E$10+1,1))</f>
        <v>263.03078346375446</v>
      </c>
      <c r="AO51" s="59">
        <f t="shared" si="36"/>
        <v>251.74283929680905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1.5973497781030177</v>
      </c>
      <c r="AW51" s="21">
        <f>EXP(-LN(2)/2)*AW50+(1-EXP(-LN(2)/2))/(LN(2)/2)*AQ51*AT51*VLOOKUP('Données projet'!$B$10,Paramètres!$A$1:$I$89,3,0)*0.475*44/12</f>
        <v>1.9870587087598012E-3</v>
      </c>
      <c r="AX51" s="21">
        <f t="shared" si="6"/>
        <v>1.5993368368117775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</v>
      </c>
      <c r="BD51" s="12">
        <f>IF('Données projet'!$A$88&gt;35,BD50+BC51-BL50,IF(A51&lt;'Données projet'!$A$88,$BA$205^A51,IF(A51='Données projet'!$A$88,'Données projet'!$B$88,BD50+BC51-BL50)))</f>
        <v>246</v>
      </c>
      <c r="BE51" s="13">
        <f>BD51*VLOOKUP('Données projet'!$B$11,Paramètres!$A$1:$I$89,3,0)*VLOOKUP('Données projet'!$B$11,Paramètres!$A$1:$I$89,5,0)</f>
        <v>115.128</v>
      </c>
      <c r="BF51" s="13">
        <f t="shared" si="37"/>
        <v>30.53595882135</v>
      </c>
      <c r="BG51" s="20">
        <f t="shared" si="7"/>
        <v>253.69806161385125</v>
      </c>
      <c r="BH51" s="59">
        <f t="shared" si="8"/>
        <v>547.03139494718459</v>
      </c>
      <c r="BI51" s="59">
        <f ca="1">AVERAGE(OFFSET($BH$3,0,0,'Données projet'!$E$11+1,1))-AVERAGE(OFFSET($H$3,0,0,'Données projet'!$E$11+1,1))</f>
        <v>141.78548348627351</v>
      </c>
      <c r="BJ51" s="59">
        <f t="shared" si="38"/>
        <v>162.67012146297657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2.7875053685481284</v>
      </c>
      <c r="BR51" s="21">
        <f>EXP(-LN(2)/2)*BR50+(1-EXP(-LN(2)/2))/(LN(2)/2)*BL51*BO51*VLOOKUP('Données projet'!$B$11,Paramètres!$A$1:$I$89,3,0)*0.475*44/12</f>
        <v>1.3971569640180103E-2</v>
      </c>
      <c r="BS51" s="22">
        <f t="shared" si="9"/>
        <v>2.8014769381883085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-5.1431925385259088E-14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394.42011098756564</v>
      </c>
      <c r="T52" s="59">
        <f t="shared" si="34"/>
        <v>559.92215054152859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17.399999999999999</v>
      </c>
      <c r="AI52" s="13">
        <f>IF('Données projet'!$A$62&gt;35,AI51+AH52-AQ51,IF(A52&lt;'Données projet'!$A$62,$AF$205^A52,IF(A52='Données projet'!$A$62,'Données projet'!$B$62,AI51+AH52-AQ51)))</f>
        <v>338.6</v>
      </c>
      <c r="AJ52" s="13">
        <f>AI52*VLOOKUP('Données projet'!$B$10,Paramètres!$A$1:$I$89,3,0)*VLOOKUP('Données projet'!$B$10,Paramètres!$A$1:$I$89,5,0)</f>
        <v>202.48280000000005</v>
      </c>
      <c r="AK52" s="13">
        <f t="shared" si="35"/>
        <v>50.289419602655045</v>
      </c>
      <c r="AL52" s="20">
        <f t="shared" si="4"/>
        <v>440.24494914129099</v>
      </c>
      <c r="AM52" s="59">
        <f t="shared" si="5"/>
        <v>733.5782824746243</v>
      </c>
      <c r="AN52" s="59">
        <f ca="1">AVERAGE(OFFSET($AM$3,0,0,'Données projet'!$E$10+1,1))-AVERAGE(OFFSET($H$3,0,0,'Données projet'!$E$10+1,1))</f>
        <v>263.03078346375446</v>
      </c>
      <c r="AO52" s="59">
        <f t="shared" si="36"/>
        <v>251.74283929680905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1.5536701644198168</v>
      </c>
      <c r="AW52" s="21">
        <f>EXP(-LN(2)/2)*AW51+(1-EXP(-LN(2)/2))/(LN(2)/2)*AQ52*AT52*VLOOKUP('Données projet'!$B$10,Paramètres!$A$1:$I$89,3,0)*0.475*44/12</f>
        <v>1.4050626875798404E-3</v>
      </c>
      <c r="AX52" s="21">
        <f t="shared" si="6"/>
        <v>1.5550752271073967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</v>
      </c>
      <c r="BD52" s="12">
        <f>IF('Données projet'!$A$88&gt;35,BD51+BC52-BL51,IF(A52&lt;'Données projet'!$A$88,$BA$205^A52,IF(A52='Données projet'!$A$88,'Données projet'!$B$88,BD51+BC52-BL51)))</f>
        <v>253</v>
      </c>
      <c r="BE52" s="13">
        <f>BD52*VLOOKUP('Données projet'!$B$11,Paramètres!$A$1:$I$89,3,0)*VLOOKUP('Données projet'!$B$11,Paramètres!$A$1:$I$89,5,0)</f>
        <v>118.404</v>
      </c>
      <c r="BF52" s="13">
        <f t="shared" si="37"/>
        <v>31.302468930496392</v>
      </c>
      <c r="BG52" s="20">
        <f t="shared" si="7"/>
        <v>260.73876672061448</v>
      </c>
      <c r="BH52" s="59">
        <f t="shared" si="8"/>
        <v>554.07210005394779</v>
      </c>
      <c r="BI52" s="59">
        <f ca="1">AVERAGE(OFFSET($BH$3,0,0,'Données projet'!$E$11+1,1))-AVERAGE(OFFSET($H$3,0,0,'Données projet'!$E$11+1,1))</f>
        <v>141.78548348627351</v>
      </c>
      <c r="BJ52" s="59">
        <f t="shared" si="38"/>
        <v>162.67012146297657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2.7112808876566432</v>
      </c>
      <c r="BR52" s="21">
        <f>EXP(-LN(2)/2)*BR51+(1-EXP(-LN(2)/2))/(LN(2)/2)*BL52*BO52*VLOOKUP('Données projet'!$B$11,Paramètres!$A$1:$I$89,3,0)*0.475*44/12</f>
        <v>9.8793916363914425E-3</v>
      </c>
      <c r="BS52" s="22">
        <f t="shared" si="9"/>
        <v>2.7211602792930347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-5.1431925385259088E-14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394.42011098756564</v>
      </c>
      <c r="T53" s="59">
        <f t="shared" si="34"/>
        <v>559.92215054152859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356</v>
      </c>
      <c r="AG53" s="12">
        <f>VLOOKUP(A53,'Données projet'!$A$61:$I$81,9,0)</f>
        <v>17.399999999999999</v>
      </c>
      <c r="AH53" s="12">
        <f t="array" ref="AH53">INDEX(AG:AG,MIN(IF(ISNUMBER(AG53:AG249),ROW(AG53:AG249),"")))</f>
        <v>17.399999999999999</v>
      </c>
      <c r="AI53" s="13">
        <f>IF('Données projet'!$A$62&gt;35,AI52+AH53-AQ52,IF(A53&lt;'Données projet'!$A$62,$AF$205^A53,IF(A53='Données projet'!$A$62,'Données projet'!$B$62,AI52+AH53-AQ52)))</f>
        <v>356</v>
      </c>
      <c r="AJ53" s="13">
        <f>AI53*VLOOKUP('Données projet'!$B$10,Paramètres!$A$1:$I$89,3,0)*VLOOKUP('Données projet'!$B$10,Paramètres!$A$1:$I$89,5,0)</f>
        <v>212.88800000000003</v>
      </c>
      <c r="AK53" s="13">
        <f t="shared" si="35"/>
        <v>52.566183800007245</v>
      </c>
      <c r="AL53" s="20">
        <f t="shared" si="4"/>
        <v>462.33270345167938</v>
      </c>
      <c r="AM53" s="59">
        <f t="shared" si="5"/>
        <v>755.66603678501269</v>
      </c>
      <c r="AN53" s="59">
        <f ca="1">AVERAGE(OFFSET($AM$3,0,0,'Données projet'!$E$10+1,1))-AVERAGE(OFFSET($H$3,0,0,'Données projet'!$E$10+1,1))</f>
        <v>263.03078346375446</v>
      </c>
      <c r="AO53" s="59">
        <f t="shared" si="36"/>
        <v>251.74283929680905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1.5111849720697939</v>
      </c>
      <c r="AW53" s="21">
        <f>EXP(-LN(2)/2)*AW52+(1-EXP(-LN(2)/2))/(LN(2)/2)*AQ53*AT53*VLOOKUP('Données projet'!$B$10,Paramètres!$A$1:$I$89,3,0)*0.475*44/12</f>
        <v>9.9352935437990058E-4</v>
      </c>
      <c r="AX53" s="21">
        <f t="shared" si="6"/>
        <v>1.5121785014241738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260</v>
      </c>
      <c r="BB53" s="12">
        <f>VLOOKUP(A53,'Données projet'!$A$87:$I$107,9,0)</f>
        <v>7</v>
      </c>
      <c r="BC53" s="12">
        <f t="array" ref="BC53">INDEX(BB:BB,MIN(IF(ISNUMBER(BB53:BB249),ROW(BB53:BB249),"")))</f>
        <v>7</v>
      </c>
      <c r="BD53" s="12">
        <f>IF('Données projet'!$A$88&gt;35,BD52+BC53-BL52,IF(A53&lt;'Données projet'!$A$88,$BA$205^A53,IF(A53='Données projet'!$A$88,'Données projet'!$B$88,BD52+BC53-BL52)))</f>
        <v>260</v>
      </c>
      <c r="BE53" s="13">
        <f>BD53*VLOOKUP('Données projet'!$B$11,Paramètres!$A$1:$I$89,3,0)*VLOOKUP('Données projet'!$B$11,Paramètres!$A$1:$I$89,5,0)</f>
        <v>121.67999999999999</v>
      </c>
      <c r="BF53" s="13">
        <f t="shared" si="37"/>
        <v>32.066514091456256</v>
      </c>
      <c r="BG53" s="20">
        <f t="shared" si="7"/>
        <v>267.77517870928631</v>
      </c>
      <c r="BH53" s="59">
        <f t="shared" si="8"/>
        <v>561.10851204261962</v>
      </c>
      <c r="BI53" s="59">
        <f ca="1">AVERAGE(OFFSET($BH$3,0,0,'Données projet'!$E$11+1,1))-AVERAGE(OFFSET($H$3,0,0,'Données projet'!$E$11+1,1))</f>
        <v>141.78548348627351</v>
      </c>
      <c r="BJ53" s="59">
        <f t="shared" si="38"/>
        <v>162.67012146297657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39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2.6371407692036071</v>
      </c>
      <c r="BR53" s="21">
        <f>EXP(-LN(2)/2)*BR52+(1-EXP(-LN(2)/2))/(LN(2)/2)*BL53*BO53*VLOOKUP('Données projet'!$B$11,Paramètres!$A$1:$I$89,3,0)*0.475*44/12</f>
        <v>6.9857848200900515E-3</v>
      </c>
      <c r="BS53" s="22">
        <f t="shared" si="9"/>
        <v>2.6441265540236971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-5.1431925385259088E-14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394.42011098756564</v>
      </c>
      <c r="T54" s="59">
        <f t="shared" si="34"/>
        <v>559.92215054152859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17.625</v>
      </c>
      <c r="AI54" s="13">
        <f>IF('Données projet'!$A$62&gt;35,AI53+AH54-AQ53,IF(A54&lt;'Données projet'!$A$62,$AF$205^A54,IF(A54='Données projet'!$A$62,'Données projet'!$B$62,AI53+AH54-AQ53)))</f>
        <v>373.625</v>
      </c>
      <c r="AJ54" s="13">
        <f>AI54*VLOOKUP('Données projet'!$B$10,Paramètres!$A$1:$I$89,3,0)*VLOOKUP('Données projet'!$B$10,Paramètres!$A$1:$I$89,5,0)</f>
        <v>223.42775</v>
      </c>
      <c r="AK54" s="13">
        <f t="shared" si="35"/>
        <v>54.859218565379024</v>
      </c>
      <c r="AL54" s="20">
        <f t="shared" si="4"/>
        <v>484.68313691803513</v>
      </c>
      <c r="AM54" s="59">
        <f t="shared" si="5"/>
        <v>778.01647025136845</v>
      </c>
      <c r="AN54" s="59">
        <f ca="1">AVERAGE(OFFSET($AM$3,0,0,'Données projet'!$E$10+1,1))-AVERAGE(OFFSET($H$3,0,0,'Données projet'!$E$10+1,1))</f>
        <v>263.03078346375446</v>
      </c>
      <c r="AO54" s="59">
        <f t="shared" si="36"/>
        <v>251.74283929680905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1.4698615395387815</v>
      </c>
      <c r="AW54" s="21">
        <f>EXP(-LN(2)/2)*AW53+(1-EXP(-LN(2)/2))/(LN(2)/2)*AQ54*AT54*VLOOKUP('Données projet'!$B$10,Paramètres!$A$1:$I$89,3,0)*0.475*44/12</f>
        <v>7.025313437899202E-4</v>
      </c>
      <c r="AX54" s="21">
        <f t="shared" si="6"/>
        <v>1.4705640708825714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229</v>
      </c>
      <c r="BE54" s="13">
        <f>BD54*VLOOKUP('Données projet'!$B$11,Paramètres!$A$1:$I$89,3,0)*VLOOKUP('Données projet'!$B$11,Paramètres!$A$1:$I$89,5,0)</f>
        <v>107.172</v>
      </c>
      <c r="BF54" s="13">
        <f t="shared" si="37"/>
        <v>28.663679082578788</v>
      </c>
      <c r="BG54" s="20">
        <f t="shared" si="7"/>
        <v>236.58047440215805</v>
      </c>
      <c r="BH54" s="59">
        <f t="shared" si="8"/>
        <v>529.91380773549133</v>
      </c>
      <c r="BI54" s="59">
        <f ca="1">AVERAGE(OFFSET($BH$3,0,0,'Données projet'!$E$11+1,1))-AVERAGE(OFFSET($H$3,0,0,'Données projet'!$E$11+1,1))</f>
        <v>141.78548348627351</v>
      </c>
      <c r="BJ54" s="59">
        <f t="shared" si="38"/>
        <v>162.67012146297657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2.5650280161885286</v>
      </c>
      <c r="BR54" s="21">
        <f>EXP(-LN(2)/2)*BR53+(1-EXP(-LN(2)/2))/(LN(2)/2)*BL54*BO54*VLOOKUP('Données projet'!$B$11,Paramètres!$A$1:$I$89,3,0)*0.475*44/12</f>
        <v>4.9396958181957213E-3</v>
      </c>
      <c r="BS54" s="22">
        <f t="shared" si="9"/>
        <v>2.5699677120067244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-5.1431925385259088E-14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394.42011098756564</v>
      </c>
      <c r="T55" s="59">
        <f t="shared" si="34"/>
        <v>559.92215054152859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17.625</v>
      </c>
      <c r="AI55" s="13">
        <f>IF('Données projet'!$A$62&gt;35,AI54+AH55-AQ54,IF(A55&lt;'Données projet'!$A$62,$AF$205^A55,IF(A55='Données projet'!$A$62,'Données projet'!$B$62,AI54+AH55-AQ54)))</f>
        <v>391.25</v>
      </c>
      <c r="AJ55" s="13">
        <f>AI55*VLOOKUP('Données projet'!$B$10,Paramètres!$A$1:$I$89,3,0)*VLOOKUP('Données projet'!$B$10,Paramètres!$A$1:$I$89,5,0)</f>
        <v>233.9675</v>
      </c>
      <c r="AK55" s="13">
        <f t="shared" si="35"/>
        <v>57.139692015204375</v>
      </c>
      <c r="AL55" s="20">
        <f t="shared" si="4"/>
        <v>507.0116927598142</v>
      </c>
      <c r="AM55" s="59">
        <f t="shared" si="5"/>
        <v>800.34502609314745</v>
      </c>
      <c r="AN55" s="59">
        <f ca="1">AVERAGE(OFFSET($AM$3,0,0,'Données projet'!$E$10+1,1))-AVERAGE(OFFSET($H$3,0,0,'Données projet'!$E$10+1,1))</f>
        <v>263.03078346375446</v>
      </c>
      <c r="AO55" s="59">
        <f t="shared" si="36"/>
        <v>251.74283929680905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1.4296680984434347</v>
      </c>
      <c r="AW55" s="21">
        <f>EXP(-LN(2)/2)*AW54+(1-EXP(-LN(2)/2))/(LN(2)/2)*AQ55*AT55*VLOOKUP('Données projet'!$B$10,Paramètres!$A$1:$I$89,3,0)*0.475*44/12</f>
        <v>4.9676467718995029E-4</v>
      </c>
      <c r="AX55" s="21">
        <f t="shared" si="6"/>
        <v>1.4301648631206245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237</v>
      </c>
      <c r="BE55" s="13">
        <f>BD55*VLOOKUP('Données projet'!$B$11,Paramètres!$A$1:$I$89,3,0)*VLOOKUP('Données projet'!$B$11,Paramètres!$A$1:$I$89,5,0)</f>
        <v>110.916</v>
      </c>
      <c r="BF55" s="13">
        <f t="shared" si="37"/>
        <v>29.546697044802634</v>
      </c>
      <c r="BG55" s="20">
        <f t="shared" si="7"/>
        <v>244.63919735303125</v>
      </c>
      <c r="BH55" s="59">
        <f t="shared" si="8"/>
        <v>537.97253068636451</v>
      </c>
      <c r="BI55" s="59">
        <f ca="1">AVERAGE(OFFSET($BH$3,0,0,'Données projet'!$E$11+1,1))-AVERAGE(OFFSET($H$3,0,0,'Données projet'!$E$11+1,1))</f>
        <v>141.78548348627351</v>
      </c>
      <c r="BJ55" s="59">
        <f t="shared" si="38"/>
        <v>162.67012146297657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2.4948871901968923</v>
      </c>
      <c r="BR55" s="21">
        <f>EXP(-LN(2)/2)*BR54+(1-EXP(-LN(2)/2))/(LN(2)/2)*BL55*BO55*VLOOKUP('Données projet'!$B$11,Paramètres!$A$1:$I$89,3,0)*0.475*44/12</f>
        <v>3.4928924100450258E-3</v>
      </c>
      <c r="BS55" s="22">
        <f t="shared" si="9"/>
        <v>2.4983800826069373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-5.1431925385259088E-14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394.42011098756564</v>
      </c>
      <c r="T56" s="59">
        <f t="shared" si="34"/>
        <v>559.92215054152859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17.625</v>
      </c>
      <c r="AI56" s="13">
        <f>IF('Données projet'!$A$62&gt;35,AI55+AH56-AQ55,IF(A56&lt;'Données projet'!$A$62,$AF$205^A56,IF(A56='Données projet'!$A$62,'Données projet'!$B$62,AI55+AH56-AQ55)))</f>
        <v>408.875</v>
      </c>
      <c r="AJ56" s="13">
        <f>AI56*VLOOKUP('Données projet'!$B$10,Paramètres!$A$1:$I$89,3,0)*VLOOKUP('Données projet'!$B$10,Paramètres!$A$1:$I$89,5,0)</f>
        <v>244.50725000000003</v>
      </c>
      <c r="AK56" s="13">
        <f t="shared" si="35"/>
        <v>59.408234659214905</v>
      </c>
      <c r="AL56" s="20">
        <f t="shared" si="4"/>
        <v>529.31946911479929</v>
      </c>
      <c r="AM56" s="59">
        <f t="shared" si="5"/>
        <v>822.65280244813266</v>
      </c>
      <c r="AN56" s="59">
        <f ca="1">AVERAGE(OFFSET($AM$3,0,0,'Données projet'!$E$10+1,1))-AVERAGE(OFFSET($H$3,0,0,'Données projet'!$E$10+1,1))</f>
        <v>263.03078346375446</v>
      </c>
      <c r="AO56" s="59">
        <f t="shared" si="36"/>
        <v>251.74283929680905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1.3905737491085213</v>
      </c>
      <c r="AW56" s="21">
        <f>EXP(-LN(2)/2)*AW55+(1-EXP(-LN(2)/2))/(LN(2)/2)*AQ56*AT56*VLOOKUP('Données projet'!$B$10,Paramètres!$A$1:$I$89,3,0)*0.475*44/12</f>
        <v>3.512656718949601E-4</v>
      </c>
      <c r="AX56" s="21">
        <f t="shared" si="6"/>
        <v>1.3909250147804162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245</v>
      </c>
      <c r="BE56" s="13">
        <f>BD56*VLOOKUP('Données projet'!$B$11,Paramètres!$A$1:$I$89,3,0)*VLOOKUP('Données projet'!$B$11,Paramètres!$A$1:$I$89,5,0)</f>
        <v>114.66000000000001</v>
      </c>
      <c r="BF56" s="13">
        <f t="shared" si="37"/>
        <v>30.426251641117418</v>
      </c>
      <c r="BG56" s="20">
        <f t="shared" si="7"/>
        <v>252.69188827494614</v>
      </c>
      <c r="BH56" s="59">
        <f t="shared" si="8"/>
        <v>546.02522160827948</v>
      </c>
      <c r="BI56" s="59">
        <f ca="1">AVERAGE(OFFSET($BH$3,0,0,'Données projet'!$E$11+1,1))-AVERAGE(OFFSET($H$3,0,0,'Données projet'!$E$11+1,1))</f>
        <v>141.78548348627351</v>
      </c>
      <c r="BJ56" s="59">
        <f t="shared" si="38"/>
        <v>162.67012146297657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2.4266643687805431</v>
      </c>
      <c r="BR56" s="21">
        <f>EXP(-LN(2)/2)*BR55+(1-EXP(-LN(2)/2))/(LN(2)/2)*BL56*BO56*VLOOKUP('Données projet'!$B$11,Paramètres!$A$1:$I$89,3,0)*0.475*44/12</f>
        <v>2.4698479090978606E-3</v>
      </c>
      <c r="BS56" s="22">
        <f t="shared" si="9"/>
        <v>2.4291342166896408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-5.1431925385259088E-14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394.42011098756564</v>
      </c>
      <c r="T57" s="59">
        <f t="shared" si="34"/>
        <v>559.92215054152859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17.625</v>
      </c>
      <c r="AI57" s="13">
        <f>IF('Données projet'!$A$62&gt;35,AI56+AH57-AQ56,IF(A57&lt;'Données projet'!$A$62,$AF$205^A57,IF(A57='Données projet'!$A$62,'Données projet'!$B$62,AI56+AH57-AQ56)))</f>
        <v>426.5</v>
      </c>
      <c r="AJ57" s="13">
        <f>AI57*VLOOKUP('Données projet'!$B$10,Paramètres!$A$1:$I$89,3,0)*VLOOKUP('Données projet'!$B$10,Paramètres!$A$1:$I$89,5,0)</f>
        <v>255.047</v>
      </c>
      <c r="AK57" s="13">
        <f t="shared" si="35"/>
        <v>61.665419575334546</v>
      </c>
      <c r="AL57" s="20">
        <f t="shared" si="4"/>
        <v>551.60746409370768</v>
      </c>
      <c r="AM57" s="59">
        <f t="shared" si="5"/>
        <v>844.94079742704093</v>
      </c>
      <c r="AN57" s="59">
        <f ca="1">AVERAGE(OFFSET($AM$3,0,0,'Données projet'!$E$10+1,1))-AVERAGE(OFFSET($H$3,0,0,'Données projet'!$E$10+1,1))</f>
        <v>263.03078346375446</v>
      </c>
      <c r="AO57" s="59">
        <f t="shared" si="36"/>
        <v>251.74283929680905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1.3525484368120535</v>
      </c>
      <c r="AW57" s="21">
        <f>EXP(-LN(2)/2)*AW56+(1-EXP(-LN(2)/2))/(LN(2)/2)*AQ57*AT57*VLOOKUP('Données projet'!$B$10,Paramètres!$A$1:$I$89,3,0)*0.475*44/12</f>
        <v>2.4838233859497515E-4</v>
      </c>
      <c r="AX57" s="21">
        <f t="shared" si="6"/>
        <v>1.3527968191506485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253</v>
      </c>
      <c r="BE57" s="13">
        <f>BD57*VLOOKUP('Données projet'!$B$11,Paramètres!$A$1:$I$89,3,0)*VLOOKUP('Données projet'!$B$11,Paramètres!$A$1:$I$89,5,0)</f>
        <v>118.404</v>
      </c>
      <c r="BF57" s="13">
        <f t="shared" si="37"/>
        <v>31.302468930496392</v>
      </c>
      <c r="BG57" s="20">
        <f t="shared" si="7"/>
        <v>260.73876672061448</v>
      </c>
      <c r="BH57" s="59">
        <f t="shared" si="8"/>
        <v>554.07210005394779</v>
      </c>
      <c r="BI57" s="59">
        <f ca="1">AVERAGE(OFFSET($BH$3,0,0,'Données projet'!$E$11+1,1))-AVERAGE(OFFSET($H$3,0,0,'Données projet'!$E$11+1,1))</f>
        <v>141.78548348627351</v>
      </c>
      <c r="BJ57" s="59">
        <f t="shared" si="38"/>
        <v>162.67012146297657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2.3603071040035064</v>
      </c>
      <c r="BR57" s="21">
        <f>EXP(-LN(2)/2)*BR56+(1-EXP(-LN(2)/2))/(LN(2)/2)*BL57*BO57*VLOOKUP('Données projet'!$B$11,Paramètres!$A$1:$I$89,3,0)*0.475*44/12</f>
        <v>1.7464462050225129E-3</v>
      </c>
      <c r="BS57" s="22">
        <f t="shared" si="9"/>
        <v>2.3620535502085289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-5.1431925385259088E-14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394.42011098756564</v>
      </c>
      <c r="T58" s="59">
        <f t="shared" si="34"/>
        <v>559.92215054152859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17.625</v>
      </c>
      <c r="AI58" s="13">
        <f>IF('Données projet'!$A$62&gt;35,AI57+AH58-AQ57,IF(A58&lt;'Données projet'!$A$62,$AF$205^A58,IF(A58='Données projet'!$A$62,'Données projet'!$B$62,AI57+AH58-AQ57)))</f>
        <v>444.125</v>
      </c>
      <c r="AJ58" s="13">
        <f>AI58*VLOOKUP('Données projet'!$B$10,Paramètres!$A$1:$I$89,3,0)*VLOOKUP('Données projet'!$B$10,Paramètres!$A$1:$I$89,5,0)</f>
        <v>265.58675000000005</v>
      </c>
      <c r="AK58" s="13">
        <f t="shared" si="35"/>
        <v>63.911769796951255</v>
      </c>
      <c r="AL58" s="20">
        <f t="shared" si="4"/>
        <v>573.87658864635682</v>
      </c>
      <c r="AM58" s="59">
        <f t="shared" si="5"/>
        <v>867.20992197969008</v>
      </c>
      <c r="AN58" s="59">
        <f ca="1">AVERAGE(OFFSET($AM$3,0,0,'Données projet'!$E$10+1,1))-AVERAGE(OFFSET($H$3,0,0,'Données projet'!$E$10+1,1))</f>
        <v>263.03078346375446</v>
      </c>
      <c r="AO58" s="59">
        <f t="shared" si="36"/>
        <v>251.74283929680905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1.3155629286799968</v>
      </c>
      <c r="AW58" s="21">
        <f>EXP(-LN(2)/2)*AW57+(1-EXP(-LN(2)/2))/(LN(2)/2)*AQ58*AT58*VLOOKUP('Données projet'!$B$10,Paramètres!$A$1:$I$89,3,0)*0.475*44/12</f>
        <v>1.7563283594748005E-4</v>
      </c>
      <c r="AX58" s="21">
        <f t="shared" si="6"/>
        <v>1.3157385615159443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261</v>
      </c>
      <c r="BE58" s="13">
        <f>BD58*VLOOKUP('Données projet'!$B$11,Paramètres!$A$1:$I$89,3,0)*VLOOKUP('Données projet'!$B$11,Paramètres!$A$1:$I$89,5,0)</f>
        <v>122.148</v>
      </c>
      <c r="BF58" s="13">
        <f t="shared" si="37"/>
        <v>32.175466547071615</v>
      </c>
      <c r="BG58" s="20">
        <f t="shared" si="7"/>
        <v>268.78003756948306</v>
      </c>
      <c r="BH58" s="59">
        <f t="shared" si="8"/>
        <v>562.11337090281631</v>
      </c>
      <c r="BI58" s="59">
        <f ca="1">AVERAGE(OFFSET($BH$3,0,0,'Données projet'!$E$11+1,1))-AVERAGE(OFFSET($H$3,0,0,'Données projet'!$E$11+1,1))</f>
        <v>141.78548348627351</v>
      </c>
      <c r="BJ58" s="59">
        <f t="shared" si="38"/>
        <v>162.67012146297657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2.2957643821213747</v>
      </c>
      <c r="BR58" s="21">
        <f>EXP(-LN(2)/2)*BR57+(1-EXP(-LN(2)/2))/(LN(2)/2)*BL58*BO58*VLOOKUP('Données projet'!$B$11,Paramètres!$A$1:$I$89,3,0)*0.475*44/12</f>
        <v>1.2349239545489303E-3</v>
      </c>
      <c r="BS58" s="22">
        <f t="shared" si="9"/>
        <v>2.2969993060759237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-5.1431925385259088E-14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394.42011098756564</v>
      </c>
      <c r="T59" s="59">
        <f t="shared" si="34"/>
        <v>559.92215054152859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17.625</v>
      </c>
      <c r="AI59" s="13">
        <f>IF('Données projet'!$A$62&gt;35,AI58+AH59-AQ58,IF(A59&lt;'Données projet'!$A$62,$AF$205^A59,IF(A59='Données projet'!$A$62,'Données projet'!$B$62,AI58+AH59-AQ58)))</f>
        <v>461.75</v>
      </c>
      <c r="AJ59" s="13">
        <f>AI59*VLOOKUP('Données projet'!$B$10,Paramètres!$A$1:$I$89,3,0)*VLOOKUP('Données projet'!$B$10,Paramètres!$A$1:$I$89,5,0)</f>
        <v>276.12650000000002</v>
      </c>
      <c r="AK59" s="13">
        <f t="shared" si="35"/>
        <v>66.147764494536631</v>
      </c>
      <c r="AL59" s="20">
        <f t="shared" si="4"/>
        <v>596.12767732798454</v>
      </c>
      <c r="AM59" s="59">
        <f t="shared" si="5"/>
        <v>889.46101066131791</v>
      </c>
      <c r="AN59" s="59">
        <f ca="1">AVERAGE(OFFSET($AM$3,0,0,'Données projet'!$E$10+1,1))-AVERAGE(OFFSET($H$3,0,0,'Données projet'!$E$10+1,1))</f>
        <v>263.03078346375446</v>
      </c>
      <c r="AO59" s="59">
        <f t="shared" si="36"/>
        <v>251.74283929680905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1.2795887912127946</v>
      </c>
      <c r="AW59" s="21">
        <f>EXP(-LN(2)/2)*AW58+(1-EXP(-LN(2)/2))/(LN(2)/2)*AQ59*AT59*VLOOKUP('Données projet'!$B$10,Paramètres!$A$1:$I$89,3,0)*0.475*44/12</f>
        <v>1.2419116929748757E-4</v>
      </c>
      <c r="AX59" s="21">
        <f t="shared" si="6"/>
        <v>1.2797129823820921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</v>
      </c>
      <c r="BD59" s="12">
        <f>IF('Données projet'!$A$88&gt;35,BD58+BC59-BL58,IF(A59&lt;'Données projet'!$A$88,$BA$205^A59,IF(A59='Données projet'!$A$88,'Données projet'!$B$88,BD58+BC59-BL58)))</f>
        <v>269</v>
      </c>
      <c r="BE59" s="13">
        <f>BD59*VLOOKUP('Données projet'!$B$11,Paramètres!$A$1:$I$89,3,0)*VLOOKUP('Données projet'!$B$11,Paramètres!$A$1:$I$89,5,0)</f>
        <v>125.89200000000001</v>
      </c>
      <c r="BF59" s="13">
        <f t="shared" si="37"/>
        <v>33.045354503968632</v>
      </c>
      <c r="BG59" s="20">
        <f t="shared" si="7"/>
        <v>276.81589242774538</v>
      </c>
      <c r="BH59" s="59">
        <f t="shared" si="8"/>
        <v>570.1492257610787</v>
      </c>
      <c r="BI59" s="59">
        <f ca="1">AVERAGE(OFFSET($BH$3,0,0,'Données projet'!$E$11+1,1))-AVERAGE(OFFSET($H$3,0,0,'Données projet'!$E$11+1,1))</f>
        <v>141.78548348627351</v>
      </c>
      <c r="BJ59" s="59">
        <f t="shared" si="38"/>
        <v>162.67012146297657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2.2329865843632639</v>
      </c>
      <c r="BR59" s="21">
        <f>EXP(-LN(2)/2)*BR58+(1-EXP(-LN(2)/2))/(LN(2)/2)*BL59*BO59*VLOOKUP('Données projet'!$B$11,Paramètres!$A$1:$I$89,3,0)*0.475*44/12</f>
        <v>8.7322310251125644E-4</v>
      </c>
      <c r="BS59" s="22">
        <f t="shared" si="9"/>
        <v>2.2338598074657754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-5.1431925385259088E-14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394.42011098756564</v>
      </c>
      <c r="T60" s="59">
        <f t="shared" si="34"/>
        <v>559.92215054152859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17.625</v>
      </c>
      <c r="AI60" s="13">
        <f>IF('Données projet'!$A$62&gt;35,AI59+AH60-AQ59,IF(A60&lt;'Données projet'!$A$62,$AF$205^A60,IF(A60='Données projet'!$A$62,'Données projet'!$B$62,AI59+AH60-AQ59)))</f>
        <v>479.375</v>
      </c>
      <c r="AJ60" s="13">
        <f>AI60*VLOOKUP('Données projet'!$B$10,Paramètres!$A$1:$I$89,3,0)*VLOOKUP('Données projet'!$B$10,Paramètres!$A$1:$I$89,5,0)</f>
        <v>286.66625000000005</v>
      </c>
      <c r="AK60" s="13">
        <f t="shared" si="35"/>
        <v>68.373844186912351</v>
      </c>
      <c r="AL60" s="20">
        <f t="shared" si="4"/>
        <v>618.36149737553899</v>
      </c>
      <c r="AM60" s="59">
        <f t="shared" si="5"/>
        <v>911.69483070887236</v>
      </c>
      <c r="AN60" s="59">
        <f ca="1">AVERAGE(OFFSET($AM$3,0,0,'Données projet'!$E$10+1,1))-AVERAGE(OFFSET($H$3,0,0,'Données projet'!$E$10+1,1))</f>
        <v>263.03078346375446</v>
      </c>
      <c r="AO60" s="59">
        <f t="shared" si="36"/>
        <v>251.74283929680905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1.2445983684264308</v>
      </c>
      <c r="AW60" s="21">
        <f>EXP(-LN(2)/2)*AW59+(1-EXP(-LN(2)/2))/(LN(2)/2)*AQ60*AT60*VLOOKUP('Données projet'!$B$10,Paramètres!$A$1:$I$89,3,0)*0.475*44/12</f>
        <v>8.7816417973740025E-5</v>
      </c>
      <c r="AX60" s="21">
        <f t="shared" si="6"/>
        <v>1.2446861848444046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</v>
      </c>
      <c r="BD60" s="12">
        <f>IF('Données projet'!$A$88&gt;35,BD59+BC60-BL59,IF(A60&lt;'Données projet'!$A$88,$BA$205^A60,IF(A60='Données projet'!$A$88,'Données projet'!$B$88,BD59+BC60-BL59)))</f>
        <v>277</v>
      </c>
      <c r="BE60" s="13">
        <f>BD60*VLOOKUP('Données projet'!$B$11,Paramètres!$A$1:$I$89,3,0)*VLOOKUP('Données projet'!$B$11,Paramètres!$A$1:$I$89,5,0)</f>
        <v>129.636</v>
      </c>
      <c r="BF60" s="13">
        <f t="shared" si="37"/>
        <v>33.912235898830978</v>
      </c>
      <c r="BG60" s="20">
        <f t="shared" si="7"/>
        <v>284.84651085713057</v>
      </c>
      <c r="BH60" s="59">
        <f t="shared" si="8"/>
        <v>578.17984419046388</v>
      </c>
      <c r="BI60" s="59">
        <f ca="1">AVERAGE(OFFSET($BH$3,0,0,'Données projet'!$E$11+1,1))-AVERAGE(OFFSET($H$3,0,0,'Données projet'!$E$11+1,1))</f>
        <v>141.78548348627351</v>
      </c>
      <c r="BJ60" s="59">
        <f t="shared" si="38"/>
        <v>162.67012146297657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2.1719254487861894</v>
      </c>
      <c r="BR60" s="21">
        <f>EXP(-LN(2)/2)*BR59+(1-EXP(-LN(2)/2))/(LN(2)/2)*BL60*BO60*VLOOKUP('Données projet'!$B$11,Paramètres!$A$1:$I$89,3,0)*0.475*44/12</f>
        <v>6.1746197727446516E-4</v>
      </c>
      <c r="BS60" s="22">
        <f t="shared" si="9"/>
        <v>2.1725429107634637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-5.1431925385259088E-14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394.42011098756564</v>
      </c>
      <c r="T61" s="59">
        <f t="shared" si="34"/>
        <v>559.92215054152859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497</v>
      </c>
      <c r="AG61" s="12">
        <f>VLOOKUP(A61,'Données projet'!$A$61:$I$81,9,0)</f>
        <v>17.625</v>
      </c>
      <c r="AH61" s="12">
        <f t="array" ref="AH61">INDEX(AG:AG,MIN(IF(ISNUMBER(AG61:AG257),ROW(AG61:AG257),"")))</f>
        <v>17.625</v>
      </c>
      <c r="AI61" s="13">
        <f>IF('Données projet'!$A$62&gt;35,AI60+AH61-AQ60,IF(A61&lt;'Données projet'!$A$62,$AF$205^A61,IF(A61='Données projet'!$A$62,'Données projet'!$B$62,AI60+AH61-AQ60)))</f>
        <v>497</v>
      </c>
      <c r="AJ61" s="13">
        <f>AI61*VLOOKUP('Données projet'!$B$10,Paramètres!$A$1:$I$89,3,0)*VLOOKUP('Données projet'!$B$10,Paramètres!$A$1:$I$89,5,0)</f>
        <v>297.20600000000002</v>
      </c>
      <c r="AK61" s="13">
        <f t="shared" si="35"/>
        <v>70.590415164571112</v>
      </c>
      <c r="AL61" s="20">
        <f t="shared" si="4"/>
        <v>640.57875641162809</v>
      </c>
      <c r="AM61" s="59">
        <f t="shared" si="5"/>
        <v>933.91208974496135</v>
      </c>
      <c r="AN61" s="59">
        <f ca="1">AVERAGE(OFFSET($AM$3,0,0,'Données projet'!$E$10+1,1))-AVERAGE(OFFSET($H$3,0,0,'Données projet'!$E$10+1,1))</f>
        <v>263.03078346375446</v>
      </c>
      <c r="AO61" s="59">
        <f t="shared" si="36"/>
        <v>251.74283929680905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131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1.2105647605912264</v>
      </c>
      <c r="AW61" s="21">
        <f>EXP(-LN(2)/2)*AW60+(1-EXP(-LN(2)/2))/(LN(2)/2)*AQ61*AT61*VLOOKUP('Données projet'!$B$10,Paramètres!$A$1:$I$89,3,0)*0.475*44/12</f>
        <v>6.2095584648743786E-5</v>
      </c>
      <c r="AX61" s="21">
        <f t="shared" si="6"/>
        <v>1.2106268561758751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</v>
      </c>
      <c r="BD61" s="12">
        <f>IF('Données projet'!$A$88&gt;35,BD60+BC61-BL60,IF(A61&lt;'Données projet'!$A$88,$BA$205^A61,IF(A61='Données projet'!$A$88,'Données projet'!$B$88,BD60+BC61-BL60)))</f>
        <v>285</v>
      </c>
      <c r="BE61" s="13">
        <f>BD61*VLOOKUP('Données projet'!$B$11,Paramètres!$A$1:$I$89,3,0)*VLOOKUP('Données projet'!$B$11,Paramètres!$A$1:$I$89,5,0)</f>
        <v>133.38</v>
      </c>
      <c r="BF61" s="13">
        <f t="shared" si="37"/>
        <v>34.776207535548991</v>
      </c>
      <c r="BG61" s="20">
        <f t="shared" si="7"/>
        <v>292.8720614577478</v>
      </c>
      <c r="BH61" s="59">
        <f t="shared" si="8"/>
        <v>586.20539479108106</v>
      </c>
      <c r="BI61" s="59">
        <f ca="1">AVERAGE(OFFSET($BH$3,0,0,'Données projet'!$E$11+1,1))-AVERAGE(OFFSET($H$3,0,0,'Données projet'!$E$11+1,1))</f>
        <v>141.78548348627351</v>
      </c>
      <c r="BJ61" s="59">
        <f t="shared" si="38"/>
        <v>162.67012146297657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2.1125340331725355</v>
      </c>
      <c r="BR61" s="21">
        <f>EXP(-LN(2)/2)*BR60+(1-EXP(-LN(2)/2))/(LN(2)/2)*BL61*BO61*VLOOKUP('Données projet'!$B$11,Paramètres!$A$1:$I$89,3,0)*0.475*44/12</f>
        <v>4.3661155125562822E-4</v>
      </c>
      <c r="BS61" s="22">
        <f t="shared" si="9"/>
        <v>2.112970644723791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-5.1431925385259088E-14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394.42011098756564</v>
      </c>
      <c r="T62" s="59">
        <f t="shared" si="34"/>
        <v>559.92215054152859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16.625</v>
      </c>
      <c r="AI62" s="13">
        <f>IF('Données projet'!$A$62&gt;35,AI61+AH62-AQ61,IF(A62&lt;'Données projet'!$A$62,$AF$205^A62,IF(A62='Données projet'!$A$62,'Données projet'!$B$62,AI61+AH62-AQ61)))</f>
        <v>382.625</v>
      </c>
      <c r="AJ62" s="13">
        <f>AI62*VLOOKUP('Données projet'!$B$10,Paramètres!$A$1:$I$89,3,0)*VLOOKUP('Données projet'!$B$10,Paramètres!$A$1:$I$89,5,0)</f>
        <v>228.80975000000004</v>
      </c>
      <c r="AK62" s="13">
        <f t="shared" si="35"/>
        <v>56.025243990472688</v>
      </c>
      <c r="AL62" s="20">
        <f t="shared" si="4"/>
        <v>496.08761453340668</v>
      </c>
      <c r="AM62" s="59">
        <f t="shared" si="5"/>
        <v>789.42094786673999</v>
      </c>
      <c r="AN62" s="59">
        <f ca="1">AVERAGE(OFFSET($AM$3,0,0,'Données projet'!$E$10+1,1))-AVERAGE(OFFSET($H$3,0,0,'Données projet'!$E$10+1,1))</f>
        <v>263.03078346375446</v>
      </c>
      <c r="AO62" s="59">
        <f t="shared" si="36"/>
        <v>251.74283929680905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1.1774618035520255</v>
      </c>
      <c r="AW62" s="21">
        <f>EXP(-LN(2)/2)*AW61+(1-EXP(-LN(2)/2))/(LN(2)/2)*AQ62*AT62*VLOOKUP('Données projet'!$B$10,Paramètres!$A$1:$I$89,3,0)*0.475*44/12</f>
        <v>4.3908208986870012E-5</v>
      </c>
      <c r="AX62" s="21">
        <f t="shared" si="6"/>
        <v>1.1775057117610124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</v>
      </c>
      <c r="BD62" s="12">
        <f>IF('Données projet'!$A$88&gt;35,BD61+BC62-BL61,IF(A62&lt;'Données projet'!$A$88,$BA$205^A62,IF(A62='Données projet'!$A$88,'Données projet'!$B$88,BD61+BC62-BL61)))</f>
        <v>293</v>
      </c>
      <c r="BE62" s="13">
        <f>BD62*VLOOKUP('Données projet'!$B$11,Paramètres!$A$1:$I$89,3,0)*VLOOKUP('Données projet'!$B$11,Paramètres!$A$1:$I$89,5,0)</f>
        <v>137.124</v>
      </c>
      <c r="BF62" s="13">
        <f t="shared" si="37"/>
        <v>35.637360474218589</v>
      </c>
      <c r="BG62" s="20">
        <f t="shared" si="7"/>
        <v>300.89270282593071</v>
      </c>
      <c r="BH62" s="59">
        <f t="shared" si="8"/>
        <v>594.22603615926403</v>
      </c>
      <c r="BI62" s="59">
        <f ca="1">AVERAGE(OFFSET($BH$3,0,0,'Données projet'!$E$11+1,1))-AVERAGE(OFFSET($H$3,0,0,'Données projet'!$E$11+1,1))</f>
        <v>141.78548348627351</v>
      </c>
      <c r="BJ62" s="59">
        <f t="shared" si="38"/>
        <v>162.67012146297657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2.0547666789420962</v>
      </c>
      <c r="BR62" s="21">
        <f>EXP(-LN(2)/2)*BR61+(1-EXP(-LN(2)/2))/(LN(2)/2)*BL62*BO62*VLOOKUP('Données projet'!$B$11,Paramètres!$A$1:$I$89,3,0)*0.475*44/12</f>
        <v>3.0873098863723258E-4</v>
      </c>
      <c r="BS62" s="22">
        <f t="shared" si="9"/>
        <v>2.0550754099307333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-5.1431925385259088E-14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394.42011098756564</v>
      </c>
      <c r="T63" s="59">
        <f t="shared" si="34"/>
        <v>559.92215054152859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16.625</v>
      </c>
      <c r="AI63" s="13">
        <f>IF('Données projet'!$A$62&gt;35,AI62+AH63-AQ62,IF(A63&lt;'Données projet'!$A$62,$AF$205^A63,IF(A63='Données projet'!$A$62,'Données projet'!$B$62,AI62+AH63-AQ62)))</f>
        <v>399.25</v>
      </c>
      <c r="AJ63" s="13">
        <f>AI63*VLOOKUP('Données projet'!$B$10,Paramètres!$A$1:$I$89,3,0)*VLOOKUP('Données projet'!$B$10,Paramètres!$A$1:$I$89,5,0)</f>
        <v>238.75150000000002</v>
      </c>
      <c r="AK63" s="13">
        <f t="shared" si="35"/>
        <v>58.170828139420117</v>
      </c>
      <c r="AL63" s="20">
        <f t="shared" si="4"/>
        <v>517.13972150948996</v>
      </c>
      <c r="AM63" s="59">
        <f t="shared" si="5"/>
        <v>810.47305484282333</v>
      </c>
      <c r="AN63" s="59">
        <f ca="1">AVERAGE(OFFSET($AM$3,0,0,'Données projet'!$E$10+1,1))-AVERAGE(OFFSET($H$3,0,0,'Données projet'!$E$10+1,1))</f>
        <v>263.03078346375446</v>
      </c>
      <c r="AO63" s="59">
        <f t="shared" si="36"/>
        <v>251.74283929680905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1.1452640486138701</v>
      </c>
      <c r="AW63" s="21">
        <f>EXP(-LN(2)/2)*AW62+(1-EXP(-LN(2)/2))/(LN(2)/2)*AQ63*AT63*VLOOKUP('Données projet'!$B$10,Paramètres!$A$1:$I$89,3,0)*0.475*44/12</f>
        <v>3.1047792324371893E-5</v>
      </c>
      <c r="AX63" s="21">
        <f t="shared" si="6"/>
        <v>1.1452950964061945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301</v>
      </c>
      <c r="BB63" s="12">
        <f>VLOOKUP(A63,'Données projet'!$A$87:$I$107,9,0)</f>
        <v>8</v>
      </c>
      <c r="BC63" s="12">
        <f t="array" ref="BC63">INDEX(BB:BB,MIN(IF(ISNUMBER(BB63:BB259),ROW(BB63:BB259),"")))</f>
        <v>8</v>
      </c>
      <c r="BD63" s="12">
        <f>IF('Données projet'!$A$88&gt;35,BD62+BC63-BL62,IF(A63&lt;'Données projet'!$A$88,$BA$205^A63,IF(A63='Données projet'!$A$88,'Données projet'!$B$88,BD62+BC63-BL62)))</f>
        <v>301</v>
      </c>
      <c r="BE63" s="13">
        <f>BD63*VLOOKUP('Données projet'!$B$11,Paramètres!$A$1:$I$89,3,0)*VLOOKUP('Données projet'!$B$11,Paramètres!$A$1:$I$89,5,0)</f>
        <v>140.86799999999999</v>
      </c>
      <c r="BF63" s="13">
        <f t="shared" si="37"/>
        <v>36.495780519346958</v>
      </c>
      <c r="BG63" s="20">
        <f t="shared" si="7"/>
        <v>308.90858440452928</v>
      </c>
      <c r="BH63" s="59">
        <f t="shared" si="8"/>
        <v>602.24191773786265</v>
      </c>
      <c r="BI63" s="59">
        <f ca="1">AVERAGE(OFFSET($BH$3,0,0,'Données projet'!$E$11+1,1))-AVERAGE(OFFSET($H$3,0,0,'Données projet'!$E$11+1,1))</f>
        <v>141.78548348627351</v>
      </c>
      <c r="BJ63" s="59">
        <f t="shared" si="38"/>
        <v>162.67012146297657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1.9985789760509411</v>
      </c>
      <c r="BR63" s="21">
        <f>EXP(-LN(2)/2)*BR62+(1-EXP(-LN(2)/2))/(LN(2)/2)*BL63*BO63*VLOOKUP('Données projet'!$B$11,Paramètres!$A$1:$I$89,3,0)*0.475*44/12</f>
        <v>2.1830577562781411E-4</v>
      </c>
      <c r="BS63" s="22">
        <f t="shared" si="9"/>
        <v>1.9987972818265689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-5.1431925385259088E-14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394.42011098756564</v>
      </c>
      <c r="T64" s="59">
        <f t="shared" si="34"/>
        <v>559.92215054152859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16.625</v>
      </c>
      <c r="AI64" s="13">
        <f>IF('Données projet'!$A$62&gt;35,AI63+AH64-AQ63,IF(A64&lt;'Données projet'!$A$62,$AF$205^A64,IF(A64='Données projet'!$A$62,'Données projet'!$B$62,AI63+AH64-AQ63)))</f>
        <v>415.875</v>
      </c>
      <c r="AJ64" s="13">
        <f>AI64*VLOOKUP('Données projet'!$B$10,Paramètres!$A$1:$I$89,3,0)*VLOOKUP('Données projet'!$B$10,Paramètres!$A$1:$I$89,5,0)</f>
        <v>248.69325000000001</v>
      </c>
      <c r="AK64" s="13">
        <f t="shared" si="35"/>
        <v>60.306034716553611</v>
      </c>
      <c r="AL64" s="20">
        <f t="shared" si="4"/>
        <v>538.1737542146642</v>
      </c>
      <c r="AM64" s="59">
        <f t="shared" si="5"/>
        <v>831.50708754799757</v>
      </c>
      <c r="AN64" s="59">
        <f ca="1">AVERAGE(OFFSET($AM$3,0,0,'Données projet'!$E$10+1,1))-AVERAGE(OFFSET($H$3,0,0,'Données projet'!$E$10+1,1))</f>
        <v>263.03078346375446</v>
      </c>
      <c r="AO64" s="59">
        <f t="shared" si="36"/>
        <v>251.74283929680905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1.113946742977705</v>
      </c>
      <c r="AW64" s="21">
        <f>EXP(-LN(2)/2)*AW63+(1-EXP(-LN(2)/2))/(LN(2)/2)*AQ64*AT64*VLOOKUP('Données projet'!$B$10,Paramètres!$A$1:$I$89,3,0)*0.475*44/12</f>
        <v>2.1954104493435006E-5</v>
      </c>
      <c r="AX64" s="21">
        <f t="shared" si="6"/>
        <v>1.1139686970821985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7.5</v>
      </c>
      <c r="BD64" s="12">
        <f>IF('Données projet'!$A$88&gt;35,BD63+BC64-BL63,IF(A64&lt;'Données projet'!$A$88,$BA$205^A64,IF(A64='Données projet'!$A$88,'Données projet'!$B$88,BD63+BC64-BL63)))</f>
        <v>263.5</v>
      </c>
      <c r="BE64" s="13">
        <f>BD64*VLOOKUP('Données projet'!$B$11,Paramètres!$A$1:$I$89,3,0)*VLOOKUP('Données projet'!$B$11,Paramètres!$A$1:$I$89,5,0)</f>
        <v>123.318</v>
      </c>
      <c r="BF64" s="13">
        <f t="shared" si="37"/>
        <v>32.44763560269552</v>
      </c>
      <c r="BG64" s="20">
        <f t="shared" si="7"/>
        <v>271.29181534136131</v>
      </c>
      <c r="BH64" s="59">
        <f t="shared" si="8"/>
        <v>564.62514867469463</v>
      </c>
      <c r="BI64" s="59">
        <f ca="1">AVERAGE(OFFSET($BH$3,0,0,'Données projet'!$E$11+1,1))-AVERAGE(OFFSET($H$3,0,0,'Données projet'!$E$11+1,1))</f>
        <v>141.78548348627351</v>
      </c>
      <c r="BJ64" s="59">
        <f t="shared" si="38"/>
        <v>162.67012146297657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1.9439277288501275</v>
      </c>
      <c r="BR64" s="21">
        <f>EXP(-LN(2)/2)*BR63+(1-EXP(-LN(2)/2))/(LN(2)/2)*BL64*BO64*VLOOKUP('Données projet'!$B$11,Paramètres!$A$1:$I$89,3,0)*0.475*44/12</f>
        <v>1.5436549431861629E-4</v>
      </c>
      <c r="BS64" s="22">
        <f t="shared" si="9"/>
        <v>1.9440820943444461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-5.1431925385259088E-14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394.42011098756564</v>
      </c>
      <c r="T65" s="59">
        <f t="shared" si="34"/>
        <v>559.92215054152859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16.625</v>
      </c>
      <c r="AI65" s="13">
        <f>IF('Données projet'!$A$62&gt;35,AI64+AH65-AQ64,IF(A65&lt;'Données projet'!$A$62,$AF$205^A65,IF(A65='Données projet'!$A$62,'Données projet'!$B$62,AI64+AH65-AQ64)))</f>
        <v>432.5</v>
      </c>
      <c r="AJ65" s="13">
        <f>AI65*VLOOKUP('Données projet'!$B$10,Paramètres!$A$1:$I$89,3,0)*VLOOKUP('Données projet'!$B$10,Paramètres!$A$1:$I$89,5,0)</f>
        <v>258.63500000000005</v>
      </c>
      <c r="AK65" s="13">
        <f t="shared" si="35"/>
        <v>62.43132603919117</v>
      </c>
      <c r="AL65" s="20">
        <f t="shared" si="4"/>
        <v>559.19051785159138</v>
      </c>
      <c r="AM65" s="59">
        <f t="shared" si="5"/>
        <v>852.52385118492475</v>
      </c>
      <c r="AN65" s="59">
        <f ca="1">AVERAGE(OFFSET($AM$3,0,0,'Données projet'!$E$10+1,1))-AVERAGE(OFFSET($H$3,0,0,'Données projet'!$E$10+1,1))</f>
        <v>263.03078346375446</v>
      </c>
      <c r="AO65" s="59">
        <f t="shared" si="36"/>
        <v>251.74283929680905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1.0834858107110663</v>
      </c>
      <c r="AW65" s="21">
        <f>EXP(-LN(2)/2)*AW64+(1-EXP(-LN(2)/2))/(LN(2)/2)*AQ65*AT65*VLOOKUP('Données projet'!$B$10,Paramètres!$A$1:$I$89,3,0)*0.475*44/12</f>
        <v>1.5523896162185947E-5</v>
      </c>
      <c r="AX65" s="21">
        <f t="shared" si="6"/>
        <v>1.0835013346072284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7.5</v>
      </c>
      <c r="BD65" s="12">
        <f>IF('Données projet'!$A$88&gt;35,BD64+BC65-BL64,IF(A65&lt;'Données projet'!$A$88,$BA$205^A65,IF(A65='Données projet'!$A$88,'Données projet'!$B$88,BD64+BC65-BL64)))</f>
        <v>271</v>
      </c>
      <c r="BE65" s="13">
        <f>BD65*VLOOKUP('Données projet'!$B$11,Paramètres!$A$1:$I$89,3,0)*VLOOKUP('Données projet'!$B$11,Paramètres!$A$1:$I$89,5,0)</f>
        <v>126.828</v>
      </c>
      <c r="BF65" s="13">
        <f t="shared" si="37"/>
        <v>33.26235283337838</v>
      </c>
      <c r="BG65" s="20">
        <f t="shared" si="7"/>
        <v>278.82403118480067</v>
      </c>
      <c r="BH65" s="59">
        <f t="shared" si="8"/>
        <v>572.15736451813405</v>
      </c>
      <c r="BI65" s="59">
        <f ca="1">AVERAGE(OFFSET($BH$3,0,0,'Données projet'!$E$11+1,1))-AVERAGE(OFFSET($H$3,0,0,'Données projet'!$E$11+1,1))</f>
        <v>141.78548348627351</v>
      </c>
      <c r="BJ65" s="59">
        <f t="shared" si="38"/>
        <v>162.67012146297657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1.8907709228780045</v>
      </c>
      <c r="BR65" s="21">
        <f>EXP(-LN(2)/2)*BR64+(1-EXP(-LN(2)/2))/(LN(2)/2)*BL65*BO65*VLOOKUP('Données projet'!$B$11,Paramètres!$A$1:$I$89,3,0)*0.475*44/12</f>
        <v>1.0915288781390705E-4</v>
      </c>
      <c r="BS65" s="22">
        <f t="shared" si="9"/>
        <v>1.8908800757658184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-5.1431925385259088E-14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394.42011098756564</v>
      </c>
      <c r="T66" s="59">
        <f t="shared" si="34"/>
        <v>559.92215054152859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16.625</v>
      </c>
      <c r="AI66" s="13">
        <f>IF('Données projet'!$A$62&gt;35,AI65+AH66-AQ65,IF(A66&lt;'Données projet'!$A$62,$AF$205^A66,IF(A66='Données projet'!$A$62,'Données projet'!$B$62,AI65+AH66-AQ65)))</f>
        <v>449.125</v>
      </c>
      <c r="AJ66" s="13">
        <f>AI66*VLOOKUP('Données projet'!$B$10,Paramètres!$A$1:$I$89,3,0)*VLOOKUP('Données projet'!$B$10,Paramètres!$A$1:$I$89,5,0)</f>
        <v>268.57675</v>
      </c>
      <c r="AK66" s="13">
        <f t="shared" si="35"/>
        <v>64.547126869515353</v>
      </c>
      <c r="AL66" s="20">
        <f t="shared" si="4"/>
        <v>580.19075221440596</v>
      </c>
      <c r="AM66" s="59">
        <f t="shared" si="5"/>
        <v>873.52408554773933</v>
      </c>
      <c r="AN66" s="59">
        <f ca="1">AVERAGE(OFFSET($AM$3,0,0,'Données projet'!$E$10+1,1))-AVERAGE(OFFSET($H$3,0,0,'Données projet'!$E$10+1,1))</f>
        <v>263.03078346375446</v>
      </c>
      <c r="AO66" s="59">
        <f t="shared" si="36"/>
        <v>251.74283929680905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1.0538578342391298</v>
      </c>
      <c r="AW66" s="21">
        <f>EXP(-LN(2)/2)*AW65+(1-EXP(-LN(2)/2))/(LN(2)/2)*AQ66*AT66*VLOOKUP('Données projet'!$B$10,Paramètres!$A$1:$I$89,3,0)*0.475*44/12</f>
        <v>1.0977052246717503E-5</v>
      </c>
      <c r="AX66" s="21">
        <f t="shared" si="6"/>
        <v>1.0538688112913766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7.5</v>
      </c>
      <c r="BD66" s="12">
        <f>IF('Données projet'!$A$88&gt;35,BD65+BC66-BL65,IF(A66&lt;'Données projet'!$A$88,$BA$205^A66,IF(A66='Données projet'!$A$88,'Données projet'!$B$88,BD65+BC66-BL65)))</f>
        <v>278.5</v>
      </c>
      <c r="BE66" s="13">
        <f>BD66*VLOOKUP('Données projet'!$B$11,Paramètres!$A$1:$I$89,3,0)*VLOOKUP('Données projet'!$B$11,Paramètres!$A$1:$I$89,5,0)</f>
        <v>130.33799999999999</v>
      </c>
      <c r="BF66" s="13">
        <f t="shared" si="37"/>
        <v>34.074449401468776</v>
      </c>
      <c r="BG66" s="20">
        <f t="shared" si="7"/>
        <v>286.3516827075581</v>
      </c>
      <c r="BH66" s="59">
        <f t="shared" si="8"/>
        <v>579.68501604089147</v>
      </c>
      <c r="BI66" s="59">
        <f ca="1">AVERAGE(OFFSET($BH$3,0,0,'Données projet'!$E$11+1,1))-AVERAGE(OFFSET($H$3,0,0,'Données projet'!$E$11+1,1))</f>
        <v>141.78548348627351</v>
      </c>
      <c r="BJ66" s="59">
        <f t="shared" si="38"/>
        <v>162.67012146297657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1.839067692560584</v>
      </c>
      <c r="BR66" s="21">
        <f>EXP(-LN(2)/2)*BR65+(1-EXP(-LN(2)/2))/(LN(2)/2)*BL66*BO66*VLOOKUP('Données projet'!$B$11,Paramètres!$A$1:$I$89,3,0)*0.475*44/12</f>
        <v>7.7182747159308145E-5</v>
      </c>
      <c r="BS66" s="22">
        <f t="shared" si="9"/>
        <v>1.8391448753077433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-5.1431925385259088E-14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394.42011098756564</v>
      </c>
      <c r="T67" s="59">
        <f t="shared" si="34"/>
        <v>559.92215054152859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16.625</v>
      </c>
      <c r="AI67" s="13">
        <f>IF('Données projet'!$A$62&gt;35,AI66+AH67-AQ66,IF(A67&lt;'Données projet'!$A$62,$AF$205^A67,IF(A67='Données projet'!$A$62,'Données projet'!$B$62,AI66+AH67-AQ66)))</f>
        <v>465.75</v>
      </c>
      <c r="AJ67" s="13">
        <f>AI67*VLOOKUP('Données projet'!$B$10,Paramètres!$A$1:$I$89,3,0)*VLOOKUP('Données projet'!$B$10,Paramètres!$A$1:$I$89,5,0)</f>
        <v>278.51850000000002</v>
      </c>
      <c r="AK67" s="13">
        <f t="shared" si="35"/>
        <v>66.653828741601984</v>
      </c>
      <c r="AL67" s="20">
        <f t="shared" si="4"/>
        <v>601.17513922495675</v>
      </c>
      <c r="AM67" s="59">
        <f t="shared" si="5"/>
        <v>894.50847255829012</v>
      </c>
      <c r="AN67" s="59">
        <f ca="1">AVERAGE(OFFSET($AM$3,0,0,'Données projet'!$E$10+1,1))-AVERAGE(OFFSET($H$3,0,0,'Données projet'!$E$10+1,1))</f>
        <v>263.03078346375446</v>
      </c>
      <c r="AO67" s="59">
        <f t="shared" si="36"/>
        <v>251.74283929680905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1.0250400363418859</v>
      </c>
      <c r="AW67" s="21">
        <f>EXP(-LN(2)/2)*AW66+(1-EXP(-LN(2)/2))/(LN(2)/2)*AQ67*AT67*VLOOKUP('Données projet'!$B$10,Paramètres!$A$1:$I$89,3,0)*0.475*44/12</f>
        <v>7.7619480810929733E-6</v>
      </c>
      <c r="AX67" s="21">
        <f t="shared" si="6"/>
        <v>1.0250477982899671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7.5</v>
      </c>
      <c r="BD67" s="12">
        <f>IF('Données projet'!$A$88&gt;35,BD66+BC67-BL66,IF(A67&lt;'Données projet'!$A$88,$BA$205^A67,IF(A67='Données projet'!$A$88,'Données projet'!$B$88,BD66+BC67-BL66)))</f>
        <v>286</v>
      </c>
      <c r="BE67" s="13">
        <f>BD67*VLOOKUP('Données projet'!$B$11,Paramètres!$A$1:$I$89,3,0)*VLOOKUP('Données projet'!$B$11,Paramètres!$A$1:$I$89,5,0)</f>
        <v>133.84799999999998</v>
      </c>
      <c r="BF67" s="13">
        <f t="shared" si="37"/>
        <v>34.884003992121656</v>
      </c>
      <c r="BG67" s="20">
        <f t="shared" si="7"/>
        <v>293.8749069529452</v>
      </c>
      <c r="BH67" s="59">
        <f t="shared" si="8"/>
        <v>587.20824028627851</v>
      </c>
      <c r="BI67" s="59">
        <f ca="1">AVERAGE(OFFSET($BH$3,0,0,'Données projet'!$E$11+1,1))-AVERAGE(OFFSET($H$3,0,0,'Données projet'!$E$11+1,1))</f>
        <v>141.78548348627351</v>
      </c>
      <c r="BJ67" s="59">
        <f t="shared" si="38"/>
        <v>162.67012146297657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1.7887782897951481</v>
      </c>
      <c r="BR67" s="21">
        <f>EXP(-LN(2)/2)*BR66+(1-EXP(-LN(2)/2))/(LN(2)/2)*BL67*BO67*VLOOKUP('Données projet'!$B$11,Paramètres!$A$1:$I$89,3,0)*0.475*44/12</f>
        <v>5.4576443906953527E-5</v>
      </c>
      <c r="BS67" s="22">
        <f t="shared" si="9"/>
        <v>1.7888328662390551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-5.1431925385259088E-14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394.42011098756564</v>
      </c>
      <c r="T68" s="59">
        <f t="shared" si="34"/>
        <v>559.92215054152859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16.625</v>
      </c>
      <c r="AI68" s="13">
        <f>IF('Données projet'!$A$62&gt;35,AI67+AH68-AQ67,IF(A68&lt;'Données projet'!$A$62,$AF$205^A68,IF(A68='Données projet'!$A$62,'Données projet'!$B$62,AI67+AH68-AQ67)))</f>
        <v>482.375</v>
      </c>
      <c r="AJ68" s="13">
        <f>AI68*VLOOKUP('Données projet'!$B$10,Paramètres!$A$1:$I$89,3,0)*VLOOKUP('Données projet'!$B$10,Paramètres!$A$1:$I$89,5,0)</f>
        <v>288.46025000000003</v>
      </c>
      <c r="AK68" s="13">
        <f t="shared" si="35"/>
        <v>68.75179365327233</v>
      </c>
      <c r="AL68" s="20">
        <f t="shared" ref="AL68:AL131" si="58">(AJ68+AK68)*0.475*44/12</f>
        <v>622.14430936278268</v>
      </c>
      <c r="AM68" s="59">
        <f t="shared" ref="AM68:AM131" si="59">AL68+(AD68+AE68)*44/12</f>
        <v>915.47764269611594</v>
      </c>
      <c r="AN68" s="59">
        <f ca="1">AVERAGE(OFFSET($AM$3,0,0,'Données projet'!$E$10+1,1))-AVERAGE(OFFSET($H$3,0,0,'Données projet'!$E$10+1,1))</f>
        <v>263.03078346375446</v>
      </c>
      <c r="AO68" s="59">
        <f t="shared" si="36"/>
        <v>251.74283929680905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0.99701026264360426</v>
      </c>
      <c r="AW68" s="21">
        <f>EXP(-LN(2)/2)*AW67+(1-EXP(-LN(2)/2))/(LN(2)/2)*AQ68*AT68*VLOOKUP('Données projet'!$B$10,Paramètres!$A$1:$I$89,3,0)*0.475*44/12</f>
        <v>5.4885261233587515E-6</v>
      </c>
      <c r="AX68" s="21">
        <f t="shared" ref="AX68:AX131" si="60">SUM(AU68:AW68)</f>
        <v>0.99701575116972763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7.5</v>
      </c>
      <c r="BD68" s="12">
        <f>IF('Données projet'!$A$88&gt;35,BD67+BC68-BL67,IF(A68&lt;'Données projet'!$A$88,$BA$205^A68,IF(A68='Données projet'!$A$88,'Données projet'!$B$88,BD67+BC68-BL67)))</f>
        <v>293.5</v>
      </c>
      <c r="BE68" s="13">
        <f>BD68*VLOOKUP('Données projet'!$B$11,Paramètres!$A$1:$I$89,3,0)*VLOOKUP('Données projet'!$B$11,Paramètres!$A$1:$I$89,5,0)</f>
        <v>137.358</v>
      </c>
      <c r="BF68" s="13">
        <f t="shared" si="37"/>
        <v>35.691090928615189</v>
      </c>
      <c r="BG68" s="20">
        <f t="shared" ref="BG68:BG131" si="61">(BE68+BF68)*0.475*44/12</f>
        <v>301.39383336733812</v>
      </c>
      <c r="BH68" s="59">
        <f t="shared" ref="BH68:BH131" si="62">BG68+(AY68+AZ68)*44/12</f>
        <v>594.72716670067143</v>
      </c>
      <c r="BI68" s="59">
        <f ca="1">AVERAGE(OFFSET($BH$3,0,0,'Données projet'!$E$11+1,1))-AVERAGE(OFFSET($H$3,0,0,'Données projet'!$E$11+1,1))</f>
        <v>141.78548348627351</v>
      </c>
      <c r="BJ68" s="59">
        <f t="shared" si="38"/>
        <v>162.67012146297657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1.7398640533929377</v>
      </c>
      <c r="BR68" s="21">
        <f>EXP(-LN(2)/2)*BR67+(1-EXP(-LN(2)/2))/(LN(2)/2)*BL68*BO68*VLOOKUP('Données projet'!$B$11,Paramètres!$A$1:$I$89,3,0)*0.475*44/12</f>
        <v>3.8591373579654072E-5</v>
      </c>
      <c r="BS68" s="22">
        <f t="shared" ref="BS68:BS131" si="63">SUM(BP68:BR68)</f>
        <v>1.7399026447665173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-5.1431925385259088E-14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394.42011098756564</v>
      </c>
      <c r="T69" s="59">
        <f t="shared" ref="T69:T132" si="88">$T$3</f>
        <v>559.92215054152859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499</v>
      </c>
      <c r="AG69" s="12">
        <f>VLOOKUP(A69,'Données projet'!$A$61:$I$81,9,0)</f>
        <v>16.625</v>
      </c>
      <c r="AH69" s="12">
        <f t="array" ref="AH69">INDEX(AG:AG,MIN(IF(ISNUMBER(AG69:AG265),ROW(AG69:AG265),"")))</f>
        <v>16.625</v>
      </c>
      <c r="AI69" s="13">
        <f>IF('Données projet'!$A$62&gt;35,AI68+AH69-AQ68,IF(A69&lt;'Données projet'!$A$62,$AF$205^A69,IF(A69='Données projet'!$A$62,'Données projet'!$B$62,AI68+AH69-AQ68)))</f>
        <v>499</v>
      </c>
      <c r="AJ69" s="13">
        <f>AI69*VLOOKUP('Données projet'!$B$10,Paramètres!$A$1:$I$89,3,0)*VLOOKUP('Données projet'!$B$10,Paramètres!$A$1:$I$89,5,0)</f>
        <v>298.40200000000004</v>
      </c>
      <c r="AK69" s="13">
        <f t="shared" ref="AK69:AK132" si="89">EXP(-1.0587+0.8836*LN(AJ69)+0.284)</f>
        <v>70.841357234689355</v>
      </c>
      <c r="AL69" s="20">
        <f t="shared" si="58"/>
        <v>643.09884718375065</v>
      </c>
      <c r="AM69" s="59">
        <f t="shared" si="59"/>
        <v>936.43218051708391</v>
      </c>
      <c r="AN69" s="59">
        <f ca="1">AVERAGE(OFFSET($AM$3,0,0,'Données projet'!$E$10+1,1))-AVERAGE(OFFSET($H$3,0,0,'Données projet'!$E$10+1,1))</f>
        <v>263.03078346375446</v>
      </c>
      <c r="AO69" s="59">
        <f t="shared" ref="AO69:AO132" si="90">$AO$3</f>
        <v>251.74283929680905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65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0.96974696458112386</v>
      </c>
      <c r="AW69" s="21">
        <f>EXP(-LN(2)/2)*AW68+(1-EXP(-LN(2)/2))/(LN(2)/2)*AQ69*AT69*VLOOKUP('Données projet'!$B$10,Paramètres!$A$1:$I$89,3,0)*0.475*44/12</f>
        <v>3.8809740405464866E-6</v>
      </c>
      <c r="AX69" s="21">
        <f t="shared" si="60"/>
        <v>0.96975084555516444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7.5</v>
      </c>
      <c r="BD69" s="12">
        <f>IF('Données projet'!$A$88&gt;35,BD68+BC69-BL68,IF(A69&lt;'Données projet'!$A$88,$BA$205^A69,IF(A69='Données projet'!$A$88,'Données projet'!$B$88,BD68+BC69-BL68)))</f>
        <v>301</v>
      </c>
      <c r="BE69" s="13">
        <f>BD69*VLOOKUP('Données projet'!$B$11,Paramètres!$A$1:$I$89,3,0)*VLOOKUP('Données projet'!$B$11,Paramètres!$A$1:$I$89,5,0)</f>
        <v>140.86799999999999</v>
      </c>
      <c r="BF69" s="13">
        <f t="shared" ref="BF69:BF132" si="91">EXP(-1.0587+0.8836*LN(BE69)+0.284)</f>
        <v>36.495780519346958</v>
      </c>
      <c r="BG69" s="20">
        <f t="shared" si="61"/>
        <v>308.90858440452928</v>
      </c>
      <c r="BH69" s="59">
        <f t="shared" si="62"/>
        <v>602.24191773786265</v>
      </c>
      <c r="BI69" s="59">
        <f ca="1">AVERAGE(OFFSET($BH$3,0,0,'Données projet'!$E$11+1,1))-AVERAGE(OFFSET($H$3,0,0,'Données projet'!$E$11+1,1))</f>
        <v>141.78548348627351</v>
      </c>
      <c r="BJ69" s="59">
        <f t="shared" ref="BJ69:BJ132" si="92">$BJ$3</f>
        <v>162.67012146297657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1.6922873793574338</v>
      </c>
      <c r="BR69" s="21">
        <f>EXP(-LN(2)/2)*BR68+(1-EXP(-LN(2)/2))/(LN(2)/2)*BL69*BO69*VLOOKUP('Données projet'!$B$11,Paramètres!$A$1:$I$89,3,0)*0.475*44/12</f>
        <v>2.7288221953476764E-5</v>
      </c>
      <c r="BS69" s="22">
        <f t="shared" si="63"/>
        <v>1.6923146675793872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-5.1431925385259088E-14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394.42011098756564</v>
      </c>
      <c r="T70" s="59">
        <f t="shared" si="88"/>
        <v>559.92215054152859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</v>
      </c>
      <c r="AI70" s="13">
        <f>IF('Données projet'!$A$62&gt;35,AI69+AH70-AQ69,IF(A70&lt;'Données projet'!$A$62,$AF$205^A70,IF(A70='Données projet'!$A$62,'Données projet'!$B$62,AI69+AH70-AQ69)))</f>
        <v>447</v>
      </c>
      <c r="AJ70" s="13">
        <f>AI70*VLOOKUP('Données projet'!$B$10,Paramètres!$A$1:$I$89,3,0)*VLOOKUP('Données projet'!$B$10,Paramètres!$A$1:$I$89,5,0)</f>
        <v>267.30600000000004</v>
      </c>
      <c r="AK70" s="13">
        <f t="shared" si="89"/>
        <v>64.27720124631206</v>
      </c>
      <c r="AL70" s="20">
        <f t="shared" si="58"/>
        <v>577.50740883732692</v>
      </c>
      <c r="AM70" s="59">
        <f t="shared" si="59"/>
        <v>870.84074217066018</v>
      </c>
      <c r="AN70" s="59">
        <f ca="1">AVERAGE(OFFSET($AM$3,0,0,'Données projet'!$E$10+1,1))-AVERAGE(OFFSET($H$3,0,0,'Données projet'!$E$10+1,1))</f>
        <v>263.03078346375446</v>
      </c>
      <c r="AO70" s="59">
        <f t="shared" si="90"/>
        <v>251.74283929680905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0.9432291828378766</v>
      </c>
      <c r="AW70" s="21">
        <f>EXP(-LN(2)/2)*AW69+(1-EXP(-LN(2)/2))/(LN(2)/2)*AQ70*AT70*VLOOKUP('Données projet'!$B$10,Paramètres!$A$1:$I$89,3,0)*0.475*44/12</f>
        <v>2.7442630616793758E-6</v>
      </c>
      <c r="AX70" s="21">
        <f t="shared" si="60"/>
        <v>0.94323192710093828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7.5</v>
      </c>
      <c r="BD70" s="12">
        <f>IF('Données projet'!$A$88&gt;35,BD69+BC70-BL69,IF(A70&lt;'Données projet'!$A$88,$BA$205^A70,IF(A70='Données projet'!$A$88,'Données projet'!$B$88,BD69+BC70-BL69)))</f>
        <v>308.5</v>
      </c>
      <c r="BE70" s="13">
        <f>BD70*VLOOKUP('Données projet'!$B$11,Paramètres!$A$1:$I$89,3,0)*VLOOKUP('Données projet'!$B$11,Paramètres!$A$1:$I$89,5,0)</f>
        <v>144.37800000000001</v>
      </c>
      <c r="BF70" s="13">
        <f t="shared" si="91"/>
        <v>37.298139369272413</v>
      </c>
      <c r="BG70" s="20">
        <f t="shared" si="61"/>
        <v>316.41927606814949</v>
      </c>
      <c r="BH70" s="59">
        <f t="shared" si="62"/>
        <v>609.7526094014828</v>
      </c>
      <c r="BI70" s="59">
        <f ca="1">AVERAGE(OFFSET($BH$3,0,0,'Données projet'!$E$11+1,1))-AVERAGE(OFFSET($H$3,0,0,'Données projet'!$E$11+1,1))</f>
        <v>141.78548348627351</v>
      </c>
      <c r="BJ70" s="59">
        <f t="shared" si="92"/>
        <v>162.67012146297657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1.6460116919753793</v>
      </c>
      <c r="BR70" s="21">
        <f>EXP(-LN(2)/2)*BR69+(1-EXP(-LN(2)/2))/(LN(2)/2)*BL70*BO70*VLOOKUP('Données projet'!$B$11,Paramètres!$A$1:$I$89,3,0)*0.475*44/12</f>
        <v>1.9295686789827036E-5</v>
      </c>
      <c r="BS70" s="22">
        <f t="shared" si="63"/>
        <v>1.6460309876621693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-5.1431925385259088E-14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394.42011098756564</v>
      </c>
      <c r="T71" s="59">
        <f t="shared" si="88"/>
        <v>559.92215054152859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</v>
      </c>
      <c r="AI71" s="13">
        <f>IF('Données projet'!$A$62&gt;35,AI70+AH71-AQ70,IF(A71&lt;'Données projet'!$A$62,$AF$205^A71,IF(A71='Données projet'!$A$62,'Données projet'!$B$62,AI70+AH71-AQ70)))</f>
        <v>460</v>
      </c>
      <c r="AJ71" s="13">
        <f>AI71*VLOOKUP('Données projet'!$B$10,Paramètres!$A$1:$I$89,3,0)*VLOOKUP('Données projet'!$B$10,Paramètres!$A$1:$I$89,5,0)</f>
        <v>275.08000000000004</v>
      </c>
      <c r="AK71" s="13">
        <f t="shared" si="89"/>
        <v>65.926201134783341</v>
      </c>
      <c r="AL71" s="20">
        <f t="shared" si="58"/>
        <v>593.91913364308107</v>
      </c>
      <c r="AM71" s="59">
        <f t="shared" si="59"/>
        <v>887.25246697641433</v>
      </c>
      <c r="AN71" s="59">
        <f ca="1">AVERAGE(OFFSET($AM$3,0,0,'Données projet'!$E$10+1,1))-AVERAGE(OFFSET($H$3,0,0,'Données projet'!$E$10+1,1))</f>
        <v>263.03078346375446</v>
      </c>
      <c r="AO71" s="59">
        <f t="shared" si="90"/>
        <v>251.74283929680905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0.91743653123090796</v>
      </c>
      <c r="AW71" s="21">
        <f>EXP(-LN(2)/2)*AW70+(1-EXP(-LN(2)/2))/(LN(2)/2)*AQ71*AT71*VLOOKUP('Données projet'!$B$10,Paramètres!$A$1:$I$89,3,0)*0.475*44/12</f>
        <v>1.9404870202732433E-6</v>
      </c>
      <c r="AX71" s="21">
        <f t="shared" si="60"/>
        <v>0.91743847171792825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7.5</v>
      </c>
      <c r="BD71" s="12">
        <f>IF('Données projet'!$A$88&gt;35,BD70+BC71-BL70,IF(A71&lt;'Données projet'!$A$88,$BA$205^A71,IF(A71='Données projet'!$A$88,'Données projet'!$B$88,BD70+BC71-BL70)))</f>
        <v>316</v>
      </c>
      <c r="BE71" s="13">
        <f>BD71*VLOOKUP('Données projet'!$B$11,Paramètres!$A$1:$I$89,3,0)*VLOOKUP('Données projet'!$B$11,Paramètres!$A$1:$I$89,5,0)</f>
        <v>147.88800000000001</v>
      </c>
      <c r="BF71" s="13">
        <f t="shared" si="91"/>
        <v>38.098230660204834</v>
      </c>
      <c r="BG71" s="20">
        <f t="shared" si="61"/>
        <v>323.92601839985679</v>
      </c>
      <c r="BH71" s="59">
        <f t="shared" si="62"/>
        <v>617.2593517331901</v>
      </c>
      <c r="BI71" s="59">
        <f ca="1">AVERAGE(OFFSET($BH$3,0,0,'Données projet'!$E$11+1,1))-AVERAGE(OFFSET($H$3,0,0,'Données projet'!$E$11+1,1))</f>
        <v>141.78548348627351</v>
      </c>
      <c r="BJ71" s="59">
        <f t="shared" si="92"/>
        <v>162.67012146297657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1.6010014156983197</v>
      </c>
      <c r="BR71" s="21">
        <f>EXP(-LN(2)/2)*BR70+(1-EXP(-LN(2)/2))/(LN(2)/2)*BL71*BO71*VLOOKUP('Données projet'!$B$11,Paramètres!$A$1:$I$89,3,0)*0.475*44/12</f>
        <v>1.3644110976738382E-5</v>
      </c>
      <c r="BS71" s="22">
        <f t="shared" si="63"/>
        <v>1.6010150598092965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-5.1431925385259088E-14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394.42011098756564</v>
      </c>
      <c r="T72" s="59">
        <f t="shared" si="88"/>
        <v>559.92215054152859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</v>
      </c>
      <c r="AI72" s="13">
        <f>IF('Données projet'!$A$62&gt;35,AI71+AH72-AQ71,IF(A72&lt;'Données projet'!$A$62,$AF$205^A72,IF(A72='Données projet'!$A$62,'Données projet'!$B$62,AI71+AH72-AQ71)))</f>
        <v>473</v>
      </c>
      <c r="AJ72" s="13">
        <f>AI72*VLOOKUP('Données projet'!$B$10,Paramètres!$A$1:$I$89,3,0)*VLOOKUP('Données projet'!$B$10,Paramètres!$A$1:$I$89,5,0)</f>
        <v>282.85400000000004</v>
      </c>
      <c r="AK72" s="13">
        <f t="shared" si="89"/>
        <v>67.569784681075049</v>
      </c>
      <c r="AL72" s="20">
        <f t="shared" si="58"/>
        <v>610.32142498620567</v>
      </c>
      <c r="AM72" s="59">
        <f t="shared" si="59"/>
        <v>903.65475831953904</v>
      </c>
      <c r="AN72" s="59">
        <f ca="1">AVERAGE(OFFSET($AM$3,0,0,'Données projet'!$E$10+1,1))-AVERAGE(OFFSET($H$3,0,0,'Données projet'!$E$10+1,1))</f>
        <v>263.03078346375446</v>
      </c>
      <c r="AO72" s="59">
        <f t="shared" si="90"/>
        <v>251.74283929680905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0.89234918103850847</v>
      </c>
      <c r="AW72" s="21">
        <f>EXP(-LN(2)/2)*AW71+(1-EXP(-LN(2)/2))/(LN(2)/2)*AQ72*AT72*VLOOKUP('Données projet'!$B$10,Paramètres!$A$1:$I$89,3,0)*0.475*44/12</f>
        <v>1.3721315308396879E-6</v>
      </c>
      <c r="AX72" s="21">
        <f t="shared" si="60"/>
        <v>0.89235055317003931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7.5</v>
      </c>
      <c r="BD72" s="12">
        <f>IF('Données projet'!$A$88&gt;35,BD71+BC72-BL71,IF(A72&lt;'Données projet'!$A$88,$BA$205^A72,IF(A72='Données projet'!$A$88,'Données projet'!$B$88,BD71+BC72-BL71)))</f>
        <v>323.5</v>
      </c>
      <c r="BE72" s="13">
        <f>BD72*VLOOKUP('Données projet'!$B$11,Paramètres!$A$1:$I$89,3,0)*VLOOKUP('Données projet'!$B$11,Paramètres!$A$1:$I$89,5,0)</f>
        <v>151.398</v>
      </c>
      <c r="BF72" s="13">
        <f t="shared" si="91"/>
        <v>38.896114403754709</v>
      </c>
      <c r="BG72" s="20">
        <f t="shared" si="61"/>
        <v>331.42891591987274</v>
      </c>
      <c r="BH72" s="59">
        <f t="shared" si="62"/>
        <v>624.76224925320605</v>
      </c>
      <c r="BI72" s="59">
        <f ca="1">AVERAGE(OFFSET($BH$3,0,0,'Données projet'!$E$11+1,1))-AVERAGE(OFFSET($H$3,0,0,'Données projet'!$E$11+1,1))</f>
        <v>141.78548348627351</v>
      </c>
      <c r="BJ72" s="59">
        <f t="shared" si="92"/>
        <v>162.67012146297657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1.5572219477930438</v>
      </c>
      <c r="BR72" s="21">
        <f>EXP(-LN(2)/2)*BR71+(1-EXP(-LN(2)/2))/(LN(2)/2)*BL72*BO72*VLOOKUP('Données projet'!$B$11,Paramètres!$A$1:$I$89,3,0)*0.475*44/12</f>
        <v>9.6478433949135181E-6</v>
      </c>
      <c r="BS72" s="22">
        <f t="shared" si="63"/>
        <v>1.5572315956364386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-5.1431925385259088E-14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394.42011098756564</v>
      </c>
      <c r="T73" s="59">
        <f t="shared" si="88"/>
        <v>559.92215054152859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486</v>
      </c>
      <c r="AG73" s="12">
        <f>VLOOKUP(A73,'Données projet'!$A$61:$I$81,9,0)</f>
        <v>13</v>
      </c>
      <c r="AH73" s="12">
        <f t="array" ref="AH73">INDEX(AG:AG,MIN(IF(ISNUMBER(AG73:AG269),ROW(AG73:AG269),"")))</f>
        <v>13</v>
      </c>
      <c r="AI73" s="13">
        <f>IF('Données projet'!$A$62&gt;35,AI72+AH73-AQ72,IF(A73&lt;'Données projet'!$A$62,$AF$205^A73,IF(A73='Données projet'!$A$62,'Données projet'!$B$62,AI72+AH73-AQ72)))</f>
        <v>486</v>
      </c>
      <c r="AJ73" s="13">
        <f>AI73*VLOOKUP('Données projet'!$B$10,Paramètres!$A$1:$I$89,3,0)*VLOOKUP('Données projet'!$B$10,Paramètres!$A$1:$I$89,5,0)</f>
        <v>290.62799999999999</v>
      </c>
      <c r="AK73" s="13">
        <f t="shared" si="89"/>
        <v>69.208117853196882</v>
      </c>
      <c r="AL73" s="20">
        <f t="shared" si="58"/>
        <v>626.71457192765126</v>
      </c>
      <c r="AM73" s="59">
        <f t="shared" si="59"/>
        <v>920.04790526098463</v>
      </c>
      <c r="AN73" s="59">
        <f ca="1">AVERAGE(OFFSET($AM$3,0,0,'Données projet'!$E$10+1,1))-AVERAGE(OFFSET($H$3,0,0,'Données projet'!$E$10+1,1))</f>
        <v>263.03078346375446</v>
      </c>
      <c r="AO73" s="59">
        <f t="shared" si="90"/>
        <v>251.74283929680905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486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0.86794784575640649</v>
      </c>
      <c r="AW73" s="21">
        <f>EXP(-LN(2)/2)*AW72+(1-EXP(-LN(2)/2))/(LN(2)/2)*AQ73*AT73*VLOOKUP('Données projet'!$B$10,Paramètres!$A$1:$I$89,3,0)*0.475*44/12</f>
        <v>9.7024351013662166E-7</v>
      </c>
      <c r="AX73" s="21">
        <f t="shared" si="60"/>
        <v>0.86794881599991658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331</v>
      </c>
      <c r="BB73" s="12">
        <f>VLOOKUP(A73,'Données projet'!$A$87:$I$107,9,0)</f>
        <v>7.5</v>
      </c>
      <c r="BC73" s="12">
        <f t="array" ref="BC73">INDEX(BB:BB,MIN(IF(ISNUMBER(BB73:BB269),ROW(BB73:BB269),"")))</f>
        <v>7.5</v>
      </c>
      <c r="BD73" s="12">
        <f>IF('Données projet'!$A$88&gt;35,BD72+BC73-BL72,IF(A73&lt;'Données projet'!$A$88,$BA$205^A73,IF(A73='Données projet'!$A$88,'Données projet'!$B$88,BD72+BC73-BL72)))</f>
        <v>331</v>
      </c>
      <c r="BE73" s="13">
        <f>BD73*VLOOKUP('Données projet'!$B$11,Paramètres!$A$1:$I$89,3,0)*VLOOKUP('Données projet'!$B$11,Paramètres!$A$1:$I$89,5,0)</f>
        <v>154.90799999999999</v>
      </c>
      <c r="BF73" s="13">
        <f t="shared" si="91"/>
        <v>39.691847670151873</v>
      </c>
      <c r="BG73" s="20">
        <f t="shared" si="61"/>
        <v>338.92806802551445</v>
      </c>
      <c r="BH73" s="59">
        <f t="shared" si="62"/>
        <v>632.26140135884771</v>
      </c>
      <c r="BI73" s="59">
        <f ca="1">AVERAGE(OFFSET($BH$3,0,0,'Données projet'!$E$11+1,1))-AVERAGE(OFFSET($H$3,0,0,'Données projet'!$E$11+1,1))</f>
        <v>141.78548348627351</v>
      </c>
      <c r="BJ73" s="59">
        <f t="shared" si="92"/>
        <v>162.67012146297657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50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1.5146396317398998</v>
      </c>
      <c r="BR73" s="21">
        <f>EXP(-LN(2)/2)*BR72+(1-EXP(-LN(2)/2))/(LN(2)/2)*BL73*BO73*VLOOKUP('Données projet'!$B$11,Paramètres!$A$1:$I$89,3,0)*0.475*44/12</f>
        <v>6.8220554883691909E-6</v>
      </c>
      <c r="BS73" s="22">
        <f t="shared" si="63"/>
        <v>1.5146464537953881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-5.1431925385259088E-14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394.42011098756564</v>
      </c>
      <c r="T74" s="59">
        <f t="shared" si="88"/>
        <v>559.92215054152859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263.03078346375446</v>
      </c>
      <c r="AO74" s="59">
        <f t="shared" si="90"/>
        <v>251.74283929680905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0.84421376627080402</v>
      </c>
      <c r="AW74" s="21">
        <f>EXP(-LN(2)/2)*AW73+(1-EXP(-LN(2)/2))/(LN(2)/2)*AQ74*AT74*VLOOKUP('Données projet'!$B$10,Paramètres!$A$1:$I$89,3,0)*0.475*44/12</f>
        <v>6.8606576541984394E-7</v>
      </c>
      <c r="AX74" s="21">
        <f t="shared" si="60"/>
        <v>0.84421445233656944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7.7</v>
      </c>
      <c r="BD74" s="12">
        <f>IF('Données projet'!$A$88&gt;35,BD73+BC74-BL73,IF(A74&lt;'Données projet'!$A$88,$BA$205^A74,IF(A74='Données projet'!$A$88,'Données projet'!$B$88,BD73+BC74-BL73)))</f>
        <v>288.7</v>
      </c>
      <c r="BE74" s="13">
        <f>BD74*VLOOKUP('Données projet'!$B$11,Paramètres!$A$1:$I$89,3,0)*VLOOKUP('Données projet'!$B$11,Paramètres!$A$1:$I$89,5,0)</f>
        <v>135.11159999999998</v>
      </c>
      <c r="BF74" s="13">
        <f t="shared" si="91"/>
        <v>35.174835808562293</v>
      </c>
      <c r="BG74" s="20">
        <f t="shared" si="61"/>
        <v>296.58220903324593</v>
      </c>
      <c r="BH74" s="59">
        <f t="shared" si="62"/>
        <v>589.9155423665793</v>
      </c>
      <c r="BI74" s="59">
        <f ca="1">AVERAGE(OFFSET($BH$3,0,0,'Données projet'!$E$11+1,1))-AVERAGE(OFFSET($H$3,0,0,'Données projet'!$E$11+1,1))</f>
        <v>141.78548348627351</v>
      </c>
      <c r="BJ74" s="59">
        <f t="shared" si="92"/>
        <v>162.67012146297657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1.4732217313585358</v>
      </c>
      <c r="BR74" s="21">
        <f>EXP(-LN(2)/2)*BR73+(1-EXP(-LN(2)/2))/(LN(2)/2)*BL74*BO74*VLOOKUP('Données projet'!$B$11,Paramètres!$A$1:$I$89,3,0)*0.475*44/12</f>
        <v>4.8239216974567591E-6</v>
      </c>
      <c r="BS74" s="22">
        <f t="shared" si="63"/>
        <v>1.4732265552802333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-5.1431925385259088E-14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394.42011098756564</v>
      </c>
      <c r="T75" s="59">
        <f t="shared" si="88"/>
        <v>559.92215054152859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263.03078346375446</v>
      </c>
      <c r="AO75" s="59">
        <f t="shared" si="90"/>
        <v>251.74283929680905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0.82112869643685638</v>
      </c>
      <c r="AW75" s="21">
        <f>EXP(-LN(2)/2)*AW74+(1-EXP(-LN(2)/2))/(LN(2)/2)*AQ75*AT75*VLOOKUP('Données projet'!$B$10,Paramètres!$A$1:$I$89,3,0)*0.475*44/12</f>
        <v>4.8512175506831083E-7</v>
      </c>
      <c r="AX75" s="21">
        <f t="shared" si="60"/>
        <v>0.82112918155861148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7.7</v>
      </c>
      <c r="BD75" s="12">
        <f>IF('Données projet'!$A$88&gt;35,BD74+BC75-BL74,IF(A75&lt;'Données projet'!$A$88,$BA$205^A75,IF(A75='Données projet'!$A$88,'Données projet'!$B$88,BD74+BC75-BL74)))</f>
        <v>296.39999999999998</v>
      </c>
      <c r="BE75" s="13">
        <f>BD75*VLOOKUP('Données projet'!$B$11,Paramètres!$A$1:$I$89,3,0)*VLOOKUP('Données projet'!$B$11,Paramètres!$A$1:$I$89,5,0)</f>
        <v>138.71520000000001</v>
      </c>
      <c r="BF75" s="13">
        <f t="shared" si="91"/>
        <v>36.002518112949986</v>
      </c>
      <c r="BG75" s="20">
        <f t="shared" si="61"/>
        <v>304.30002571338792</v>
      </c>
      <c r="BH75" s="59">
        <f t="shared" si="62"/>
        <v>597.63335904672124</v>
      </c>
      <c r="BI75" s="59">
        <f ca="1">AVERAGE(OFFSET($BH$3,0,0,'Données projet'!$E$11+1,1))-AVERAGE(OFFSET($H$3,0,0,'Données projet'!$E$11+1,1))</f>
        <v>141.78548348627351</v>
      </c>
      <c r="BJ75" s="59">
        <f t="shared" si="92"/>
        <v>162.67012146297657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1.4329364056411729</v>
      </c>
      <c r="BR75" s="21">
        <f>EXP(-LN(2)/2)*BR74+(1-EXP(-LN(2)/2))/(LN(2)/2)*BL75*BO75*VLOOKUP('Données projet'!$B$11,Paramètres!$A$1:$I$89,3,0)*0.475*44/12</f>
        <v>3.4110277441845955E-6</v>
      </c>
      <c r="BS75" s="22">
        <f t="shared" si="63"/>
        <v>1.4329398166689171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-5.1431925385259088E-14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394.42011098756564</v>
      </c>
      <c r="T76" s="59">
        <f t="shared" si="88"/>
        <v>559.92215054152859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263.03078346375446</v>
      </c>
      <c r="AO76" s="59">
        <f t="shared" si="90"/>
        <v>251.74283929680905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0.79867488905150907</v>
      </c>
      <c r="AW76" s="21">
        <f>EXP(-LN(2)/2)*AW75+(1-EXP(-LN(2)/2))/(LN(2)/2)*AQ76*AT76*VLOOKUP('Données projet'!$B$10,Paramètres!$A$1:$I$89,3,0)*0.475*44/12</f>
        <v>3.4303288270992197E-7</v>
      </c>
      <c r="AX76" s="21">
        <f t="shared" si="60"/>
        <v>0.79867523208439173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7.7</v>
      </c>
      <c r="BD76" s="12">
        <f>IF('Données projet'!$A$88&gt;35,BD75+BC76-BL75,IF(A76&lt;'Données projet'!$A$88,$BA$205^A76,IF(A76='Données projet'!$A$88,'Données projet'!$B$88,BD75+BC76-BL75)))</f>
        <v>304.09999999999997</v>
      </c>
      <c r="BE76" s="13">
        <f>BD76*VLOOKUP('Données projet'!$B$11,Paramètres!$A$1:$I$89,3,0)*VLOOKUP('Données projet'!$B$11,Paramètres!$A$1:$I$89,5,0)</f>
        <v>142.31879999999998</v>
      </c>
      <c r="BF76" s="13">
        <f t="shared" si="91"/>
        <v>36.827701083097658</v>
      </c>
      <c r="BG76" s="20">
        <f t="shared" si="61"/>
        <v>312.01348938639501</v>
      </c>
      <c r="BH76" s="59">
        <f t="shared" si="62"/>
        <v>605.34682271972838</v>
      </c>
      <c r="BI76" s="59">
        <f ca="1">AVERAGE(OFFSET($BH$3,0,0,'Données projet'!$E$11+1,1))-AVERAGE(OFFSET($H$3,0,0,'Données projet'!$E$11+1,1))</f>
        <v>141.78548348627351</v>
      </c>
      <c r="BJ76" s="59">
        <f t="shared" si="92"/>
        <v>162.67012146297657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1.3937526842740644</v>
      </c>
      <c r="BR76" s="21">
        <f>EXP(-LN(2)/2)*BR75+(1-EXP(-LN(2)/2))/(LN(2)/2)*BL76*BO76*VLOOKUP('Données projet'!$B$11,Paramètres!$A$1:$I$89,3,0)*0.475*44/12</f>
        <v>2.4119608487283795E-6</v>
      </c>
      <c r="BS76" s="22">
        <f t="shared" si="63"/>
        <v>1.3937550962349132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-5.1431925385259088E-14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394.42011098756564</v>
      </c>
      <c r="T77" s="59">
        <f t="shared" si="88"/>
        <v>559.92215054152859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263.03078346375446</v>
      </c>
      <c r="AO77" s="59">
        <f t="shared" si="90"/>
        <v>251.74283929680905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0.77683508220990849</v>
      </c>
      <c r="AW77" s="21">
        <f>EXP(-LN(2)/2)*AW76+(1-EXP(-LN(2)/2))/(LN(2)/2)*AQ77*AT77*VLOOKUP('Données projet'!$B$10,Paramètres!$A$1:$I$89,3,0)*0.475*44/12</f>
        <v>2.4256087753415542E-7</v>
      </c>
      <c r="AX77" s="21">
        <f t="shared" si="60"/>
        <v>0.77683532477078598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7.7</v>
      </c>
      <c r="BD77" s="12">
        <f>IF('Données projet'!$A$88&gt;35,BD76+BC77-BL76,IF(A77&lt;'Données projet'!$A$88,$BA$205^A77,IF(A77='Données projet'!$A$88,'Données projet'!$B$88,BD76+BC77-BL76)))</f>
        <v>311.79999999999995</v>
      </c>
      <c r="BE77" s="13">
        <f>BD77*VLOOKUP('Données projet'!$B$11,Paramètres!$A$1:$I$89,3,0)*VLOOKUP('Données projet'!$B$11,Paramètres!$A$1:$I$89,5,0)</f>
        <v>145.92239999999998</v>
      </c>
      <c r="BF77" s="13">
        <f t="shared" si="91"/>
        <v>37.650455281273636</v>
      </c>
      <c r="BG77" s="20">
        <f t="shared" si="61"/>
        <v>319.72272294821823</v>
      </c>
      <c r="BH77" s="59">
        <f t="shared" si="62"/>
        <v>613.05605628155149</v>
      </c>
      <c r="BI77" s="59">
        <f ca="1">AVERAGE(OFFSET($BH$3,0,0,'Données projet'!$E$11+1,1))-AVERAGE(OFFSET($H$3,0,0,'Données projet'!$E$11+1,1))</f>
        <v>141.78548348627351</v>
      </c>
      <c r="BJ77" s="59">
        <f t="shared" si="92"/>
        <v>162.67012146297657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1.3556404438283218</v>
      </c>
      <c r="BR77" s="21">
        <f>EXP(-LN(2)/2)*BR76+(1-EXP(-LN(2)/2))/(LN(2)/2)*BL77*BO77*VLOOKUP('Données projet'!$B$11,Paramètres!$A$1:$I$89,3,0)*0.475*44/12</f>
        <v>1.7055138720922977E-6</v>
      </c>
      <c r="BS77" s="22">
        <f t="shared" si="63"/>
        <v>1.355642149342194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-5.1431925385259088E-14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394.42011098756564</v>
      </c>
      <c r="T78" s="59">
        <f t="shared" si="88"/>
        <v>559.92215054152859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263.03078346375446</v>
      </c>
      <c r="AO78" s="59">
        <f t="shared" si="90"/>
        <v>251.74283929680905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0.75559248603489704</v>
      </c>
      <c r="AW78" s="21">
        <f>EXP(-LN(2)/2)*AW77+(1-EXP(-LN(2)/2))/(LN(2)/2)*AQ78*AT78*VLOOKUP('Données projet'!$B$10,Paramètres!$A$1:$I$89,3,0)*0.475*44/12</f>
        <v>1.7151644135496099E-7</v>
      </c>
      <c r="AX78" s="21">
        <f t="shared" si="60"/>
        <v>0.75559265755133842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7.7</v>
      </c>
      <c r="BD78" s="12">
        <f>IF('Données projet'!$A$88&gt;35,BD77+BC78-BL77,IF(A78&lt;'Données projet'!$A$88,$BA$205^A78,IF(A78='Données projet'!$A$88,'Données projet'!$B$88,BD77+BC78-BL77)))</f>
        <v>319.49999999999994</v>
      </c>
      <c r="BE78" s="13">
        <f>BD78*VLOOKUP('Données projet'!$B$11,Paramètres!$A$1:$I$89,3,0)*VLOOKUP('Données projet'!$B$11,Paramètres!$A$1:$I$89,5,0)</f>
        <v>149.52599999999998</v>
      </c>
      <c r="BF78" s="13">
        <f t="shared" si="91"/>
        <v>38.470847585964236</v>
      </c>
      <c r="BG78" s="20">
        <f t="shared" si="61"/>
        <v>327.4278428788877</v>
      </c>
      <c r="BH78" s="59">
        <f t="shared" si="62"/>
        <v>620.76117621222102</v>
      </c>
      <c r="BI78" s="59">
        <f ca="1">AVERAGE(OFFSET($BH$3,0,0,'Données projet'!$E$11+1,1))-AVERAGE(OFFSET($H$3,0,0,'Données projet'!$E$11+1,1))</f>
        <v>141.78548348627351</v>
      </c>
      <c r="BJ78" s="59">
        <f t="shared" si="92"/>
        <v>162.67012146297657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1.3185703846018038</v>
      </c>
      <c r="BR78" s="21">
        <f>EXP(-LN(2)/2)*BR77+(1-EXP(-LN(2)/2))/(LN(2)/2)*BL78*BO78*VLOOKUP('Données projet'!$B$11,Paramètres!$A$1:$I$89,3,0)*0.475*44/12</f>
        <v>1.2059804243641898E-6</v>
      </c>
      <c r="BS78" s="22">
        <f t="shared" si="63"/>
        <v>1.3185715905822282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-5.1431925385259088E-14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394.42011098756564</v>
      </c>
      <c r="T79" s="59">
        <f t="shared" si="88"/>
        <v>559.92215054152859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263.03078346375446</v>
      </c>
      <c r="AO79" s="59">
        <f t="shared" si="90"/>
        <v>251.74283929680905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0.73493076976939087</v>
      </c>
      <c r="AW79" s="21">
        <f>EXP(-LN(2)/2)*AW78+(1-EXP(-LN(2)/2))/(LN(2)/2)*AQ79*AT79*VLOOKUP('Données projet'!$B$10,Paramètres!$A$1:$I$89,3,0)*0.475*44/12</f>
        <v>1.2128043876707771E-7</v>
      </c>
      <c r="AX79" s="21">
        <f t="shared" si="60"/>
        <v>0.73493089104982967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7.7</v>
      </c>
      <c r="BD79" s="12">
        <f>IF('Données projet'!$A$88&gt;35,BD78+BC79-BL78,IF(A79&lt;'Données projet'!$A$88,$BA$205^A79,IF(A79='Données projet'!$A$88,'Données projet'!$B$88,BD78+BC79-BL78)))</f>
        <v>327.19999999999993</v>
      </c>
      <c r="BE79" s="13">
        <f>BD79*VLOOKUP('Données projet'!$B$11,Paramètres!$A$1:$I$89,3,0)*VLOOKUP('Données projet'!$B$11,Paramètres!$A$1:$I$89,5,0)</f>
        <v>153.12959999999998</v>
      </c>
      <c r="BF79" s="13">
        <f t="shared" si="91"/>
        <v>39.288941468267019</v>
      </c>
      <c r="BG79" s="20">
        <f t="shared" si="61"/>
        <v>335.12895972389833</v>
      </c>
      <c r="BH79" s="59">
        <f t="shared" si="62"/>
        <v>628.46229305723159</v>
      </c>
      <c r="BI79" s="59">
        <f ca="1">AVERAGE(OFFSET($BH$3,0,0,'Données projet'!$E$11+1,1))-AVERAGE(OFFSET($H$3,0,0,'Données projet'!$E$11+1,1))</f>
        <v>141.78548348627351</v>
      </c>
      <c r="BJ79" s="59">
        <f t="shared" si="92"/>
        <v>162.67012146297657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1.2825140080942645</v>
      </c>
      <c r="BR79" s="21">
        <f>EXP(-LN(2)/2)*BR78+(1-EXP(-LN(2)/2))/(LN(2)/2)*BL79*BO79*VLOOKUP('Données projet'!$B$11,Paramètres!$A$1:$I$89,3,0)*0.475*44/12</f>
        <v>8.5275693604614887E-7</v>
      </c>
      <c r="BS79" s="22">
        <f t="shared" si="63"/>
        <v>1.2825148608512005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-5.1431925385259088E-14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394.42011098756564</v>
      </c>
      <c r="T80" s="59">
        <f t="shared" si="88"/>
        <v>559.92215054152859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263.03078346375446</v>
      </c>
      <c r="AO80" s="59">
        <f t="shared" si="90"/>
        <v>251.74283929680905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0.71483404922171745</v>
      </c>
      <c r="AW80" s="21">
        <f>EXP(-LN(2)/2)*AW79+(1-EXP(-LN(2)/2))/(LN(2)/2)*AQ80*AT80*VLOOKUP('Données projet'!$B$10,Paramètres!$A$1:$I$89,3,0)*0.475*44/12</f>
        <v>8.5758220677480493E-8</v>
      </c>
      <c r="AX80" s="21">
        <f t="shared" si="60"/>
        <v>0.71483413497993809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7.7</v>
      </c>
      <c r="BD80" s="12">
        <f>IF('Données projet'!$A$88&gt;35,BD79+BC80-BL79,IF(A80&lt;'Données projet'!$A$88,$BA$205^A80,IF(A80='Données projet'!$A$88,'Données projet'!$B$88,BD79+BC80-BL79)))</f>
        <v>334.89999999999992</v>
      </c>
      <c r="BE80" s="13">
        <f>BD80*VLOOKUP('Données projet'!$B$11,Paramètres!$A$1:$I$89,3,0)*VLOOKUP('Données projet'!$B$11,Paramètres!$A$1:$I$89,5,0)</f>
        <v>156.73319999999995</v>
      </c>
      <c r="BF80" s="13">
        <f t="shared" si="91"/>
        <v>40.104797241533646</v>
      </c>
      <c r="BG80" s="20">
        <f t="shared" si="61"/>
        <v>342.82617852900427</v>
      </c>
      <c r="BH80" s="59">
        <f t="shared" si="62"/>
        <v>636.15951186233758</v>
      </c>
      <c r="BI80" s="59">
        <f ca="1">AVERAGE(OFFSET($BH$3,0,0,'Données projet'!$E$11+1,1))-AVERAGE(OFFSET($H$3,0,0,'Données projet'!$E$11+1,1))</f>
        <v>141.78548348627351</v>
      </c>
      <c r="BJ80" s="59">
        <f t="shared" si="92"/>
        <v>162.67012146297657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1.2474435950984464</v>
      </c>
      <c r="BR80" s="21">
        <f>EXP(-LN(2)/2)*BR79+(1-EXP(-LN(2)/2))/(LN(2)/2)*BL80*BO80*VLOOKUP('Données projet'!$B$11,Paramètres!$A$1:$I$89,3,0)*0.475*44/12</f>
        <v>6.0299021218209488E-7</v>
      </c>
      <c r="BS80" s="22">
        <f t="shared" si="63"/>
        <v>1.2474441980886586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-5.1431925385259088E-14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394.42011098756564</v>
      </c>
      <c r="T81" s="59">
        <f t="shared" si="88"/>
        <v>559.92215054152859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263.03078346375446</v>
      </c>
      <c r="AO81" s="59">
        <f t="shared" si="90"/>
        <v>251.74283929680905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0.69528687455426075</v>
      </c>
      <c r="AW81" s="21">
        <f>EXP(-LN(2)/2)*AW80+(1-EXP(-LN(2)/2))/(LN(2)/2)*AQ81*AT81*VLOOKUP('Données projet'!$B$10,Paramètres!$A$1:$I$89,3,0)*0.475*44/12</f>
        <v>6.0640219383538854E-8</v>
      </c>
      <c r="AX81" s="21">
        <f t="shared" si="60"/>
        <v>0.69528693519448015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7.7</v>
      </c>
      <c r="BD81" s="12">
        <f>IF('Données projet'!$A$88&gt;35,BD80+BC81-BL80,IF(A81&lt;'Données projet'!$A$88,$BA$205^A81,IF(A81='Données projet'!$A$88,'Données projet'!$B$88,BD80+BC81-BL80)))</f>
        <v>342.59999999999991</v>
      </c>
      <c r="BE81" s="13">
        <f>BD81*VLOOKUP('Données projet'!$B$11,Paramètres!$A$1:$I$89,3,0)*VLOOKUP('Données projet'!$B$11,Paramètres!$A$1:$I$89,5,0)</f>
        <v>160.33679999999995</v>
      </c>
      <c r="BF81" s="13">
        <f t="shared" si="91"/>
        <v>40.918472287406409</v>
      </c>
      <c r="BG81" s="20">
        <f t="shared" si="61"/>
        <v>350.51959923389944</v>
      </c>
      <c r="BH81" s="59">
        <f t="shared" si="62"/>
        <v>643.85293256723276</v>
      </c>
      <c r="BI81" s="59">
        <f ca="1">AVERAGE(OFFSET($BH$3,0,0,'Données projet'!$E$11+1,1))-AVERAGE(OFFSET($H$3,0,0,'Données projet'!$E$11+1,1))</f>
        <v>141.78548348627351</v>
      </c>
      <c r="BJ81" s="59">
        <f t="shared" si="92"/>
        <v>162.67012146297657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1.2133321843902718</v>
      </c>
      <c r="BR81" s="21">
        <f>EXP(-LN(2)/2)*BR80+(1-EXP(-LN(2)/2))/(LN(2)/2)*BL81*BO81*VLOOKUP('Données projet'!$B$11,Paramètres!$A$1:$I$89,3,0)*0.475*44/12</f>
        <v>4.2637846802307443E-7</v>
      </c>
      <c r="BS81" s="22">
        <f t="shared" si="63"/>
        <v>1.2133326107687399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-5.1431925385259088E-14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394.42011098756564</v>
      </c>
      <c r="T82" s="59">
        <f t="shared" si="88"/>
        <v>559.92215054152859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263.03078346375446</v>
      </c>
      <c r="AO82" s="59">
        <f t="shared" si="90"/>
        <v>251.74283929680905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0.67627421840602686</v>
      </c>
      <c r="AW82" s="21">
        <f>EXP(-LN(2)/2)*AW81+(1-EXP(-LN(2)/2))/(LN(2)/2)*AQ82*AT82*VLOOKUP('Données projet'!$B$10,Paramètres!$A$1:$I$89,3,0)*0.475*44/12</f>
        <v>4.2879110338740246E-8</v>
      </c>
      <c r="AX82" s="21">
        <f t="shared" si="60"/>
        <v>0.67627426128513723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7.7</v>
      </c>
      <c r="BD82" s="12">
        <f>IF('Données projet'!$A$88&gt;35,BD81+BC82-BL81,IF(A82&lt;'Données projet'!$A$88,$BA$205^A82,IF(A82='Données projet'!$A$88,'Données projet'!$B$88,BD81+BC82-BL81)))</f>
        <v>350.2999999999999</v>
      </c>
      <c r="BE82" s="13">
        <f>BD82*VLOOKUP('Données projet'!$B$11,Paramètres!$A$1:$I$89,3,0)*VLOOKUP('Données projet'!$B$11,Paramètres!$A$1:$I$89,5,0)</f>
        <v>163.94039999999995</v>
      </c>
      <c r="BF82" s="13">
        <f t="shared" si="91"/>
        <v>41.730021260961159</v>
      </c>
      <c r="BG82" s="20">
        <f t="shared" si="61"/>
        <v>358.2093170295073</v>
      </c>
      <c r="BH82" s="59">
        <f t="shared" si="62"/>
        <v>651.54265036284062</v>
      </c>
      <c r="BI82" s="59">
        <f ca="1">AVERAGE(OFFSET($BH$3,0,0,'Données projet'!$E$11+1,1))-AVERAGE(OFFSET($H$3,0,0,'Données projet'!$E$11+1,1))</f>
        <v>141.78548348627351</v>
      </c>
      <c r="BJ82" s="59">
        <f t="shared" si="92"/>
        <v>162.67012146297657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1.1801535520017534</v>
      </c>
      <c r="BR82" s="21">
        <f>EXP(-LN(2)/2)*BR81+(1-EXP(-LN(2)/2))/(LN(2)/2)*BL82*BO82*VLOOKUP('Données projet'!$B$11,Paramètres!$A$1:$I$89,3,0)*0.475*44/12</f>
        <v>3.0149510609104744E-7</v>
      </c>
      <c r="BS82" s="22">
        <f t="shared" si="63"/>
        <v>1.1801538534968594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-5.1431925385259088E-14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394.42011098756564</v>
      </c>
      <c r="T83" s="59">
        <f t="shared" si="88"/>
        <v>559.92215054152859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263.03078346375446</v>
      </c>
      <c r="AO83" s="59">
        <f t="shared" si="90"/>
        <v>251.74283929680905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0.65778146433999851</v>
      </c>
      <c r="AW83" s="21">
        <f>EXP(-LN(2)/2)*AW82+(1-EXP(-LN(2)/2))/(LN(2)/2)*AQ83*AT83*VLOOKUP('Données projet'!$B$10,Paramètres!$A$1:$I$89,3,0)*0.475*44/12</f>
        <v>3.0320109691769427E-8</v>
      </c>
      <c r="AX83" s="21">
        <f t="shared" si="60"/>
        <v>0.65778149466010816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358</v>
      </c>
      <c r="BB83" s="12">
        <f>VLOOKUP(A83,'Données projet'!$A$87:$I$107,9,0)</f>
        <v>7.7</v>
      </c>
      <c r="BC83" s="12">
        <f t="array" ref="BC83">INDEX(BB:BB,MIN(IF(ISNUMBER(BB83:BB279),ROW(BB83:BB279),"")))</f>
        <v>7.7</v>
      </c>
      <c r="BD83" s="12">
        <f>IF('Données projet'!$A$88&gt;35,BD82+BC83-BL82,IF(A83&lt;'Données projet'!$A$88,$BA$205^A83,IF(A83='Données projet'!$A$88,'Données projet'!$B$88,BD82+BC83-BL82)))</f>
        <v>357.99999999999989</v>
      </c>
      <c r="BE83" s="13">
        <f>BD83*VLOOKUP('Données projet'!$B$11,Paramètres!$A$1:$I$89,3,0)*VLOOKUP('Données projet'!$B$11,Paramètres!$A$1:$I$89,5,0)</f>
        <v>167.54399999999995</v>
      </c>
      <c r="BF83" s="13">
        <f t="shared" si="91"/>
        <v>42.539496277304188</v>
      </c>
      <c r="BG83" s="20">
        <f t="shared" si="61"/>
        <v>365.8954226829714</v>
      </c>
      <c r="BH83" s="59">
        <f t="shared" si="62"/>
        <v>659.22875601630471</v>
      </c>
      <c r="BI83" s="59">
        <f ca="1">AVERAGE(OFFSET($BH$3,0,0,'Données projet'!$E$11+1,1))-AVERAGE(OFFSET($H$3,0,0,'Données projet'!$E$11+1,1))</f>
        <v>141.78548348627351</v>
      </c>
      <c r="BJ83" s="59">
        <f t="shared" si="92"/>
        <v>162.67012146297657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358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1.1478821910606876</v>
      </c>
      <c r="BR83" s="21">
        <f>EXP(-LN(2)/2)*BR82+(1-EXP(-LN(2)/2))/(LN(2)/2)*BL83*BO83*VLOOKUP('Données projet'!$B$11,Paramètres!$A$1:$I$89,3,0)*0.475*44/12</f>
        <v>2.1318923401153722E-7</v>
      </c>
      <c r="BS83" s="22">
        <f t="shared" si="63"/>
        <v>1.1478824042499216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-5.1431925385259088E-14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394.42011098756564</v>
      </c>
      <c r="T84" s="59">
        <f t="shared" si="88"/>
        <v>559.92215054152859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263.03078346375446</v>
      </c>
      <c r="AO84" s="59">
        <f t="shared" si="90"/>
        <v>251.74283929680905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0.63979439560639739</v>
      </c>
      <c r="AW84" s="21">
        <f>EXP(-LN(2)/2)*AW83+(1-EXP(-LN(2)/2))/(LN(2)/2)*AQ84*AT84*VLOOKUP('Données projet'!$B$10,Paramètres!$A$1:$I$89,3,0)*0.475*44/12</f>
        <v>2.1439555169370123E-8</v>
      </c>
      <c r="AX84" s="21">
        <f t="shared" si="60"/>
        <v>0.63979441704595252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-5.3205440053716299E-14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141.78548348627351</v>
      </c>
      <c r="BJ84" s="59">
        <f t="shared" si="92"/>
        <v>162.67012146297657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1.1164932921816322</v>
      </c>
      <c r="BR84" s="21">
        <f>EXP(-LN(2)/2)*BR83+(1-EXP(-LN(2)/2))/(LN(2)/2)*BL84*BO84*VLOOKUP('Données projet'!$B$11,Paramètres!$A$1:$I$89,3,0)*0.475*44/12</f>
        <v>1.5074755304552372E-7</v>
      </c>
      <c r="BS84" s="22">
        <f t="shared" si="63"/>
        <v>1.1164934429291853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-5.1431925385259088E-14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394.42011098756564</v>
      </c>
      <c r="T85" s="59">
        <f t="shared" si="88"/>
        <v>559.92215054152859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263.03078346375446</v>
      </c>
      <c r="AO85" s="59">
        <f t="shared" si="90"/>
        <v>251.74283929680905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0.62229918421321551</v>
      </c>
      <c r="AW85" s="21">
        <f>EXP(-LN(2)/2)*AW84+(1-EXP(-LN(2)/2))/(LN(2)/2)*AQ85*AT85*VLOOKUP('Données projet'!$B$10,Paramètres!$A$1:$I$89,3,0)*0.475*44/12</f>
        <v>1.5160054845884713E-8</v>
      </c>
      <c r="AX85" s="21">
        <f t="shared" si="60"/>
        <v>0.62229919937327038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-5.3205440053716299E-14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141.78548348627351</v>
      </c>
      <c r="BJ85" s="59">
        <f t="shared" si="92"/>
        <v>162.67012146297657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1.0859627243930949</v>
      </c>
      <c r="BR85" s="21">
        <f>EXP(-LN(2)/2)*BR84+(1-EXP(-LN(2)/2))/(LN(2)/2)*BL85*BO85*VLOOKUP('Données projet'!$B$11,Paramètres!$A$1:$I$89,3,0)*0.475*44/12</f>
        <v>1.0659461700576861E-7</v>
      </c>
      <c r="BS85" s="22">
        <f t="shared" si="63"/>
        <v>1.0859628309877118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-5.1431925385259088E-14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394.42011098756564</v>
      </c>
      <c r="T86" s="59">
        <f t="shared" si="88"/>
        <v>559.92215054152859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263.03078346375446</v>
      </c>
      <c r="AO86" s="59">
        <f t="shared" si="90"/>
        <v>251.74283929680905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0.60528238029561332</v>
      </c>
      <c r="AW86" s="21">
        <f>EXP(-LN(2)/2)*AW85+(1-EXP(-LN(2)/2))/(LN(2)/2)*AQ86*AT86*VLOOKUP('Données projet'!$B$10,Paramètres!$A$1:$I$89,3,0)*0.475*44/12</f>
        <v>1.0719777584685062E-8</v>
      </c>
      <c r="AX86" s="21">
        <f t="shared" si="60"/>
        <v>0.60528239101539094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-5.3205440053716299E-14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141.78548348627351</v>
      </c>
      <c r="BJ86" s="59">
        <f t="shared" si="92"/>
        <v>162.67012146297657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1.056267016586268</v>
      </c>
      <c r="BR86" s="21">
        <f>EXP(-LN(2)/2)*BR85+(1-EXP(-LN(2)/2))/(LN(2)/2)*BL86*BO86*VLOOKUP('Données projet'!$B$11,Paramètres!$A$1:$I$89,3,0)*0.475*44/12</f>
        <v>7.537377652276186E-8</v>
      </c>
      <c r="BS86" s="22">
        <f t="shared" si="63"/>
        <v>1.0562670919600445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-5.1431925385259088E-14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394.42011098756564</v>
      </c>
      <c r="T87" s="59">
        <f t="shared" si="88"/>
        <v>559.92215054152859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263.03078346375446</v>
      </c>
      <c r="AO87" s="59">
        <f t="shared" si="90"/>
        <v>251.74283929680905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0.58873090177601284</v>
      </c>
      <c r="AW87" s="21">
        <f>EXP(-LN(2)/2)*AW86+(1-EXP(-LN(2)/2))/(LN(2)/2)*AQ87*AT87*VLOOKUP('Données projet'!$B$10,Paramètres!$A$1:$I$89,3,0)*0.475*44/12</f>
        <v>7.5800274229423567E-9</v>
      </c>
      <c r="AX87" s="21">
        <f t="shared" si="60"/>
        <v>0.58873090935604022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-5.3205440053716299E-14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141.78548348627351</v>
      </c>
      <c r="BJ87" s="59">
        <f t="shared" si="92"/>
        <v>162.67012146297657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1.0273833394710483</v>
      </c>
      <c r="BR87" s="21">
        <f>EXP(-LN(2)/2)*BR86+(1-EXP(-LN(2)/2))/(LN(2)/2)*BL87*BO87*VLOOKUP('Données projet'!$B$11,Paramètres!$A$1:$I$89,3,0)*0.475*44/12</f>
        <v>5.3297308502884304E-8</v>
      </c>
      <c r="BS87" s="22">
        <f t="shared" si="63"/>
        <v>1.0273833927683569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-5.1431925385259088E-14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394.42011098756564</v>
      </c>
      <c r="T88" s="59">
        <f t="shared" si="88"/>
        <v>559.92215054152859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263.03078346375446</v>
      </c>
      <c r="AO88" s="59">
        <f t="shared" si="90"/>
        <v>251.74283929680905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0.57263202430693516</v>
      </c>
      <c r="AW88" s="21">
        <f>EXP(-LN(2)/2)*AW87+(1-EXP(-LN(2)/2))/(LN(2)/2)*AQ88*AT88*VLOOKUP('Données projet'!$B$10,Paramètres!$A$1:$I$89,3,0)*0.475*44/12</f>
        <v>5.3598887923425308E-9</v>
      </c>
      <c r="AX88" s="21">
        <f t="shared" si="60"/>
        <v>0.57263202966682392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-5.3205440053716299E-14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141.78548348627351</v>
      </c>
      <c r="BJ88" s="59">
        <f t="shared" si="92"/>
        <v>162.67012146297657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0.9992894880254708</v>
      </c>
      <c r="BR88" s="21">
        <f>EXP(-LN(2)/2)*BR87+(1-EXP(-LN(2)/2))/(LN(2)/2)*BL88*BO88*VLOOKUP('Données projet'!$B$11,Paramètres!$A$1:$I$89,3,0)*0.475*44/12</f>
        <v>3.768688826138093E-8</v>
      </c>
      <c r="BS88" s="22">
        <f t="shared" si="63"/>
        <v>0.99928952571235907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-5.1431925385259088E-14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394.42011098756564</v>
      </c>
      <c r="T89" s="59">
        <f t="shared" si="88"/>
        <v>559.92215054152859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263.03078346375446</v>
      </c>
      <c r="AO89" s="59">
        <f t="shared" si="90"/>
        <v>251.74283929680905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0.55697337148885262</v>
      </c>
      <c r="AW89" s="21">
        <f>EXP(-LN(2)/2)*AW88+(1-EXP(-LN(2)/2))/(LN(2)/2)*AQ89*AT89*VLOOKUP('Données projet'!$B$10,Paramètres!$A$1:$I$89,3,0)*0.475*44/12</f>
        <v>3.7900137114711784E-9</v>
      </c>
      <c r="AX89" s="21">
        <f t="shared" si="60"/>
        <v>0.55697337527886637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-5.3205440053716299E-14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141.78548348627351</v>
      </c>
      <c r="BJ89" s="59">
        <f t="shared" si="92"/>
        <v>162.67012146297657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0.97196386442506399</v>
      </c>
      <c r="BR89" s="21">
        <f>EXP(-LN(2)/2)*BR88+(1-EXP(-LN(2)/2))/(LN(2)/2)*BL89*BO89*VLOOKUP('Données projet'!$B$11,Paramètres!$A$1:$I$89,3,0)*0.475*44/12</f>
        <v>2.6648654251442152E-8</v>
      </c>
      <c r="BS89" s="22">
        <f t="shared" si="63"/>
        <v>0.97196389107371828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-5.1431925385259088E-14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394.42011098756564</v>
      </c>
      <c r="T90" s="59">
        <f t="shared" si="88"/>
        <v>559.92215054152859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263.03078346375446</v>
      </c>
      <c r="AO90" s="59">
        <f t="shared" si="90"/>
        <v>251.74283929680905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0.54174290535553327</v>
      </c>
      <c r="AW90" s="21">
        <f>EXP(-LN(2)/2)*AW89+(1-EXP(-LN(2)/2))/(LN(2)/2)*AQ90*AT90*VLOOKUP('Données projet'!$B$10,Paramètres!$A$1:$I$89,3,0)*0.475*44/12</f>
        <v>2.6799443961712654E-9</v>
      </c>
      <c r="AX90" s="21">
        <f t="shared" si="60"/>
        <v>0.54174290803547764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-5.3205440053716299E-14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141.78548348627351</v>
      </c>
      <c r="BJ90" s="59">
        <f t="shared" si="92"/>
        <v>162.67012146297657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0.94538546143900248</v>
      </c>
      <c r="BR90" s="21">
        <f>EXP(-LN(2)/2)*BR89+(1-EXP(-LN(2)/2))/(LN(2)/2)*BL90*BO90*VLOOKUP('Données projet'!$B$11,Paramètres!$A$1:$I$89,3,0)*0.475*44/12</f>
        <v>1.8843444130690465E-8</v>
      </c>
      <c r="BS90" s="22">
        <f t="shared" si="63"/>
        <v>0.94538548028244662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-5.1431925385259088E-14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394.42011098756564</v>
      </c>
      <c r="T91" s="59">
        <f t="shared" si="88"/>
        <v>559.92215054152859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263.03078346375446</v>
      </c>
      <c r="AO91" s="59">
        <f t="shared" si="90"/>
        <v>251.74283929680905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0.52692891711956502</v>
      </c>
      <c r="AW91" s="21">
        <f>EXP(-LN(2)/2)*AW90+(1-EXP(-LN(2)/2))/(LN(2)/2)*AQ91*AT91*VLOOKUP('Données projet'!$B$10,Paramètres!$A$1:$I$89,3,0)*0.475*44/12</f>
        <v>1.8950068557355892E-9</v>
      </c>
      <c r="AX91" s="21">
        <f t="shared" si="60"/>
        <v>0.52692891901457184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-5.3205440053716299E-14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141.78548348627351</v>
      </c>
      <c r="BJ91" s="59">
        <f t="shared" si="92"/>
        <v>162.67012146297657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0.91953384628029222</v>
      </c>
      <c r="BR91" s="21">
        <f>EXP(-LN(2)/2)*BR90+(1-EXP(-LN(2)/2))/(LN(2)/2)*BL91*BO91*VLOOKUP('Données projet'!$B$11,Paramètres!$A$1:$I$89,3,0)*0.475*44/12</f>
        <v>1.3324327125721076E-8</v>
      </c>
      <c r="BS91" s="22">
        <f t="shared" si="63"/>
        <v>0.91953385960461931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-5.1431925385259088E-14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394.42011098756564</v>
      </c>
      <c r="T92" s="59">
        <f t="shared" si="88"/>
        <v>559.92215054152859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263.03078346375446</v>
      </c>
      <c r="AO92" s="59">
        <f t="shared" si="90"/>
        <v>251.74283929680905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0.51252001817094306</v>
      </c>
      <c r="AW92" s="21">
        <f>EXP(-LN(2)/2)*AW91+(1-EXP(-LN(2)/2))/(LN(2)/2)*AQ92*AT92*VLOOKUP('Données projet'!$B$10,Paramètres!$A$1:$I$89,3,0)*0.475*44/12</f>
        <v>1.3399721980856327E-9</v>
      </c>
      <c r="AX92" s="21">
        <f t="shared" si="60"/>
        <v>0.5125200195109153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-5.3205440053716299E-14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141.78548348627351</v>
      </c>
      <c r="BJ92" s="59">
        <f t="shared" si="92"/>
        <v>162.67012146297657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0.89438914489757426</v>
      </c>
      <c r="BR92" s="21">
        <f>EXP(-LN(2)/2)*BR91+(1-EXP(-LN(2)/2))/(LN(2)/2)*BL92*BO92*VLOOKUP('Données projet'!$B$11,Paramètres!$A$1:$I$89,3,0)*0.475*44/12</f>
        <v>9.4217220653452325E-9</v>
      </c>
      <c r="BS92" s="22">
        <f t="shared" si="63"/>
        <v>0.89438915431929633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-5.1431925385259088E-14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394.42011098756564</v>
      </c>
      <c r="T93" s="59">
        <f t="shared" si="88"/>
        <v>559.92215054152859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263.03078346375446</v>
      </c>
      <c r="AO93" s="59">
        <f t="shared" si="90"/>
        <v>251.74283929680905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0.49850513132180224</v>
      </c>
      <c r="AW93" s="21">
        <f>EXP(-LN(2)/2)*AW92+(1-EXP(-LN(2)/2))/(LN(2)/2)*AQ93*AT93*VLOOKUP('Données projet'!$B$10,Paramètres!$A$1:$I$89,3,0)*0.475*44/12</f>
        <v>9.4750342786779459E-10</v>
      </c>
      <c r="AX93" s="21">
        <f t="shared" si="60"/>
        <v>0.49850513226930565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-5.3205440053716299E-14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141.78548348627351</v>
      </c>
      <c r="BJ93" s="59">
        <f t="shared" si="92"/>
        <v>162.67012146297657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0.86993202669646907</v>
      </c>
      <c r="BR93" s="21">
        <f>EXP(-LN(2)/2)*BR92+(1-EXP(-LN(2)/2))/(LN(2)/2)*BL93*BO93*VLOOKUP('Données projet'!$B$11,Paramètres!$A$1:$I$89,3,0)*0.475*44/12</f>
        <v>6.662163562860538E-9</v>
      </c>
      <c r="BS93" s="22">
        <f t="shared" si="63"/>
        <v>0.86993203335863267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-5.1431925385259088E-14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394.42011098756564</v>
      </c>
      <c r="T94" s="59">
        <f t="shared" si="88"/>
        <v>559.92215054152859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263.03078346375446</v>
      </c>
      <c r="AO94" s="59">
        <f t="shared" si="90"/>
        <v>251.74283929680905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0.48487348229056204</v>
      </c>
      <c r="AW94" s="21">
        <f>EXP(-LN(2)/2)*AW93+(1-EXP(-LN(2)/2))/(LN(2)/2)*AQ94*AT94*VLOOKUP('Données projet'!$B$10,Paramètres!$A$1:$I$89,3,0)*0.475*44/12</f>
        <v>6.6998609904281635E-10</v>
      </c>
      <c r="AX94" s="21">
        <f t="shared" si="60"/>
        <v>0.48487348296054816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-5.3205440053716299E-14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141.78548348627351</v>
      </c>
      <c r="BJ94" s="59">
        <f t="shared" si="92"/>
        <v>162.67012146297657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0.84614368967871711</v>
      </c>
      <c r="BR94" s="21">
        <f>EXP(-LN(2)/2)*BR93+(1-EXP(-LN(2)/2))/(LN(2)/2)*BL94*BO94*VLOOKUP('Données projet'!$B$11,Paramètres!$A$1:$I$89,3,0)*0.475*44/12</f>
        <v>4.7108610326726163E-9</v>
      </c>
      <c r="BS94" s="22">
        <f t="shared" si="63"/>
        <v>0.84614369438957815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-5.1431925385259088E-14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394.42011098756564</v>
      </c>
      <c r="T95" s="59">
        <f t="shared" si="88"/>
        <v>559.92215054152859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263.03078346375446</v>
      </c>
      <c r="AO95" s="59">
        <f t="shared" si="90"/>
        <v>251.74283929680905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0.47161459141893836</v>
      </c>
      <c r="AW95" s="21">
        <f>EXP(-LN(2)/2)*AW94+(1-EXP(-LN(2)/2))/(LN(2)/2)*AQ95*AT95*VLOOKUP('Données projet'!$B$10,Paramètres!$A$1:$I$89,3,0)*0.475*44/12</f>
        <v>4.737517139338973E-10</v>
      </c>
      <c r="AX95" s="21">
        <f t="shared" si="60"/>
        <v>0.47161459189269006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-5.3205440053716299E-14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141.78548348627351</v>
      </c>
      <c r="BJ95" s="59">
        <f t="shared" si="92"/>
        <v>162.67012146297657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0.82300584598768989</v>
      </c>
      <c r="BR95" s="21">
        <f>EXP(-LN(2)/2)*BR94+(1-EXP(-LN(2)/2))/(LN(2)/2)*BL95*BO95*VLOOKUP('Données projet'!$B$11,Paramètres!$A$1:$I$89,3,0)*0.475*44/12</f>
        <v>3.331081781430269E-9</v>
      </c>
      <c r="BS95" s="22">
        <f t="shared" si="63"/>
        <v>0.82300584931877163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-5.1431925385259088E-14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394.42011098756564</v>
      </c>
      <c r="T96" s="59">
        <f t="shared" si="88"/>
        <v>559.92215054152859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263.03078346375446</v>
      </c>
      <c r="AO96" s="59">
        <f t="shared" si="90"/>
        <v>251.74283929680905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0.45871826561545404</v>
      </c>
      <c r="AW96" s="21">
        <f>EXP(-LN(2)/2)*AW95+(1-EXP(-LN(2)/2))/(LN(2)/2)*AQ96*AT96*VLOOKUP('Données projet'!$B$10,Paramètres!$A$1:$I$89,3,0)*0.475*44/12</f>
        <v>3.3499304952140817E-10</v>
      </c>
      <c r="AX96" s="21">
        <f t="shared" si="60"/>
        <v>0.45871826595044707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-5.3205440053716299E-14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141.78548348627351</v>
      </c>
      <c r="BJ96" s="59">
        <f t="shared" si="92"/>
        <v>162.67012146297657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0.80050070784916005</v>
      </c>
      <c r="BR96" s="21">
        <f>EXP(-LN(2)/2)*BR95+(1-EXP(-LN(2)/2))/(LN(2)/2)*BL96*BO96*VLOOKUP('Données projet'!$B$11,Paramètres!$A$1:$I$89,3,0)*0.475*44/12</f>
        <v>2.3554305163363081E-9</v>
      </c>
      <c r="BS96" s="22">
        <f t="shared" si="63"/>
        <v>0.80050071020459057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-5.1431925385259088E-14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394.42011098756564</v>
      </c>
      <c r="T97" s="59">
        <f t="shared" si="88"/>
        <v>559.92215054152859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263.03078346375446</v>
      </c>
      <c r="AO97" s="59">
        <f t="shared" si="90"/>
        <v>251.74283929680905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0.44617459051925429</v>
      </c>
      <c r="AW97" s="21">
        <f>EXP(-LN(2)/2)*AW96+(1-EXP(-LN(2)/2))/(LN(2)/2)*AQ97*AT97*VLOOKUP('Données projet'!$B$10,Paramètres!$A$1:$I$89,3,0)*0.475*44/12</f>
        <v>2.3687585696694865E-10</v>
      </c>
      <c r="AX97" s="21">
        <f t="shared" si="60"/>
        <v>0.44617459075613014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-5.3205440053716299E-14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141.78548348627351</v>
      </c>
      <c r="BJ97" s="59">
        <f t="shared" si="92"/>
        <v>162.67012146297657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0.77861097389652212</v>
      </c>
      <c r="BR97" s="21">
        <f>EXP(-LN(2)/2)*BR96+(1-EXP(-LN(2)/2))/(LN(2)/2)*BL97*BO97*VLOOKUP('Données projet'!$B$11,Paramètres!$A$1:$I$89,3,0)*0.475*44/12</f>
        <v>1.6655408907151345E-9</v>
      </c>
      <c r="BS97" s="22">
        <f t="shared" si="63"/>
        <v>0.77861097556206305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-5.1431925385259088E-14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394.42011098756564</v>
      </c>
      <c r="T98" s="59">
        <f t="shared" si="88"/>
        <v>559.92215054152859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263.03078346375446</v>
      </c>
      <c r="AO98" s="59">
        <f t="shared" si="90"/>
        <v>251.74283929680905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0.4339739228782033</v>
      </c>
      <c r="AW98" s="21">
        <f>EXP(-LN(2)/2)*AW97+(1-EXP(-LN(2)/2))/(LN(2)/2)*AQ98*AT98*VLOOKUP('Données projet'!$B$10,Paramètres!$A$1:$I$89,3,0)*0.475*44/12</f>
        <v>1.6749652476070409E-10</v>
      </c>
      <c r="AX98" s="21">
        <f t="shared" si="60"/>
        <v>0.43397392304569982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-5.3205440053716299E-14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141.78548348627351</v>
      </c>
      <c r="BJ98" s="59">
        <f t="shared" si="92"/>
        <v>162.67012146297657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0.75731981586995012</v>
      </c>
      <c r="BR98" s="21">
        <f>EXP(-LN(2)/2)*BR97+(1-EXP(-LN(2)/2))/(LN(2)/2)*BL98*BO98*VLOOKUP('Données projet'!$B$11,Paramètres!$A$1:$I$89,3,0)*0.475*44/12</f>
        <v>1.1777152581681541E-9</v>
      </c>
      <c r="BS98" s="22">
        <f t="shared" si="63"/>
        <v>0.75731981704766538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-5.1431925385259088E-14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394.42011098756564</v>
      </c>
      <c r="T99" s="59">
        <f t="shared" si="88"/>
        <v>559.92215054152859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263.03078346375446</v>
      </c>
      <c r="AO99" s="59">
        <f t="shared" si="90"/>
        <v>251.74283929680905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0.42210688313540207</v>
      </c>
      <c r="AW99" s="21">
        <f>EXP(-LN(2)/2)*AW98+(1-EXP(-LN(2)/2))/(LN(2)/2)*AQ99*AT99*VLOOKUP('Données projet'!$B$10,Paramètres!$A$1:$I$89,3,0)*0.475*44/12</f>
        <v>1.1843792848347432E-10</v>
      </c>
      <c r="AX99" s="21">
        <f t="shared" si="60"/>
        <v>0.42210688325383999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-5.3205440053716299E-14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141.78548348627351</v>
      </c>
      <c r="BJ99" s="59">
        <f t="shared" si="92"/>
        <v>162.67012146297657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0.73661086567926815</v>
      </c>
      <c r="BR99" s="21">
        <f>EXP(-LN(2)/2)*BR98+(1-EXP(-LN(2)/2))/(LN(2)/2)*BL99*BO99*VLOOKUP('Données projet'!$B$11,Paramètres!$A$1:$I$89,3,0)*0.475*44/12</f>
        <v>8.3277044535756725E-10</v>
      </c>
      <c r="BS99" s="22">
        <f t="shared" si="63"/>
        <v>0.73661086651203855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-5.1431925385259088E-14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394.42011098756564</v>
      </c>
      <c r="T100" s="59">
        <f t="shared" si="88"/>
        <v>559.92215054152859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263.03078346375446</v>
      </c>
      <c r="AO100" s="59">
        <f t="shared" si="90"/>
        <v>251.74283929680905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0.41056434821842824</v>
      </c>
      <c r="AW100" s="21">
        <f>EXP(-LN(2)/2)*AW99+(1-EXP(-LN(2)/2))/(LN(2)/2)*AQ100*AT100*VLOOKUP('Données projet'!$B$10,Paramètres!$A$1:$I$89,3,0)*0.475*44/12</f>
        <v>8.3748262380352044E-11</v>
      </c>
      <c r="AX100" s="21">
        <f t="shared" si="60"/>
        <v>0.41056434830217653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-5.3205440053716299E-14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141.78548348627351</v>
      </c>
      <c r="BJ100" s="59">
        <f t="shared" si="92"/>
        <v>162.67012146297657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0.71646820282058665</v>
      </c>
      <c r="BR100" s="21">
        <f>EXP(-LN(2)/2)*BR99+(1-EXP(-LN(2)/2))/(LN(2)/2)*BL100*BO100*VLOOKUP('Données projet'!$B$11,Paramètres!$A$1:$I$89,3,0)*0.475*44/12</f>
        <v>5.8885762908407703E-10</v>
      </c>
      <c r="BS100" s="22">
        <f t="shared" si="63"/>
        <v>0.71646820340944428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-5.1431925385259088E-14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394.42011098756564</v>
      </c>
      <c r="T101" s="59">
        <f t="shared" si="88"/>
        <v>559.92215054152859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263.03078346375446</v>
      </c>
      <c r="AO101" s="59">
        <f t="shared" si="90"/>
        <v>251.74283929680905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0.39933744452575459</v>
      </c>
      <c r="AW101" s="21">
        <f>EXP(-LN(2)/2)*AW100+(1-EXP(-LN(2)/2))/(LN(2)/2)*AQ101*AT101*VLOOKUP('Données projet'!$B$10,Paramètres!$A$1:$I$89,3,0)*0.475*44/12</f>
        <v>5.9218964241737162E-11</v>
      </c>
      <c r="AX101" s="21">
        <f t="shared" si="60"/>
        <v>0.39933744458497356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-5.3205440053716299E-14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141.78548348627351</v>
      </c>
      <c r="BJ101" s="59">
        <f t="shared" si="92"/>
        <v>162.67012146297657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0.69687634213703242</v>
      </c>
      <c r="BR101" s="21">
        <f>EXP(-LN(2)/2)*BR100+(1-EXP(-LN(2)/2))/(LN(2)/2)*BL101*BO101*VLOOKUP('Données projet'!$B$11,Paramètres!$A$1:$I$89,3,0)*0.475*44/12</f>
        <v>4.1638522267878363E-10</v>
      </c>
      <c r="BS101" s="22">
        <f t="shared" si="63"/>
        <v>0.69687634255341768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-5.1431925385259088E-14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394.42011098756564</v>
      </c>
      <c r="T102" s="59">
        <f t="shared" si="88"/>
        <v>559.92215054152859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263.03078346375446</v>
      </c>
      <c r="AO102" s="59">
        <f t="shared" si="90"/>
        <v>251.74283929680905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0.3884175411049543</v>
      </c>
      <c r="AW102" s="21">
        <f>EXP(-LN(2)/2)*AW101+(1-EXP(-LN(2)/2))/(LN(2)/2)*AQ102*AT102*VLOOKUP('Données projet'!$B$10,Paramètres!$A$1:$I$89,3,0)*0.475*44/12</f>
        <v>4.1874131190176022E-11</v>
      </c>
      <c r="AX102" s="21">
        <f t="shared" si="60"/>
        <v>0.38841754114682842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-5.3205440053716299E-14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141.78548348627351</v>
      </c>
      <c r="BJ102" s="59">
        <f t="shared" si="92"/>
        <v>162.67012146297657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0.67782022191416114</v>
      </c>
      <c r="BR102" s="21">
        <f>EXP(-LN(2)/2)*BR101+(1-EXP(-LN(2)/2))/(LN(2)/2)*BL102*BO102*VLOOKUP('Données projet'!$B$11,Paramètres!$A$1:$I$89,3,0)*0.475*44/12</f>
        <v>2.9442881454203852E-10</v>
      </c>
      <c r="BS102" s="22">
        <f t="shared" si="63"/>
        <v>0.67782022220858995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-5.1431925385259088E-14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394.42011098756564</v>
      </c>
      <c r="T103" s="59">
        <f t="shared" si="88"/>
        <v>559.92215054152859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263.03078346375446</v>
      </c>
      <c r="AO103" s="59">
        <f t="shared" si="90"/>
        <v>251.74283929680905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0.37779624301744857</v>
      </c>
      <c r="AW103" s="21">
        <f>EXP(-LN(2)/2)*AW102+(1-EXP(-LN(2)/2))/(LN(2)/2)*AQ103*AT103*VLOOKUP('Données projet'!$B$10,Paramètres!$A$1:$I$89,3,0)*0.475*44/12</f>
        <v>2.9609482120868581E-11</v>
      </c>
      <c r="AX103" s="21">
        <f t="shared" si="60"/>
        <v>0.37779624304705806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-5.3205440053716299E-14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141.78548348627351</v>
      </c>
      <c r="BJ103" s="59">
        <f t="shared" si="92"/>
        <v>162.67012146297657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0.6592851923009021</v>
      </c>
      <c r="BR103" s="21">
        <f>EXP(-LN(2)/2)*BR102+(1-EXP(-LN(2)/2))/(LN(2)/2)*BL103*BO103*VLOOKUP('Données projet'!$B$11,Paramètres!$A$1:$I$89,3,0)*0.475*44/12</f>
        <v>2.0819261133939181E-10</v>
      </c>
      <c r="BS103" s="22">
        <f t="shared" si="63"/>
        <v>0.65928519250909468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-5.1431925385259088E-14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394.42011098756564</v>
      </c>
      <c r="T104" s="59">
        <f t="shared" si="88"/>
        <v>559.92215054152859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263.03078346375446</v>
      </c>
      <c r="AO104" s="59">
        <f t="shared" si="90"/>
        <v>251.74283929680905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0.36746538488469549</v>
      </c>
      <c r="AW104" s="21">
        <f>EXP(-LN(2)/2)*AW103+(1-EXP(-LN(2)/2))/(LN(2)/2)*AQ104*AT104*VLOOKUP('Données projet'!$B$10,Paramètres!$A$1:$I$89,3,0)*0.475*44/12</f>
        <v>2.0937065595088011E-11</v>
      </c>
      <c r="AX104" s="21">
        <f t="shared" si="60"/>
        <v>0.36746538490563257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141.78548348627351</v>
      </c>
      <c r="BJ104" s="59">
        <f t="shared" si="92"/>
        <v>162.67012146297657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0.64125700404713248</v>
      </c>
      <c r="BR104" s="21">
        <f>EXP(-LN(2)/2)*BR103+(1-EXP(-LN(2)/2))/(LN(2)/2)*BL104*BO104*VLOOKUP('Données projet'!$B$11,Paramètres!$A$1:$I$89,3,0)*0.475*44/12</f>
        <v>1.4721440727101926E-10</v>
      </c>
      <c r="BS104" s="22">
        <f t="shared" si="63"/>
        <v>0.64125700419434684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-5.1431925385259088E-14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394.42011098756564</v>
      </c>
      <c r="T105" s="59">
        <f t="shared" si="88"/>
        <v>559.92215054152859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263.03078346375446</v>
      </c>
      <c r="AO105" s="59">
        <f t="shared" si="90"/>
        <v>251.74283929680905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0.35741702461085878</v>
      </c>
      <c r="AW105" s="21">
        <f>EXP(-LN(2)/2)*AW104+(1-EXP(-LN(2)/2))/(LN(2)/2)*AQ105*AT105*VLOOKUP('Données projet'!$B$10,Paramètres!$A$1:$I$89,3,0)*0.475*44/12</f>
        <v>1.480474106043429E-11</v>
      </c>
      <c r="AX105" s="21">
        <f t="shared" si="60"/>
        <v>0.35741702462566355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141.78548348627351</v>
      </c>
      <c r="BJ105" s="59">
        <f t="shared" si="92"/>
        <v>162.67012146297657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0.62372179754922341</v>
      </c>
      <c r="BR105" s="21">
        <f>EXP(-LN(2)/2)*BR104+(1-EXP(-LN(2)/2))/(LN(2)/2)*BL105*BO105*VLOOKUP('Données projet'!$B$11,Paramètres!$A$1:$I$89,3,0)*0.475*44/12</f>
        <v>1.0409630566969591E-10</v>
      </c>
      <c r="BS105" s="22">
        <f t="shared" si="63"/>
        <v>0.6237217976533197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-5.1431925385259088E-14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394.42011098756564</v>
      </c>
      <c r="T106" s="59">
        <f t="shared" si="88"/>
        <v>559.92215054152859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263.03078346375446</v>
      </c>
      <c r="AO106" s="59">
        <f t="shared" si="90"/>
        <v>251.74283929680905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0.34764343727713043</v>
      </c>
      <c r="AW106" s="21">
        <f>EXP(-LN(2)/2)*AW105+(1-EXP(-LN(2)/2))/(LN(2)/2)*AQ106*AT106*VLOOKUP('Données projet'!$B$10,Paramètres!$A$1:$I$89,3,0)*0.475*44/12</f>
        <v>1.0468532797544005E-11</v>
      </c>
      <c r="AX106" s="21">
        <f t="shared" si="60"/>
        <v>0.34764343728759894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141.78548348627351</v>
      </c>
      <c r="BJ106" s="59">
        <f t="shared" si="92"/>
        <v>162.67012146297657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0.60666609219513612</v>
      </c>
      <c r="BR106" s="21">
        <f>EXP(-LN(2)/2)*BR105+(1-EXP(-LN(2)/2))/(LN(2)/2)*BL106*BO106*VLOOKUP('Données projet'!$B$11,Paramètres!$A$1:$I$89,3,0)*0.475*44/12</f>
        <v>7.3607203635509629E-11</v>
      </c>
      <c r="BS106" s="22">
        <f t="shared" si="63"/>
        <v>0.60666609226874335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-5.1431925385259088E-14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394.42011098756564</v>
      </c>
      <c r="T107" s="59">
        <f t="shared" si="88"/>
        <v>559.92215054152859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263.03078346375446</v>
      </c>
      <c r="AO107" s="59">
        <f t="shared" si="90"/>
        <v>251.74283929680905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0.33813710920301349</v>
      </c>
      <c r="AW107" s="21">
        <f>EXP(-LN(2)/2)*AW106+(1-EXP(-LN(2)/2))/(LN(2)/2)*AQ107*AT107*VLOOKUP('Données projet'!$B$10,Paramètres!$A$1:$I$89,3,0)*0.475*44/12</f>
        <v>7.4023705302171452E-12</v>
      </c>
      <c r="AX107" s="21">
        <f t="shared" si="60"/>
        <v>0.33813710921041584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141.78548348627351</v>
      </c>
      <c r="BJ107" s="59">
        <f t="shared" si="92"/>
        <v>162.67012146297657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0.59007677600087693</v>
      </c>
      <c r="BR107" s="21">
        <f>EXP(-LN(2)/2)*BR106+(1-EXP(-LN(2)/2))/(LN(2)/2)*BL107*BO107*VLOOKUP('Données projet'!$B$11,Paramètres!$A$1:$I$89,3,0)*0.475*44/12</f>
        <v>5.2048152834847953E-11</v>
      </c>
      <c r="BS107" s="22">
        <f t="shared" si="63"/>
        <v>0.59007677605292508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-5.1431925385259088E-14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394.42011098756564</v>
      </c>
      <c r="T108" s="59">
        <f t="shared" si="88"/>
        <v>559.92215054152859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263.03078346375446</v>
      </c>
      <c r="AO108" s="59">
        <f t="shared" si="90"/>
        <v>251.74283929680905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0.32889073216999931</v>
      </c>
      <c r="AW108" s="21">
        <f>EXP(-LN(2)/2)*AW107+(1-EXP(-LN(2)/2))/(LN(2)/2)*AQ108*AT108*VLOOKUP('Données projet'!$B$10,Paramètres!$A$1:$I$89,3,0)*0.475*44/12</f>
        <v>5.2342663987720027E-12</v>
      </c>
      <c r="AX108" s="21">
        <f t="shared" si="60"/>
        <v>0.32889073217523357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141.78548348627351</v>
      </c>
      <c r="BJ108" s="59">
        <f t="shared" si="92"/>
        <v>162.67012146297657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0.57394109553034389</v>
      </c>
      <c r="BR108" s="21">
        <f>EXP(-LN(2)/2)*BR107+(1-EXP(-LN(2)/2))/(LN(2)/2)*BL108*BO108*VLOOKUP('Données projet'!$B$11,Paramètres!$A$1:$I$89,3,0)*0.475*44/12</f>
        <v>3.6803601817754815E-11</v>
      </c>
      <c r="BS108" s="22">
        <f t="shared" si="63"/>
        <v>0.57394109556714745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-5.1431925385259088E-14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394.42011098756564</v>
      </c>
      <c r="T109" s="59">
        <f t="shared" si="88"/>
        <v>559.92215054152859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263.03078346375446</v>
      </c>
      <c r="AO109" s="59">
        <f t="shared" si="90"/>
        <v>251.74283929680905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0.31989719780319875</v>
      </c>
      <c r="AW109" s="21">
        <f>EXP(-LN(2)/2)*AW108+(1-EXP(-LN(2)/2))/(LN(2)/2)*AQ109*AT109*VLOOKUP('Données projet'!$B$10,Paramètres!$A$1:$I$89,3,0)*0.475*44/12</f>
        <v>3.7011852651085726E-12</v>
      </c>
      <c r="AX109" s="21">
        <f t="shared" si="60"/>
        <v>0.31989719780689996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141.78548348627351</v>
      </c>
      <c r="BJ109" s="59">
        <f t="shared" si="92"/>
        <v>162.67012146297657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0.5582466460908162</v>
      </c>
      <c r="BR109" s="21">
        <f>EXP(-LN(2)/2)*BR108+(1-EXP(-LN(2)/2))/(LN(2)/2)*BL109*BO109*VLOOKUP('Données projet'!$B$11,Paramètres!$A$1:$I$89,3,0)*0.475*44/12</f>
        <v>2.6024076417423977E-11</v>
      </c>
      <c r="BS109" s="22">
        <f t="shared" si="63"/>
        <v>0.55824664611684027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-5.1431925385259088E-14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394.42011098756564</v>
      </c>
      <c r="T110" s="59">
        <f t="shared" si="88"/>
        <v>559.92215054152859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263.03078346375446</v>
      </c>
      <c r="AO110" s="59">
        <f t="shared" si="90"/>
        <v>251.74283929680905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0.31114959210660781</v>
      </c>
      <c r="AW110" s="21">
        <f>EXP(-LN(2)/2)*AW109+(1-EXP(-LN(2)/2))/(LN(2)/2)*AQ110*AT110*VLOOKUP('Données projet'!$B$10,Paramètres!$A$1:$I$89,3,0)*0.475*44/12</f>
        <v>2.6171331993860014E-12</v>
      </c>
      <c r="AX110" s="21">
        <f t="shared" si="60"/>
        <v>0.31114959210922494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141.78548348627351</v>
      </c>
      <c r="BJ110" s="59">
        <f t="shared" si="92"/>
        <v>162.67012146297657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0.54298136219654758</v>
      </c>
      <c r="BR110" s="21">
        <f>EXP(-LN(2)/2)*BR109+(1-EXP(-LN(2)/2))/(LN(2)/2)*BL110*BO110*VLOOKUP('Données projet'!$B$11,Paramètres!$A$1:$I$89,3,0)*0.475*44/12</f>
        <v>1.8401800908877407E-11</v>
      </c>
      <c r="BS110" s="22">
        <f t="shared" si="63"/>
        <v>0.54298136221494941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-5.1431925385259088E-14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394.42011098756564</v>
      </c>
      <c r="T111" s="59">
        <f t="shared" si="88"/>
        <v>559.92215054152859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263.03078346375446</v>
      </c>
      <c r="AO111" s="59">
        <f t="shared" si="90"/>
        <v>251.74283929680905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0.30264119014780672</v>
      </c>
      <c r="AW111" s="21">
        <f>EXP(-LN(2)/2)*AW110+(1-EXP(-LN(2)/2))/(LN(2)/2)*AQ111*AT111*VLOOKUP('Données projet'!$B$10,Paramètres!$A$1:$I$89,3,0)*0.475*44/12</f>
        <v>1.8505926325542863E-12</v>
      </c>
      <c r="AX111" s="21">
        <f t="shared" si="60"/>
        <v>0.30264119014965729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141.78548348627351</v>
      </c>
      <c r="BJ111" s="59">
        <f t="shared" si="92"/>
        <v>162.67012146297657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0.5281335082931341</v>
      </c>
      <c r="BR111" s="21">
        <f>EXP(-LN(2)/2)*BR110+(1-EXP(-LN(2)/2))/(LN(2)/2)*BL111*BO111*VLOOKUP('Données projet'!$B$11,Paramètres!$A$1:$I$89,3,0)*0.475*44/12</f>
        <v>1.3012038208711988E-11</v>
      </c>
      <c r="BS111" s="22">
        <f t="shared" si="63"/>
        <v>0.52813350830614614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-5.1431925385259088E-14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394.42011098756564</v>
      </c>
      <c r="T112" s="59">
        <f t="shared" si="88"/>
        <v>559.92215054152859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263.03078346375446</v>
      </c>
      <c r="AO112" s="59">
        <f t="shared" si="90"/>
        <v>251.74283929680905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0.29436545088800647</v>
      </c>
      <c r="AW112" s="21">
        <f>EXP(-LN(2)/2)*AW111+(1-EXP(-LN(2)/2))/(LN(2)/2)*AQ112*AT112*VLOOKUP('Données projet'!$B$10,Paramètres!$A$1:$I$89,3,0)*0.475*44/12</f>
        <v>1.3085665996930007E-12</v>
      </c>
      <c r="AX112" s="21">
        <f t="shared" si="60"/>
        <v>0.29436545088931504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141.78548348627351</v>
      </c>
      <c r="BJ112" s="59">
        <f t="shared" si="92"/>
        <v>162.67012146297657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0.51369166973552416</v>
      </c>
      <c r="BR112" s="21">
        <f>EXP(-LN(2)/2)*BR111+(1-EXP(-LN(2)/2))/(LN(2)/2)*BL112*BO112*VLOOKUP('Données projet'!$B$11,Paramètres!$A$1:$I$89,3,0)*0.475*44/12</f>
        <v>9.2009004544387036E-12</v>
      </c>
      <c r="BS112" s="22">
        <f t="shared" si="63"/>
        <v>0.51369166974472502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-5.1431925385259088E-14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394.42011098756564</v>
      </c>
      <c r="T113" s="59">
        <f t="shared" si="88"/>
        <v>559.92215054152859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263.03078346375446</v>
      </c>
      <c r="AO113" s="59">
        <f t="shared" si="90"/>
        <v>251.74283929680905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0.28631601215346764</v>
      </c>
      <c r="AW113" s="21">
        <f>EXP(-LN(2)/2)*AW112+(1-EXP(-LN(2)/2))/(LN(2)/2)*AQ113*AT113*VLOOKUP('Données projet'!$B$10,Paramètres!$A$1:$I$89,3,0)*0.475*44/12</f>
        <v>9.2529631627714316E-13</v>
      </c>
      <c r="AX113" s="21">
        <f t="shared" si="60"/>
        <v>0.28631601215439295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141.78548348627351</v>
      </c>
      <c r="BJ113" s="59">
        <f t="shared" si="92"/>
        <v>162.67012146297657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0.4996447440127354</v>
      </c>
      <c r="BR113" s="21">
        <f>EXP(-LN(2)/2)*BR112+(1-EXP(-LN(2)/2))/(LN(2)/2)*BL113*BO113*VLOOKUP('Données projet'!$B$11,Paramètres!$A$1:$I$89,3,0)*0.475*44/12</f>
        <v>6.5060191043559942E-12</v>
      </c>
      <c r="BS113" s="22">
        <f t="shared" si="63"/>
        <v>0.49964474401924142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-5.1431925385259088E-14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394.42011098756564</v>
      </c>
      <c r="T114" s="59">
        <f t="shared" si="88"/>
        <v>559.92215054152859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263.03078346375446</v>
      </c>
      <c r="AO114" s="59">
        <f t="shared" si="90"/>
        <v>251.74283929680905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0.27848668574442637</v>
      </c>
      <c r="AW114" s="21">
        <f>EXP(-LN(2)/2)*AW113+(1-EXP(-LN(2)/2))/(LN(2)/2)*AQ114*AT114*VLOOKUP('Données projet'!$B$10,Paramètres!$A$1:$I$89,3,0)*0.475*44/12</f>
        <v>6.5428329984650034E-13</v>
      </c>
      <c r="AX114" s="21">
        <f t="shared" si="60"/>
        <v>0.27848668574508068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141.78548348627351</v>
      </c>
      <c r="BJ114" s="59">
        <f t="shared" si="92"/>
        <v>162.67012146297657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0.485981932212532</v>
      </c>
      <c r="BR114" s="21">
        <f>EXP(-LN(2)/2)*BR113+(1-EXP(-LN(2)/2))/(LN(2)/2)*BL114*BO114*VLOOKUP('Données projet'!$B$11,Paramètres!$A$1:$I$89,3,0)*0.475*44/12</f>
        <v>4.6004502272193518E-12</v>
      </c>
      <c r="BS114" s="22">
        <f t="shared" si="63"/>
        <v>0.48598193221713243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-5.1431925385259088E-14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394.42011098756564</v>
      </c>
      <c r="T115" s="59">
        <f t="shared" si="88"/>
        <v>559.92215054152859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263.03078346375446</v>
      </c>
      <c r="AO115" s="59">
        <f t="shared" si="90"/>
        <v>251.74283929680905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0.27087145267776669</v>
      </c>
      <c r="AW115" s="21">
        <f>EXP(-LN(2)/2)*AW114+(1-EXP(-LN(2)/2))/(LN(2)/2)*AQ115*AT115*VLOOKUP('Données projet'!$B$10,Paramètres!$A$1:$I$89,3,0)*0.475*44/12</f>
        <v>4.6264815813857158E-13</v>
      </c>
      <c r="AX115" s="21">
        <f t="shared" si="60"/>
        <v>0.27087145267822932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141.78548348627351</v>
      </c>
      <c r="BJ115" s="59">
        <f t="shared" si="92"/>
        <v>162.67012146297657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0.47269273071950124</v>
      </c>
      <c r="BR115" s="21">
        <f>EXP(-LN(2)/2)*BR114+(1-EXP(-LN(2)/2))/(LN(2)/2)*BL115*BO115*VLOOKUP('Données projet'!$B$11,Paramètres!$A$1:$I$89,3,0)*0.475*44/12</f>
        <v>3.2530095521779971E-12</v>
      </c>
      <c r="BS115" s="22">
        <f t="shared" si="63"/>
        <v>0.47269273072275425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-5.1431925385259088E-14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394.42011098756564</v>
      </c>
      <c r="T116" s="59">
        <f t="shared" si="88"/>
        <v>559.92215054152859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263.03078346375446</v>
      </c>
      <c r="AO116" s="59">
        <f t="shared" si="90"/>
        <v>251.74283929680905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0.26346445855978257</v>
      </c>
      <c r="AW116" s="21">
        <f>EXP(-LN(2)/2)*AW115+(1-EXP(-LN(2)/2))/(LN(2)/2)*AQ116*AT116*VLOOKUP('Données projet'!$B$10,Paramètres!$A$1:$I$89,3,0)*0.475*44/12</f>
        <v>3.2714164992325017E-13</v>
      </c>
      <c r="AX116" s="21">
        <f t="shared" si="60"/>
        <v>0.26346445856010969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141.78548348627351</v>
      </c>
      <c r="BJ116" s="59">
        <f t="shared" si="92"/>
        <v>162.67012146297657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0.45976692314014611</v>
      </c>
      <c r="BR116" s="21">
        <f>EXP(-LN(2)/2)*BR115+(1-EXP(-LN(2)/2))/(LN(2)/2)*BL116*BO116*VLOOKUP('Données projet'!$B$11,Paramètres!$A$1:$I$89,3,0)*0.475*44/12</f>
        <v>2.3002251136096759E-12</v>
      </c>
      <c r="BS116" s="22">
        <f t="shared" si="63"/>
        <v>0.45976692314244633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-5.1431925385259088E-14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394.42011098756564</v>
      </c>
      <c r="T117" s="59">
        <f t="shared" si="88"/>
        <v>559.92215054152859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263.03078346375446</v>
      </c>
      <c r="AO117" s="59">
        <f t="shared" si="90"/>
        <v>251.74283929680905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0.25626000908547159</v>
      </c>
      <c r="AW117" s="21">
        <f>EXP(-LN(2)/2)*AW116+(1-EXP(-LN(2)/2))/(LN(2)/2)*AQ117*AT117*VLOOKUP('Données projet'!$B$10,Paramètres!$A$1:$I$89,3,0)*0.475*44/12</f>
        <v>2.3132407906928579E-13</v>
      </c>
      <c r="AX117" s="21">
        <f t="shared" si="60"/>
        <v>0.2562600090857029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141.78548348627351</v>
      </c>
      <c r="BJ117" s="59">
        <f t="shared" si="92"/>
        <v>162.67012146297657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0.44719457244878713</v>
      </c>
      <c r="BR117" s="21">
        <f>EXP(-LN(2)/2)*BR116+(1-EXP(-LN(2)/2))/(LN(2)/2)*BL117*BO117*VLOOKUP('Données projet'!$B$11,Paramètres!$A$1:$I$89,3,0)*0.475*44/12</f>
        <v>1.6265047760889985E-12</v>
      </c>
      <c r="BS117" s="22">
        <f t="shared" si="63"/>
        <v>0.44719457245041366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-5.1431925385259088E-14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394.42011098756564</v>
      </c>
      <c r="T118" s="59">
        <f t="shared" si="88"/>
        <v>559.92215054152859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263.03078346375446</v>
      </c>
      <c r="AO118" s="59">
        <f t="shared" si="90"/>
        <v>251.74283929680905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0.24925256566090118</v>
      </c>
      <c r="AW118" s="21">
        <f>EXP(-LN(2)/2)*AW117+(1-EXP(-LN(2)/2))/(LN(2)/2)*AQ118*AT118*VLOOKUP('Données projet'!$B$10,Paramètres!$A$1:$I$89,3,0)*0.475*44/12</f>
        <v>1.6357082496162509E-13</v>
      </c>
      <c r="AX118" s="21">
        <f t="shared" si="60"/>
        <v>0.24925256566106474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141.78548348627351</v>
      </c>
      <c r="BJ118" s="59">
        <f t="shared" si="92"/>
        <v>162.67012146297657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0.43496601334823454</v>
      </c>
      <c r="BR118" s="21">
        <f>EXP(-LN(2)/2)*BR117+(1-EXP(-LN(2)/2))/(LN(2)/2)*BL118*BO118*VLOOKUP('Données projet'!$B$11,Paramètres!$A$1:$I$89,3,0)*0.475*44/12</f>
        <v>1.150112556804838E-12</v>
      </c>
      <c r="BS118" s="22">
        <f t="shared" si="63"/>
        <v>0.43496601334938467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-5.1431925385259088E-14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394.42011098756564</v>
      </c>
      <c r="T119" s="59">
        <f t="shared" si="88"/>
        <v>559.92215054152859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263.03078346375446</v>
      </c>
      <c r="AO119" s="59">
        <f t="shared" si="90"/>
        <v>251.74283929680905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0.24243674114528108</v>
      </c>
      <c r="AW119" s="21">
        <f>EXP(-LN(2)/2)*AW118+(1-EXP(-LN(2)/2))/(LN(2)/2)*AQ119*AT119*VLOOKUP('Données projet'!$B$10,Paramètres!$A$1:$I$89,3,0)*0.475*44/12</f>
        <v>1.1566203953464289E-13</v>
      </c>
      <c r="AX119" s="21">
        <f t="shared" si="60"/>
        <v>0.24243674114539673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141.78548348627351</v>
      </c>
      <c r="BJ119" s="59">
        <f t="shared" si="92"/>
        <v>162.67012146297657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0.42307184483935856</v>
      </c>
      <c r="BR119" s="21">
        <f>EXP(-LN(2)/2)*BR118+(1-EXP(-LN(2)/2))/(LN(2)/2)*BL119*BO119*VLOOKUP('Données projet'!$B$11,Paramètres!$A$1:$I$89,3,0)*0.475*44/12</f>
        <v>8.1325238804449927E-13</v>
      </c>
      <c r="BS119" s="22">
        <f t="shared" si="63"/>
        <v>0.4230718448401718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-5.1431925385259088E-14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394.42011098756564</v>
      </c>
      <c r="T120" s="59">
        <f t="shared" si="88"/>
        <v>559.92215054152859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263.03078346375446</v>
      </c>
      <c r="AO120" s="59">
        <f t="shared" si="90"/>
        <v>251.74283929680905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0.23580729570946923</v>
      </c>
      <c r="AW120" s="21">
        <f>EXP(-LN(2)/2)*AW119+(1-EXP(-LN(2)/2))/(LN(2)/2)*AQ120*AT120*VLOOKUP('Données projet'!$B$10,Paramètres!$A$1:$I$89,3,0)*0.475*44/12</f>
        <v>8.1785412480812543E-14</v>
      </c>
      <c r="AX120" s="21">
        <f t="shared" si="60"/>
        <v>0.23580729570955103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141.78548348627351</v>
      </c>
      <c r="BJ120" s="59">
        <f t="shared" si="92"/>
        <v>162.67012146297657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0.41150292299384494</v>
      </c>
      <c r="BR120" s="21">
        <f>EXP(-LN(2)/2)*BR119+(1-EXP(-LN(2)/2))/(LN(2)/2)*BL120*BO120*VLOOKUP('Données projet'!$B$11,Paramètres!$A$1:$I$89,3,0)*0.475*44/12</f>
        <v>5.7505627840241898E-13</v>
      </c>
      <c r="BS120" s="22">
        <f t="shared" si="63"/>
        <v>0.41150292299441998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-5.1431925385259088E-14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394.42011098756564</v>
      </c>
      <c r="T121" s="59">
        <f t="shared" si="88"/>
        <v>559.92215054152859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263.03078346375446</v>
      </c>
      <c r="AO121" s="59">
        <f t="shared" si="90"/>
        <v>251.74283929680905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0.22935913280772707</v>
      </c>
      <c r="AW121" s="21">
        <f>EXP(-LN(2)/2)*AW120+(1-EXP(-LN(2)/2))/(LN(2)/2)*AQ121*AT121*VLOOKUP('Données projet'!$B$10,Paramètres!$A$1:$I$89,3,0)*0.475*44/12</f>
        <v>5.7831019767321447E-14</v>
      </c>
      <c r="AX121" s="21">
        <f t="shared" si="60"/>
        <v>0.22935913280778492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141.78548348627351</v>
      </c>
      <c r="BJ121" s="59">
        <f t="shared" si="92"/>
        <v>162.67012146297657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0.40025035392458003</v>
      </c>
      <c r="BR121" s="21">
        <f>EXP(-LN(2)/2)*BR120+(1-EXP(-LN(2)/2))/(LN(2)/2)*BL121*BO121*VLOOKUP('Données projet'!$B$11,Paramètres!$A$1:$I$89,3,0)*0.475*44/12</f>
        <v>4.0662619402224963E-13</v>
      </c>
      <c r="BS121" s="22">
        <f t="shared" si="63"/>
        <v>0.40025035392498665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-5.1431925385259088E-14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394.42011098756564</v>
      </c>
      <c r="T122" s="59">
        <f t="shared" si="88"/>
        <v>559.92215054152859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263.03078346375446</v>
      </c>
      <c r="AO122" s="59">
        <f t="shared" si="90"/>
        <v>251.74283929680905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0.2230872952596272</v>
      </c>
      <c r="AW122" s="21">
        <f>EXP(-LN(2)/2)*AW121+(1-EXP(-LN(2)/2))/(LN(2)/2)*AQ122*AT122*VLOOKUP('Données projet'!$B$10,Paramètres!$A$1:$I$89,3,0)*0.475*44/12</f>
        <v>4.0892706240406271E-14</v>
      </c>
      <c r="AX122" s="21">
        <f t="shared" si="60"/>
        <v>0.22308729525966808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141.78548348627351</v>
      </c>
      <c r="BJ122" s="59">
        <f t="shared" si="92"/>
        <v>162.67012146297657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0.38930548694826106</v>
      </c>
      <c r="BR122" s="21">
        <f>EXP(-LN(2)/2)*BR121+(1-EXP(-LN(2)/2))/(LN(2)/2)*BL122*BO122*VLOOKUP('Données projet'!$B$11,Paramètres!$A$1:$I$89,3,0)*0.475*44/12</f>
        <v>2.8752813920120949E-13</v>
      </c>
      <c r="BS122" s="22">
        <f t="shared" si="63"/>
        <v>0.38930548694854861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-5.1431925385259088E-14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394.42011098756564</v>
      </c>
      <c r="T123" s="59">
        <f t="shared" si="88"/>
        <v>559.92215054152859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263.03078346375446</v>
      </c>
      <c r="AO123" s="59">
        <f t="shared" si="90"/>
        <v>251.74283929680905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0.21698696143910171</v>
      </c>
      <c r="AW123" s="21">
        <f>EXP(-LN(2)/2)*AW122+(1-EXP(-LN(2)/2))/(LN(2)/2)*AQ123*AT123*VLOOKUP('Données projet'!$B$10,Paramètres!$A$1:$I$89,3,0)*0.475*44/12</f>
        <v>2.8915509883660724E-14</v>
      </c>
      <c r="AX123" s="21">
        <f t="shared" si="60"/>
        <v>0.21698696143913063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141.78548348627351</v>
      </c>
      <c r="BJ123" s="59">
        <f t="shared" si="92"/>
        <v>162.67012146297657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0.37865990793497506</v>
      </c>
      <c r="BR123" s="21">
        <f>EXP(-LN(2)/2)*BR122+(1-EXP(-LN(2)/2))/(LN(2)/2)*BL123*BO123*VLOOKUP('Données projet'!$B$11,Paramètres!$A$1:$I$89,3,0)*0.475*44/12</f>
        <v>2.0331309701112482E-13</v>
      </c>
      <c r="BS123" s="22">
        <f t="shared" si="63"/>
        <v>0.3786599079351784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-5.1431925385259088E-14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394.42011098756564</v>
      </c>
      <c r="T124" s="59">
        <f t="shared" si="88"/>
        <v>559.92215054152859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263.03078346375446</v>
      </c>
      <c r="AO124" s="59">
        <f t="shared" si="90"/>
        <v>251.74283929680905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0.21105344156770109</v>
      </c>
      <c r="AW124" s="21">
        <f>EXP(-LN(2)/2)*AW123+(1-EXP(-LN(2)/2))/(LN(2)/2)*AQ124*AT124*VLOOKUP('Données projet'!$B$10,Paramètres!$A$1:$I$89,3,0)*0.475*44/12</f>
        <v>2.0446353120203136E-14</v>
      </c>
      <c r="AX124" s="21">
        <f t="shared" si="60"/>
        <v>0.21105344156772154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141.78548348627351</v>
      </c>
      <c r="BJ124" s="59">
        <f t="shared" si="92"/>
        <v>162.67012146297657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0.36830543283963407</v>
      </c>
      <c r="BR124" s="21">
        <f>EXP(-LN(2)/2)*BR123+(1-EXP(-LN(2)/2))/(LN(2)/2)*BL124*BO124*VLOOKUP('Données projet'!$B$11,Paramètres!$A$1:$I$89,3,0)*0.475*44/12</f>
        <v>1.4376406960060474E-13</v>
      </c>
      <c r="BS124" s="22">
        <f t="shared" si="63"/>
        <v>0.36830543283977785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-5.1431925385259088E-14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394.42011098756564</v>
      </c>
      <c r="T125" s="59">
        <f t="shared" si="88"/>
        <v>559.92215054152859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263.03078346375446</v>
      </c>
      <c r="AO125" s="59">
        <f t="shared" si="90"/>
        <v>251.74283929680905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0.20528217410921418</v>
      </c>
      <c r="AW125" s="21">
        <f>EXP(-LN(2)/2)*AW124+(1-EXP(-LN(2)/2))/(LN(2)/2)*AQ125*AT125*VLOOKUP('Données projet'!$B$10,Paramètres!$A$1:$I$89,3,0)*0.475*44/12</f>
        <v>1.4457754941830362E-14</v>
      </c>
      <c r="AX125" s="21">
        <f t="shared" si="60"/>
        <v>0.20528217410922864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141.78548348627351</v>
      </c>
      <c r="BJ125" s="59">
        <f t="shared" si="92"/>
        <v>162.67012146297657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0.35823410141029333</v>
      </c>
      <c r="BR125" s="21">
        <f>EXP(-LN(2)/2)*BR124+(1-EXP(-LN(2)/2))/(LN(2)/2)*BL125*BO125*VLOOKUP('Données projet'!$B$11,Paramètres!$A$1:$I$89,3,0)*0.475*44/12</f>
        <v>1.0165654850556241E-13</v>
      </c>
      <c r="BS125" s="22">
        <f t="shared" si="63"/>
        <v>0.35823410141039497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-5.1431925385259088E-14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394.42011098756564</v>
      </c>
      <c r="T126" s="59">
        <f t="shared" si="88"/>
        <v>559.92215054152859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263.03078346375446</v>
      </c>
      <c r="AO126" s="59">
        <f t="shared" si="90"/>
        <v>251.74283929680905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0.19966872226287735</v>
      </c>
      <c r="AW126" s="21">
        <f>EXP(-LN(2)/2)*AW125+(1-EXP(-LN(2)/2))/(LN(2)/2)*AQ126*AT126*VLOOKUP('Données projet'!$B$10,Paramètres!$A$1:$I$89,3,0)*0.475*44/12</f>
        <v>1.0223176560101568E-14</v>
      </c>
      <c r="AX126" s="21">
        <f t="shared" si="60"/>
        <v>0.19966872226288757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141.78548348627351</v>
      </c>
      <c r="BJ126" s="59">
        <f t="shared" si="92"/>
        <v>162.67012146297657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0.34843817106851621</v>
      </c>
      <c r="BR126" s="21">
        <f>EXP(-LN(2)/2)*BR125+(1-EXP(-LN(2)/2))/(LN(2)/2)*BL126*BO126*VLOOKUP('Données projet'!$B$11,Paramètres!$A$1:$I$89,3,0)*0.475*44/12</f>
        <v>7.1882034800302372E-14</v>
      </c>
      <c r="BS126" s="22">
        <f t="shared" si="63"/>
        <v>0.3484381710685881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-5.1431925385259088E-14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394.42011098756564</v>
      </c>
      <c r="T127" s="59">
        <f t="shared" si="88"/>
        <v>559.92215054152859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263.03078346375446</v>
      </c>
      <c r="AO127" s="59">
        <f t="shared" si="90"/>
        <v>251.74283929680905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0.19420877055247721</v>
      </c>
      <c r="AW127" s="21">
        <f>EXP(-LN(2)/2)*AW126+(1-EXP(-LN(2)/2))/(LN(2)/2)*AQ127*AT127*VLOOKUP('Données projet'!$B$10,Paramètres!$A$1:$I$89,3,0)*0.475*44/12</f>
        <v>7.2288774709151809E-15</v>
      </c>
      <c r="AX127" s="21">
        <f t="shared" si="60"/>
        <v>0.19420877055248442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141.78548348627351</v>
      </c>
      <c r="BJ127" s="59">
        <f t="shared" si="92"/>
        <v>162.67012146297657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0.33891011095708057</v>
      </c>
      <c r="BR127" s="21">
        <f>EXP(-LN(2)/2)*BR126+(1-EXP(-LN(2)/2))/(LN(2)/2)*BL127*BO127*VLOOKUP('Données projet'!$B$11,Paramètres!$A$1:$I$89,3,0)*0.475*44/12</f>
        <v>5.0828274252781204E-14</v>
      </c>
      <c r="BS127" s="22">
        <f t="shared" si="63"/>
        <v>0.33891011095713142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-5.1431925385259088E-14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394.42011098756564</v>
      </c>
      <c r="T128" s="59">
        <f t="shared" si="88"/>
        <v>559.92215054152859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263.03078346375446</v>
      </c>
      <c r="AO128" s="59">
        <f t="shared" si="90"/>
        <v>251.74283929680905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0.18889812150872434</v>
      </c>
      <c r="AW128" s="21">
        <f>EXP(-LN(2)/2)*AW127+(1-EXP(-LN(2)/2))/(LN(2)/2)*AQ128*AT128*VLOOKUP('Données projet'!$B$10,Paramètres!$A$1:$I$89,3,0)*0.475*44/12</f>
        <v>5.1115882800507839E-15</v>
      </c>
      <c r="AX128" s="21">
        <f t="shared" si="60"/>
        <v>0.18889812150872945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141.78548348627351</v>
      </c>
      <c r="BJ128" s="59">
        <f t="shared" si="92"/>
        <v>162.67012146297657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0.32964259615045105</v>
      </c>
      <c r="BR128" s="21">
        <f>EXP(-LN(2)/2)*BR127+(1-EXP(-LN(2)/2))/(LN(2)/2)*BL128*BO128*VLOOKUP('Données projet'!$B$11,Paramètres!$A$1:$I$89,3,0)*0.475*44/12</f>
        <v>3.5941017400151186E-14</v>
      </c>
      <c r="BS128" s="22">
        <f t="shared" si="63"/>
        <v>0.32964259615048697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-5.1431925385259088E-14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394.42011098756564</v>
      </c>
      <c r="T129" s="59">
        <f t="shared" si="88"/>
        <v>559.92215054152859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263.03078346375446</v>
      </c>
      <c r="AO129" s="59">
        <f t="shared" si="90"/>
        <v>251.74283929680905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0.1837326924423478</v>
      </c>
      <c r="AW129" s="21">
        <f>EXP(-LN(2)/2)*AW128+(1-EXP(-LN(2)/2))/(LN(2)/2)*AQ129*AT129*VLOOKUP('Données projet'!$B$10,Paramètres!$A$1:$I$89,3,0)*0.475*44/12</f>
        <v>3.6144387354575905E-15</v>
      </c>
      <c r="AX129" s="21">
        <f t="shared" si="60"/>
        <v>0.18373269244235141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141.78548348627351</v>
      </c>
      <c r="BJ129" s="59">
        <f t="shared" si="92"/>
        <v>162.67012146297657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0.32062850202356624</v>
      </c>
      <c r="BR129" s="21">
        <f>EXP(-LN(2)/2)*BR128+(1-EXP(-LN(2)/2))/(LN(2)/2)*BL129*BO129*VLOOKUP('Données projet'!$B$11,Paramètres!$A$1:$I$89,3,0)*0.475*44/12</f>
        <v>2.5414137126390602E-14</v>
      </c>
      <c r="BS129" s="22">
        <f t="shared" si="63"/>
        <v>0.32062850202359167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-5.1431925385259088E-14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394.42011098756564</v>
      </c>
      <c r="T130" s="59">
        <f t="shared" si="88"/>
        <v>559.92215054152859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263.03078346375446</v>
      </c>
      <c r="AO130" s="59">
        <f t="shared" si="90"/>
        <v>251.74283929680905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0.17870851230542942</v>
      </c>
      <c r="AW130" s="21">
        <f>EXP(-LN(2)/2)*AW129+(1-EXP(-LN(2)/2))/(LN(2)/2)*AQ130*AT130*VLOOKUP('Données projet'!$B$10,Paramètres!$A$1:$I$89,3,0)*0.475*44/12</f>
        <v>2.555794140025392E-15</v>
      </c>
      <c r="AX130" s="21">
        <f t="shared" si="60"/>
        <v>0.17870851230543197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141.78548348627351</v>
      </c>
      <c r="BJ130" s="59">
        <f t="shared" si="92"/>
        <v>162.67012146297657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0.31186089877461171</v>
      </c>
      <c r="BR130" s="21">
        <f>EXP(-LN(2)/2)*BR129+(1-EXP(-LN(2)/2))/(LN(2)/2)*BL130*BO130*VLOOKUP('Données projet'!$B$11,Paramètres!$A$1:$I$89,3,0)*0.475*44/12</f>
        <v>1.7970508700075593E-14</v>
      </c>
      <c r="BS130" s="22">
        <f t="shared" si="63"/>
        <v>0.31186089877462969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-5.1431925385259088E-14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394.42011098756564</v>
      </c>
      <c r="T131" s="59">
        <f t="shared" si="88"/>
        <v>559.92215054152859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263.03078346375446</v>
      </c>
      <c r="AO131" s="59">
        <f t="shared" si="90"/>
        <v>251.74283929680905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0.17382171863856524</v>
      </c>
      <c r="AW131" s="21">
        <f>EXP(-LN(2)/2)*AW130+(1-EXP(-LN(2)/2))/(LN(2)/2)*AQ131*AT131*VLOOKUP('Données projet'!$B$10,Paramètres!$A$1:$I$89,3,0)*0.475*44/12</f>
        <v>1.8072193677287952E-15</v>
      </c>
      <c r="AX131" s="21">
        <f t="shared" si="60"/>
        <v>0.17382171863856705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141.78548348627351</v>
      </c>
      <c r="BJ131" s="59">
        <f t="shared" si="92"/>
        <v>162.67012146297657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0.30333304609756806</v>
      </c>
      <c r="BR131" s="21">
        <f>EXP(-LN(2)/2)*BR130+(1-EXP(-LN(2)/2))/(LN(2)/2)*BL131*BO131*VLOOKUP('Données projet'!$B$11,Paramètres!$A$1:$I$89,3,0)*0.475*44/12</f>
        <v>1.2707068563195301E-14</v>
      </c>
      <c r="BS131" s="22">
        <f t="shared" si="63"/>
        <v>0.30333304609758077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-5.1431925385259088E-14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394.42011098756564</v>
      </c>
      <c r="T132" s="59">
        <f t="shared" si="88"/>
        <v>559.92215054152859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263.03078346375446</v>
      </c>
      <c r="AO132" s="59">
        <f t="shared" si="90"/>
        <v>251.74283929680905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0.16906855460150677</v>
      </c>
      <c r="AW132" s="21">
        <f>EXP(-LN(2)/2)*AW131+(1-EXP(-LN(2)/2))/(LN(2)/2)*AQ132*AT132*VLOOKUP('Données projet'!$B$10,Paramètres!$A$1:$I$89,3,0)*0.475*44/12</f>
        <v>1.277897070012696E-15</v>
      </c>
      <c r="AX132" s="21">
        <f t="shared" ref="AX132:AX153" si="114">SUM(AU132:AW132)</f>
        <v>0.16906855460150805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141.78548348627351</v>
      </c>
      <c r="BJ132" s="59">
        <f t="shared" si="92"/>
        <v>162.67012146297657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0.29503838800043847</v>
      </c>
      <c r="BR132" s="21">
        <f>EXP(-LN(2)/2)*BR131+(1-EXP(-LN(2)/2))/(LN(2)/2)*BL132*BO132*VLOOKUP('Données projet'!$B$11,Paramètres!$A$1:$I$89,3,0)*0.475*44/12</f>
        <v>8.9852543500377965E-15</v>
      </c>
      <c r="BS132" s="22">
        <f t="shared" ref="BS132:BS153" si="117">SUM(BP132:BR132)</f>
        <v>0.29503838800044746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-5.1431925385259088E-14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394.42011098756564</v>
      </c>
      <c r="T133" s="59">
        <f t="shared" ref="T133:T196" si="142">$T$3</f>
        <v>559.92215054152859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263.03078346375446</v>
      </c>
      <c r="AO133" s="59">
        <f t="shared" ref="AO133:AO196" si="144">$AO$3</f>
        <v>251.74283929680905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0.16444536608499968</v>
      </c>
      <c r="AW133" s="21">
        <f>EXP(-LN(2)/2)*AW132+(1-EXP(-LN(2)/2))/(LN(2)/2)*AQ133*AT133*VLOOKUP('Données projet'!$B$10,Paramètres!$A$1:$I$89,3,0)*0.475*44/12</f>
        <v>9.0360968386439761E-16</v>
      </c>
      <c r="AX133" s="21">
        <f t="shared" si="114"/>
        <v>0.1644453660850006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141.78548348627351</v>
      </c>
      <c r="BJ133" s="59">
        <f t="shared" ref="BJ133:BJ196" si="146">$BJ$3</f>
        <v>162.67012146297657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0.28697054776517195</v>
      </c>
      <c r="BR133" s="21">
        <f>EXP(-LN(2)/2)*BR132+(1-EXP(-LN(2)/2))/(LN(2)/2)*BL133*BO133*VLOOKUP('Données projet'!$B$11,Paramètres!$A$1:$I$89,3,0)*0.475*44/12</f>
        <v>6.3535342815976505E-15</v>
      </c>
      <c r="BS133" s="22">
        <f t="shared" si="117"/>
        <v>0.28697054776517827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-5.1431925385259088E-14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394.42011098756564</v>
      </c>
      <c r="T134" s="59">
        <f t="shared" si="142"/>
        <v>559.92215054152859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263.03078346375446</v>
      </c>
      <c r="AO134" s="59">
        <f t="shared" si="144"/>
        <v>251.74283929680905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0.1599485989015994</v>
      </c>
      <c r="AW134" s="21">
        <f>EXP(-LN(2)/2)*AW133+(1-EXP(-LN(2)/2))/(LN(2)/2)*AQ134*AT134*VLOOKUP('Données projet'!$B$10,Paramètres!$A$1:$I$89,3,0)*0.475*44/12</f>
        <v>6.3894853500634799E-16</v>
      </c>
      <c r="AX134" s="21">
        <f t="shared" si="114"/>
        <v>0.15994859890160004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141.78548348627351</v>
      </c>
      <c r="BJ134" s="59">
        <f t="shared" si="146"/>
        <v>162.67012146297657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0.2791233230454081</v>
      </c>
      <c r="BR134" s="21">
        <f>EXP(-LN(2)/2)*BR133+(1-EXP(-LN(2)/2))/(LN(2)/2)*BL134*BO134*VLOOKUP('Données projet'!$B$11,Paramètres!$A$1:$I$89,3,0)*0.475*44/12</f>
        <v>4.4926271750188983E-15</v>
      </c>
      <c r="BS134" s="22">
        <f t="shared" si="117"/>
        <v>0.2791233230454126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-5.1431925385259088E-14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394.42011098756564</v>
      </c>
      <c r="T135" s="59">
        <f t="shared" si="142"/>
        <v>559.92215054152859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263.03078346375446</v>
      </c>
      <c r="AO135" s="59">
        <f t="shared" si="144"/>
        <v>251.74283929680905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0.15557479605330393</v>
      </c>
      <c r="AW135" s="21">
        <f>EXP(-LN(2)/2)*AW134+(1-EXP(-LN(2)/2))/(LN(2)/2)*AQ135*AT135*VLOOKUP('Données projet'!$B$10,Paramètres!$A$1:$I$89,3,0)*0.475*44/12</f>
        <v>4.5180484193219881E-16</v>
      </c>
      <c r="AX135" s="21">
        <f t="shared" si="114"/>
        <v>0.15557479605330438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141.78548348627351</v>
      </c>
      <c r="BJ135" s="59">
        <f t="shared" si="146"/>
        <v>162.67012146297657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0.27149068109827379</v>
      </c>
      <c r="BR135" s="21">
        <f>EXP(-LN(2)/2)*BR134+(1-EXP(-LN(2)/2))/(LN(2)/2)*BL135*BO135*VLOOKUP('Données projet'!$B$11,Paramètres!$A$1:$I$89,3,0)*0.475*44/12</f>
        <v>3.1767671407988253E-15</v>
      </c>
      <c r="BS135" s="22">
        <f t="shared" si="117"/>
        <v>0.27149068109827695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-5.1431925385259088E-14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394.42011098756564</v>
      </c>
      <c r="T136" s="59">
        <f t="shared" si="142"/>
        <v>559.92215054152859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263.03078346375446</v>
      </c>
      <c r="AO136" s="59">
        <f t="shared" si="144"/>
        <v>251.74283929680905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0.15132059507390339</v>
      </c>
      <c r="AW136" s="21">
        <f>EXP(-LN(2)/2)*AW135+(1-EXP(-LN(2)/2))/(LN(2)/2)*AQ136*AT136*VLOOKUP('Données projet'!$B$10,Paramètres!$A$1:$I$89,3,0)*0.475*44/12</f>
        <v>3.1947426750317399E-16</v>
      </c>
      <c r="AX136" s="21">
        <f t="shared" si="114"/>
        <v>0.15132059507390372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141.78548348627351</v>
      </c>
      <c r="BJ136" s="59">
        <f t="shared" si="146"/>
        <v>162.67012146297657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0.26406675414656705</v>
      </c>
      <c r="BR136" s="21">
        <f>EXP(-LN(2)/2)*BR135+(1-EXP(-LN(2)/2))/(LN(2)/2)*BL136*BO136*VLOOKUP('Données projet'!$B$11,Paramètres!$A$1:$I$89,3,0)*0.475*44/12</f>
        <v>2.2463135875094491E-15</v>
      </c>
      <c r="BS136" s="22">
        <f t="shared" si="117"/>
        <v>0.26406675414656927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-5.1431925385259088E-14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394.42011098756564</v>
      </c>
      <c r="T137" s="59">
        <f t="shared" si="142"/>
        <v>559.92215054152859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263.03078346375446</v>
      </c>
      <c r="AO137" s="59">
        <f t="shared" si="144"/>
        <v>251.74283929680905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0.14718272544400324</v>
      </c>
      <c r="AW137" s="21">
        <f>EXP(-LN(2)/2)*AW136+(1-EXP(-LN(2)/2))/(LN(2)/2)*AQ137*AT137*VLOOKUP('Données projet'!$B$10,Paramètres!$A$1:$I$89,3,0)*0.475*44/12</f>
        <v>2.259024209660994E-16</v>
      </c>
      <c r="AX137" s="21">
        <f t="shared" si="114"/>
        <v>0.14718272544400346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141.78548348627351</v>
      </c>
      <c r="BJ137" s="59">
        <f t="shared" si="146"/>
        <v>162.67012146297657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0.25684583486776208</v>
      </c>
      <c r="BR137" s="21">
        <f>EXP(-LN(2)/2)*BR136+(1-EXP(-LN(2)/2))/(LN(2)/2)*BL137*BO137*VLOOKUP('Données projet'!$B$11,Paramètres!$A$1:$I$89,3,0)*0.475*44/12</f>
        <v>1.5883835703994126E-15</v>
      </c>
      <c r="BS137" s="22">
        <f t="shared" si="117"/>
        <v>0.25684583486776369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-5.1431925385259088E-14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394.42011098756564</v>
      </c>
      <c r="T138" s="59">
        <f t="shared" si="142"/>
        <v>559.92215054152859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263.03078346375446</v>
      </c>
      <c r="AO138" s="59">
        <f t="shared" si="144"/>
        <v>251.74283929680905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0.14315800607673382</v>
      </c>
      <c r="AW138" s="21">
        <f>EXP(-LN(2)/2)*AW137+(1-EXP(-LN(2)/2))/(LN(2)/2)*AQ138*AT138*VLOOKUP('Données projet'!$B$10,Paramètres!$A$1:$I$89,3,0)*0.475*44/12</f>
        <v>1.59737133751587E-16</v>
      </c>
      <c r="AX138" s="21">
        <f t="shared" si="114"/>
        <v>0.14315800607673398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141.78548348627351</v>
      </c>
      <c r="BJ138" s="59">
        <f t="shared" si="146"/>
        <v>162.67012146297657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0.2498223720063677</v>
      </c>
      <c r="BR138" s="21">
        <f>EXP(-LN(2)/2)*BR137+(1-EXP(-LN(2)/2))/(LN(2)/2)*BL138*BO138*VLOOKUP('Données projet'!$B$11,Paramètres!$A$1:$I$89,3,0)*0.475*44/12</f>
        <v>1.1231567937547246E-15</v>
      </c>
      <c r="BS138" s="22">
        <f t="shared" si="117"/>
        <v>0.24982237200636881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-5.1431925385259088E-14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394.42011098756564</v>
      </c>
      <c r="T139" s="59">
        <f t="shared" si="142"/>
        <v>559.92215054152859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263.03078346375446</v>
      </c>
      <c r="AO139" s="59">
        <f t="shared" si="144"/>
        <v>251.74283929680905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0.13924334287221318</v>
      </c>
      <c r="AW139" s="21">
        <f>EXP(-LN(2)/2)*AW138+(1-EXP(-LN(2)/2))/(LN(2)/2)*AQ139*AT139*VLOOKUP('Données projet'!$B$10,Paramètres!$A$1:$I$89,3,0)*0.475*44/12</f>
        <v>1.129512104830497E-16</v>
      </c>
      <c r="AX139" s="21">
        <f t="shared" si="114"/>
        <v>0.13924334287221329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141.78548348627351</v>
      </c>
      <c r="BJ139" s="59">
        <f t="shared" si="146"/>
        <v>162.67012146297657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0.242990966106266</v>
      </c>
      <c r="BR139" s="21">
        <f>EXP(-LN(2)/2)*BR138+(1-EXP(-LN(2)/2))/(LN(2)/2)*BL139*BO139*VLOOKUP('Données projet'!$B$11,Paramètres!$A$1:$I$89,3,0)*0.475*44/12</f>
        <v>7.9419178519970632E-16</v>
      </c>
      <c r="BS139" s="22">
        <f t="shared" si="117"/>
        <v>0.2429909661062668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-5.1431925385259088E-14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394.42011098756564</v>
      </c>
      <c r="T140" s="59">
        <f t="shared" si="142"/>
        <v>559.92215054152859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263.03078346375446</v>
      </c>
      <c r="AO140" s="59">
        <f t="shared" si="144"/>
        <v>251.74283929680905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0.13543572633888334</v>
      </c>
      <c r="AW140" s="21">
        <f>EXP(-LN(2)/2)*AW139+(1-EXP(-LN(2)/2))/(LN(2)/2)*AQ140*AT140*VLOOKUP('Données projet'!$B$10,Paramètres!$A$1:$I$89,3,0)*0.475*44/12</f>
        <v>7.9868566875793499E-17</v>
      </c>
      <c r="AX140" s="21">
        <f t="shared" si="114"/>
        <v>0.13543572633888343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141.78548348627351</v>
      </c>
      <c r="BJ140" s="59">
        <f t="shared" si="146"/>
        <v>162.67012146297657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0.23634636535975062</v>
      </c>
      <c r="BR140" s="21">
        <f>EXP(-LN(2)/2)*BR139+(1-EXP(-LN(2)/2))/(LN(2)/2)*BL140*BO140*VLOOKUP('Données projet'!$B$11,Paramètres!$A$1:$I$89,3,0)*0.475*44/12</f>
        <v>5.6157839687736228E-16</v>
      </c>
      <c r="BS140" s="22">
        <f t="shared" si="117"/>
        <v>0.23634636535975118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-5.1431925385259088E-14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394.42011098756564</v>
      </c>
      <c r="T141" s="59">
        <f t="shared" si="142"/>
        <v>559.92215054152859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263.03078346375446</v>
      </c>
      <c r="AO141" s="59">
        <f t="shared" si="144"/>
        <v>251.74283929680905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0.13173222927989128</v>
      </c>
      <c r="AW141" s="21">
        <f>EXP(-LN(2)/2)*AW140+(1-EXP(-LN(2)/2))/(LN(2)/2)*AQ141*AT141*VLOOKUP('Données projet'!$B$10,Paramètres!$A$1:$I$89,3,0)*0.475*44/12</f>
        <v>5.6475605241524851E-17</v>
      </c>
      <c r="AX141" s="21">
        <f t="shared" si="114"/>
        <v>0.13173222927989134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141.78548348627351</v>
      </c>
      <c r="BJ141" s="59">
        <f t="shared" si="146"/>
        <v>162.67012146297657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0.22988346157007306</v>
      </c>
      <c r="BR141" s="21">
        <f>EXP(-LN(2)/2)*BR140+(1-EXP(-LN(2)/2))/(LN(2)/2)*BL141*BO141*VLOOKUP('Données projet'!$B$11,Paramètres!$A$1:$I$89,3,0)*0.475*44/12</f>
        <v>3.9709589259985316E-16</v>
      </c>
      <c r="BS141" s="22">
        <f t="shared" si="117"/>
        <v>0.22988346157007344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-5.1431925385259088E-14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394.42011098756564</v>
      </c>
      <c r="T142" s="59">
        <f t="shared" si="142"/>
        <v>559.92215054152859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263.03078346375446</v>
      </c>
      <c r="AO142" s="59">
        <f t="shared" si="144"/>
        <v>251.74283929680905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0.12813000454273579</v>
      </c>
      <c r="AW142" s="21">
        <f>EXP(-LN(2)/2)*AW141+(1-EXP(-LN(2)/2))/(LN(2)/2)*AQ142*AT142*VLOOKUP('Données projet'!$B$10,Paramètres!$A$1:$I$89,3,0)*0.475*44/12</f>
        <v>3.9934283437896749E-17</v>
      </c>
      <c r="AX142" s="21">
        <f t="shared" si="114"/>
        <v>0.12813000454273582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141.78548348627351</v>
      </c>
      <c r="BJ142" s="59">
        <f t="shared" si="146"/>
        <v>162.67012146297657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0.22359728622439357</v>
      </c>
      <c r="BR142" s="21">
        <f>EXP(-LN(2)/2)*BR141+(1-EXP(-LN(2)/2))/(LN(2)/2)*BL142*BO142*VLOOKUP('Données projet'!$B$11,Paramètres!$A$1:$I$89,3,0)*0.475*44/12</f>
        <v>2.8078919843868114E-16</v>
      </c>
      <c r="BS142" s="22">
        <f t="shared" si="117"/>
        <v>0.22359728622439384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-5.1431925385259088E-14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394.42011098756564</v>
      </c>
      <c r="T143" s="59">
        <f t="shared" si="142"/>
        <v>559.92215054152859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263.03078346375446</v>
      </c>
      <c r="AO143" s="59">
        <f t="shared" si="144"/>
        <v>251.74283929680905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0.12462628283045059</v>
      </c>
      <c r="AW143" s="21">
        <f>EXP(-LN(2)/2)*AW142+(1-EXP(-LN(2)/2))/(LN(2)/2)*AQ143*AT143*VLOOKUP('Données projet'!$B$10,Paramètres!$A$1:$I$89,3,0)*0.475*44/12</f>
        <v>2.8237802620762425E-17</v>
      </c>
      <c r="AX143" s="21">
        <f t="shared" si="114"/>
        <v>0.12462628283045062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141.78548348627351</v>
      </c>
      <c r="BJ143" s="59">
        <f t="shared" si="146"/>
        <v>162.67012146297657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0.21748300667411727</v>
      </c>
      <c r="BR143" s="21">
        <f>EXP(-LN(2)/2)*BR142+(1-EXP(-LN(2)/2))/(LN(2)/2)*BL143*BO143*VLOOKUP('Données projet'!$B$11,Paramètres!$A$1:$I$89,3,0)*0.475*44/12</f>
        <v>1.9854794629992658E-16</v>
      </c>
      <c r="BS143" s="22">
        <f t="shared" si="117"/>
        <v>0.21748300667411746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-5.1431925385259088E-14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394.42011098756564</v>
      </c>
      <c r="T144" s="59">
        <f t="shared" si="142"/>
        <v>559.92215054152859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263.03078346375446</v>
      </c>
      <c r="AO144" s="59">
        <f t="shared" si="144"/>
        <v>251.74283929680905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0.12121837057264054</v>
      </c>
      <c r="AW144" s="21">
        <f>EXP(-LN(2)/2)*AW143+(1-EXP(-LN(2)/2))/(LN(2)/2)*AQ144*AT144*VLOOKUP('Données projet'!$B$10,Paramètres!$A$1:$I$89,3,0)*0.475*44/12</f>
        <v>1.9967141718948375E-17</v>
      </c>
      <c r="AX144" s="21">
        <f t="shared" si="114"/>
        <v>0.12121837057264055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141.78548348627351</v>
      </c>
      <c r="BJ144" s="59">
        <f t="shared" si="146"/>
        <v>162.67012146297657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0.21153592241967928</v>
      </c>
      <c r="BR144" s="21">
        <f>EXP(-LN(2)/2)*BR143+(1-EXP(-LN(2)/2))/(LN(2)/2)*BL144*BO144*VLOOKUP('Données projet'!$B$11,Paramètres!$A$1:$I$89,3,0)*0.475*44/12</f>
        <v>1.4039459921934057E-16</v>
      </c>
      <c r="BS144" s="22">
        <f t="shared" si="117"/>
        <v>0.21153592241967942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-5.1431925385259088E-14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394.42011098756564</v>
      </c>
      <c r="T145" s="59">
        <f t="shared" si="142"/>
        <v>559.92215054152859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263.03078346375446</v>
      </c>
      <c r="AO145" s="59">
        <f t="shared" si="144"/>
        <v>251.74283929680905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0.11790364785473462</v>
      </c>
      <c r="AW145" s="21">
        <f>EXP(-LN(2)/2)*AW144+(1-EXP(-LN(2)/2))/(LN(2)/2)*AQ145*AT145*VLOOKUP('Données projet'!$B$10,Paramètres!$A$1:$I$89,3,0)*0.475*44/12</f>
        <v>1.4118901310381213E-17</v>
      </c>
      <c r="AX145" s="21">
        <f t="shared" si="114"/>
        <v>0.11790364785473463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141.78548348627351</v>
      </c>
      <c r="BJ145" s="59">
        <f t="shared" si="146"/>
        <v>162.67012146297657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0.20575146149692247</v>
      </c>
      <c r="BR145" s="21">
        <f>EXP(-LN(2)/2)*BR144+(1-EXP(-LN(2)/2))/(LN(2)/2)*BL145*BO145*VLOOKUP('Données projet'!$B$11,Paramètres!$A$1:$I$89,3,0)*0.475*44/12</f>
        <v>9.927397314996329E-17</v>
      </c>
      <c r="BS145" s="22">
        <f t="shared" si="117"/>
        <v>0.20575146149692258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-5.1431925385259088E-14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394.42011098756564</v>
      </c>
      <c r="T146" s="59">
        <f t="shared" si="142"/>
        <v>559.92215054152859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263.03078346375446</v>
      </c>
      <c r="AO146" s="59">
        <f t="shared" si="144"/>
        <v>251.74283929680905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0.11467956640386354</v>
      </c>
      <c r="AW146" s="21">
        <f>EXP(-LN(2)/2)*AW145+(1-EXP(-LN(2)/2))/(LN(2)/2)*AQ146*AT146*VLOOKUP('Données projet'!$B$10,Paramètres!$A$1:$I$89,3,0)*0.475*44/12</f>
        <v>9.9835708594741873E-18</v>
      </c>
      <c r="AX146" s="21">
        <f t="shared" si="114"/>
        <v>0.11467956640386355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141.78548348627351</v>
      </c>
      <c r="BJ146" s="59">
        <f t="shared" si="146"/>
        <v>162.67012146297657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0.20012517696229001</v>
      </c>
      <c r="BR146" s="21">
        <f>EXP(-LN(2)/2)*BR145+(1-EXP(-LN(2)/2))/(LN(2)/2)*BL146*BO146*VLOOKUP('Données projet'!$B$11,Paramètres!$A$1:$I$89,3,0)*0.475*44/12</f>
        <v>7.0197299609670285E-17</v>
      </c>
      <c r="BS146" s="22">
        <f t="shared" si="117"/>
        <v>0.2001251769622901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-5.1431925385259088E-14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394.42011098756564</v>
      </c>
      <c r="T147" s="59">
        <f t="shared" si="142"/>
        <v>559.92215054152859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263.03078346375446</v>
      </c>
      <c r="AO147" s="59">
        <f t="shared" si="144"/>
        <v>251.74283929680905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0.1115436476298136</v>
      </c>
      <c r="AW147" s="21">
        <f>EXP(-LN(2)/2)*AW146+(1-EXP(-LN(2)/2))/(LN(2)/2)*AQ147*AT147*VLOOKUP('Données projet'!$B$10,Paramètres!$A$1:$I$89,3,0)*0.475*44/12</f>
        <v>7.0594506551906064E-18</v>
      </c>
      <c r="AX147" s="21">
        <f t="shared" si="114"/>
        <v>0.11154364762981361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141.78548348627351</v>
      </c>
      <c r="BJ147" s="59">
        <f t="shared" si="146"/>
        <v>162.67012146297657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0.19465274347413053</v>
      </c>
      <c r="BR147" s="21">
        <f>EXP(-LN(2)/2)*BR146+(1-EXP(-LN(2)/2))/(LN(2)/2)*BL147*BO147*VLOOKUP('Données projet'!$B$11,Paramètres!$A$1:$I$89,3,0)*0.475*44/12</f>
        <v>4.9636986574981645E-17</v>
      </c>
      <c r="BS147" s="22">
        <f t="shared" si="117"/>
        <v>0.19465274347413059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-5.1431925385259088E-14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394.42011098756564</v>
      </c>
      <c r="T148" s="59">
        <f t="shared" si="142"/>
        <v>559.92215054152859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263.03078346375446</v>
      </c>
      <c r="AO148" s="59">
        <f t="shared" si="144"/>
        <v>251.74283929680905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0.10849348071955085</v>
      </c>
      <c r="AW148" s="21">
        <f>EXP(-LN(2)/2)*AW147+(1-EXP(-LN(2)/2))/(LN(2)/2)*AQ148*AT148*VLOOKUP('Données projet'!$B$10,Paramètres!$A$1:$I$89,3,0)*0.475*44/12</f>
        <v>4.9917854297370937E-18</v>
      </c>
      <c r="AX148" s="21">
        <f t="shared" si="114"/>
        <v>0.10849348071955085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141.78548348627351</v>
      </c>
      <c r="BJ148" s="59">
        <f t="shared" si="146"/>
        <v>162.67012146297657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0.18932995396748753</v>
      </c>
      <c r="BR148" s="21">
        <f>EXP(-LN(2)/2)*BR147+(1-EXP(-LN(2)/2))/(LN(2)/2)*BL148*BO148*VLOOKUP('Données projet'!$B$11,Paramètres!$A$1:$I$89,3,0)*0.475*44/12</f>
        <v>3.5098649804835143E-17</v>
      </c>
      <c r="BS148" s="22">
        <f t="shared" si="117"/>
        <v>0.18932995396748756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-5.1431925385259088E-14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394.42011098756564</v>
      </c>
      <c r="T149" s="59">
        <f t="shared" si="142"/>
        <v>559.92215054152859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263.03078346375446</v>
      </c>
      <c r="AO149" s="59">
        <f t="shared" si="144"/>
        <v>251.74283929680905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0.10552672078385054</v>
      </c>
      <c r="AW149" s="21">
        <f>EXP(-LN(2)/2)*AW148+(1-EXP(-LN(2)/2))/(LN(2)/2)*AQ149*AT149*VLOOKUP('Données projet'!$B$10,Paramètres!$A$1:$I$89,3,0)*0.475*44/12</f>
        <v>3.5297253275953032E-18</v>
      </c>
      <c r="AX149" s="21">
        <f t="shared" si="114"/>
        <v>0.10552672078385054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141.78548348627351</v>
      </c>
      <c r="BJ149" s="59">
        <f t="shared" si="146"/>
        <v>162.67012146297657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0.18415271641981704</v>
      </c>
      <c r="BR149" s="21">
        <f>EXP(-LN(2)/2)*BR148+(1-EXP(-LN(2)/2))/(LN(2)/2)*BL149*BO149*VLOOKUP('Données projet'!$B$11,Paramètres!$A$1:$I$89,3,0)*0.475*44/12</f>
        <v>2.4818493287490822E-17</v>
      </c>
      <c r="BS149" s="22">
        <f t="shared" si="117"/>
        <v>0.18415271641981706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-5.1431925385259088E-14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394.42011098756564</v>
      </c>
      <c r="T150" s="59">
        <f t="shared" si="142"/>
        <v>559.92215054152859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263.03078346375446</v>
      </c>
      <c r="AO150" s="59">
        <f t="shared" si="144"/>
        <v>251.74283929680905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0.10264108705460709</v>
      </c>
      <c r="AW150" s="21">
        <f>EXP(-LN(2)/2)*AW149+(1-EXP(-LN(2)/2))/(LN(2)/2)*AQ150*AT150*VLOOKUP('Données projet'!$B$10,Paramètres!$A$1:$I$89,3,0)*0.475*44/12</f>
        <v>2.4958927148685468E-18</v>
      </c>
      <c r="AX150" s="21">
        <f t="shared" si="114"/>
        <v>0.10264108705460709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141.78548348627351</v>
      </c>
      <c r="BJ150" s="59">
        <f t="shared" si="146"/>
        <v>162.67012146297657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0.17911705070514666</v>
      </c>
      <c r="BR150" s="21">
        <f>EXP(-LN(2)/2)*BR149+(1-EXP(-LN(2)/2))/(LN(2)/2)*BL150*BO150*VLOOKUP('Données projet'!$B$11,Paramètres!$A$1:$I$89,3,0)*0.475*44/12</f>
        <v>1.7549324902417571E-17</v>
      </c>
      <c r="BS150" s="22">
        <f t="shared" si="117"/>
        <v>0.17911705070514669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-5.1431925385259088E-14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394.42011098756564</v>
      </c>
      <c r="T151" s="59">
        <f t="shared" si="142"/>
        <v>559.92215054152859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263.03078346375446</v>
      </c>
      <c r="AO151" s="59">
        <f t="shared" si="144"/>
        <v>251.74283929680905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9.9834361131438676E-2</v>
      </c>
      <c r="AW151" s="21">
        <f>EXP(-LN(2)/2)*AW150+(1-EXP(-LN(2)/2))/(LN(2)/2)*AQ151*AT151*VLOOKUP('Données projet'!$B$10,Paramètres!$A$1:$I$89,3,0)*0.475*44/12</f>
        <v>1.7648626637976516E-18</v>
      </c>
      <c r="AX151" s="21">
        <f t="shared" si="114"/>
        <v>9.9834361131438676E-2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141.78548348627351</v>
      </c>
      <c r="BJ151" s="59">
        <f t="shared" si="146"/>
        <v>162.67012146297657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0.17421908553425811</v>
      </c>
      <c r="BR151" s="21">
        <f>EXP(-LN(2)/2)*BR150+(1-EXP(-LN(2)/2))/(LN(2)/2)*BL151*BO151*VLOOKUP('Données projet'!$B$11,Paramètres!$A$1:$I$89,3,0)*0.475*44/12</f>
        <v>1.2409246643745411E-17</v>
      </c>
      <c r="BS151" s="22">
        <f t="shared" si="117"/>
        <v>0.17421908553425811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-5.1431925385259088E-14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394.42011098756564</v>
      </c>
      <c r="T152" s="59">
        <f t="shared" si="142"/>
        <v>559.92215054152859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263.03078346375446</v>
      </c>
      <c r="AO152" s="59">
        <f t="shared" si="144"/>
        <v>251.74283929680905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9.7104385276238603E-2</v>
      </c>
      <c r="AW152" s="21">
        <f>EXP(-LN(2)/2)*AW151+(1-EXP(-LN(2)/2))/(LN(2)/2)*AQ152*AT152*VLOOKUP('Données projet'!$B$10,Paramètres!$A$1:$I$89,3,0)*0.475*44/12</f>
        <v>1.2479463574342734E-18</v>
      </c>
      <c r="AX152" s="21">
        <f t="shared" si="114"/>
        <v>9.7104385276238603E-2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141.78548348627351</v>
      </c>
      <c r="BJ152" s="59">
        <f t="shared" si="146"/>
        <v>162.67012146297657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0.16945505547854028</v>
      </c>
      <c r="BR152" s="21">
        <f>EXP(-LN(2)/2)*BR151+(1-EXP(-LN(2)/2))/(LN(2)/2)*BL152*BO152*VLOOKUP('Données projet'!$B$11,Paramètres!$A$1:$I$89,3,0)*0.475*44/12</f>
        <v>8.7746624512087857E-18</v>
      </c>
      <c r="BS152" s="22">
        <f t="shared" si="117"/>
        <v>0.16945505547854028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-5.1431925385259088E-14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394.42011098756564</v>
      </c>
      <c r="T153" s="59">
        <f t="shared" si="142"/>
        <v>559.92215054152859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263.03078346375446</v>
      </c>
      <c r="AO153" s="59">
        <f t="shared" si="144"/>
        <v>251.74283929680905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9.4449060754362171E-2</v>
      </c>
      <c r="AW153" s="21">
        <f>EXP(-LN(2)/2)*AW152+(1-EXP(-LN(2)/2))/(LN(2)/2)*AQ153*AT153*VLOOKUP('Données projet'!$B$10,Paramètres!$A$1:$I$89,3,0)*0.475*44/12</f>
        <v>8.8243133189882579E-19</v>
      </c>
      <c r="AX153" s="21">
        <f t="shared" si="114"/>
        <v>9.4449060754362171E-2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141.78548348627351</v>
      </c>
      <c r="BJ153" s="59">
        <f t="shared" si="146"/>
        <v>162.67012146297657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0.16482129807522553</v>
      </c>
      <c r="BR153" s="21">
        <f>EXP(-LN(2)/2)*BR152+(1-EXP(-LN(2)/2))/(LN(2)/2)*BL153*BO153*VLOOKUP('Données projet'!$B$11,Paramètres!$A$1:$I$89,3,0)*0.475*44/12</f>
        <v>6.2046233218727056E-18</v>
      </c>
      <c r="BS153" s="22">
        <f t="shared" si="117"/>
        <v>0.16482129807522553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-5.1431925385259088E-14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394.42011098756564</v>
      </c>
      <c r="T154" s="59">
        <f t="shared" si="142"/>
        <v>559.92215054152859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263.03078346375446</v>
      </c>
      <c r="AO154" s="59">
        <f t="shared" si="144"/>
        <v>251.74283929680905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9.18663462211739E-2</v>
      </c>
      <c r="AW154" s="21">
        <f>EXP(-LN(2)/2)*AW153+(1-EXP(-LN(2)/2))/(LN(2)/2)*AQ154*AT154*VLOOKUP('Données projet'!$B$10,Paramètres!$A$1:$I$89,3,0)*0.475*44/12</f>
        <v>6.2397317871713671E-19</v>
      </c>
      <c r="AX154" s="21">
        <f t="shared" ref="AX154:AX203" si="166">SUM(AU154:AW154)</f>
        <v>9.18663462211739E-2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141.78548348627351</v>
      </c>
      <c r="BJ154" s="59">
        <f t="shared" si="146"/>
        <v>162.67012146297657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0.16031425101178312</v>
      </c>
      <c r="BR154" s="21">
        <f>EXP(-LN(2)/2)*BR153+(1-EXP(-LN(2)/2))/(LN(2)/2)*BL154*BO154*VLOOKUP('Données projet'!$B$11,Paramètres!$A$1:$I$89,3,0)*0.475*44/12</f>
        <v>4.3873312256043928E-18</v>
      </c>
      <c r="BS154" s="22">
        <f t="shared" ref="BS154:BS203" si="169">SUM(BP154:BR154)</f>
        <v>0.16031425101178312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-5.1431925385259088E-14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394.42011098756564</v>
      </c>
      <c r="T155" s="59">
        <f t="shared" si="142"/>
        <v>559.92215054152859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263.03078346375446</v>
      </c>
      <c r="AO155" s="59">
        <f t="shared" si="144"/>
        <v>251.74283929680905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8.9354256152714709E-2</v>
      </c>
      <c r="AW155" s="21">
        <f>EXP(-LN(2)/2)*AW154+(1-EXP(-LN(2)/2))/(LN(2)/2)*AQ155*AT155*VLOOKUP('Données projet'!$B$10,Paramètres!$A$1:$I$89,3,0)*0.475*44/12</f>
        <v>4.412156659494129E-19</v>
      </c>
      <c r="AX155" s="21">
        <f t="shared" si="166"/>
        <v>8.9354256152714709E-2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141.78548348627351</v>
      </c>
      <c r="BJ155" s="59">
        <f t="shared" si="146"/>
        <v>162.67012146297657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0.15593044938730585</v>
      </c>
      <c r="BR155" s="21">
        <f>EXP(-LN(2)/2)*BR154+(1-EXP(-LN(2)/2))/(LN(2)/2)*BL155*BO155*VLOOKUP('Données projet'!$B$11,Paramètres!$A$1:$I$89,3,0)*0.475*44/12</f>
        <v>3.1023116609363528E-18</v>
      </c>
      <c r="BS155" s="22">
        <f t="shared" si="169"/>
        <v>0.15593044938730585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-5.1431925385259088E-14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394.42011098756564</v>
      </c>
      <c r="T156" s="59">
        <f t="shared" si="142"/>
        <v>559.92215054152859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263.03078346375446</v>
      </c>
      <c r="AO156" s="59">
        <f t="shared" si="144"/>
        <v>251.74283929680905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8.6910859319282621E-2</v>
      </c>
      <c r="AW156" s="21">
        <f>EXP(-LN(2)/2)*AW155+(1-EXP(-LN(2)/2))/(LN(2)/2)*AQ156*AT156*VLOOKUP('Données projet'!$B$10,Paramètres!$A$1:$I$89,3,0)*0.475*44/12</f>
        <v>3.1198658935856835E-19</v>
      </c>
      <c r="AX156" s="21">
        <f t="shared" si="166"/>
        <v>8.6910859319282621E-2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141.78548348627351</v>
      </c>
      <c r="BJ156" s="59">
        <f t="shared" si="146"/>
        <v>162.67012146297657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0.15166652304878403</v>
      </c>
      <c r="BR156" s="21">
        <f>EXP(-LN(2)/2)*BR155+(1-EXP(-LN(2)/2))/(LN(2)/2)*BL156*BO156*VLOOKUP('Données projet'!$B$11,Paramètres!$A$1:$I$89,3,0)*0.475*44/12</f>
        <v>2.1936656128021964E-18</v>
      </c>
      <c r="BS156" s="22">
        <f t="shared" si="169"/>
        <v>0.15166652304878403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-5.1431925385259088E-14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394.42011098756564</v>
      </c>
      <c r="T157" s="59">
        <f t="shared" si="142"/>
        <v>559.92215054152859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263.03078346375446</v>
      </c>
      <c r="AO157" s="59">
        <f t="shared" si="144"/>
        <v>251.74283929680905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8.4534277300753385E-2</v>
      </c>
      <c r="AW157" s="21">
        <f>EXP(-LN(2)/2)*AW156+(1-EXP(-LN(2)/2))/(LN(2)/2)*AQ157*AT157*VLOOKUP('Données projet'!$B$10,Paramètres!$A$1:$I$89,3,0)*0.475*44/12</f>
        <v>2.2060783297470645E-19</v>
      </c>
      <c r="AX157" s="21">
        <f t="shared" si="166"/>
        <v>8.4534277300753385E-2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141.78548348627351</v>
      </c>
      <c r="BJ157" s="59">
        <f t="shared" si="146"/>
        <v>162.67012146297657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0.14751919400021923</v>
      </c>
      <c r="BR157" s="21">
        <f>EXP(-LN(2)/2)*BR156+(1-EXP(-LN(2)/2))/(LN(2)/2)*BL157*BO157*VLOOKUP('Données projet'!$B$11,Paramètres!$A$1:$I$89,3,0)*0.475*44/12</f>
        <v>1.5511558304681764E-18</v>
      </c>
      <c r="BS157" s="22">
        <f t="shared" si="169"/>
        <v>0.14751919400021923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-5.1431925385259088E-14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394.42011098756564</v>
      </c>
      <c r="T158" s="59">
        <f t="shared" si="142"/>
        <v>559.92215054152859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263.03078346375446</v>
      </c>
      <c r="AO158" s="59">
        <f t="shared" si="144"/>
        <v>251.74283929680905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8.2222683042499842E-2</v>
      </c>
      <c r="AW158" s="21">
        <f>EXP(-LN(2)/2)*AW157+(1-EXP(-LN(2)/2))/(LN(2)/2)*AQ158*AT158*VLOOKUP('Données projet'!$B$10,Paramètres!$A$1:$I$89,3,0)*0.475*44/12</f>
        <v>1.5599329467928418E-19</v>
      </c>
      <c r="AX158" s="21">
        <f t="shared" si="166"/>
        <v>8.2222683042499842E-2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141.78548348627351</v>
      </c>
      <c r="BJ158" s="59">
        <f t="shared" si="146"/>
        <v>162.67012146297657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0.14348527388258597</v>
      </c>
      <c r="BR158" s="21">
        <f>EXP(-LN(2)/2)*BR157+(1-EXP(-LN(2)/2))/(LN(2)/2)*BL158*BO158*VLOOKUP('Données projet'!$B$11,Paramètres!$A$1:$I$89,3,0)*0.475*44/12</f>
        <v>1.0968328064010982E-18</v>
      </c>
      <c r="BS158" s="22">
        <f t="shared" si="169"/>
        <v>0.14348527388258597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-5.1431925385259088E-14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394.42011098756564</v>
      </c>
      <c r="T159" s="59">
        <f t="shared" si="142"/>
        <v>559.92215054152859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263.03078346375446</v>
      </c>
      <c r="AO159" s="59">
        <f t="shared" si="144"/>
        <v>251.74283929680905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7.9974299450799702E-2</v>
      </c>
      <c r="AW159" s="21">
        <f>EXP(-LN(2)/2)*AW158+(1-EXP(-LN(2)/2))/(LN(2)/2)*AQ159*AT159*VLOOKUP('Données projet'!$B$10,Paramètres!$A$1:$I$89,3,0)*0.475*44/12</f>
        <v>1.1030391648735322E-19</v>
      </c>
      <c r="AX159" s="21">
        <f t="shared" si="166"/>
        <v>7.9974299450799702E-2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141.78548348627351</v>
      </c>
      <c r="BJ159" s="59">
        <f t="shared" si="146"/>
        <v>162.67012146297657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0.13956166152270405</v>
      </c>
      <c r="BR159" s="21">
        <f>EXP(-LN(2)/2)*BR158+(1-EXP(-LN(2)/2))/(LN(2)/2)*BL159*BO159*VLOOKUP('Données projet'!$B$11,Paramètres!$A$1:$I$89,3,0)*0.475*44/12</f>
        <v>7.755779152340882E-19</v>
      </c>
      <c r="BS159" s="22">
        <f t="shared" si="169"/>
        <v>0.13956166152270405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-5.1431925385259088E-14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394.42011098756564</v>
      </c>
      <c r="T160" s="59">
        <f t="shared" si="142"/>
        <v>559.92215054152859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263.03078346375446</v>
      </c>
      <c r="AO160" s="59">
        <f t="shared" si="144"/>
        <v>251.74283929680905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7.7787398026651966E-2</v>
      </c>
      <c r="AW160" s="21">
        <f>EXP(-LN(2)/2)*AW159+(1-EXP(-LN(2)/2))/(LN(2)/2)*AQ160*AT160*VLOOKUP('Données projet'!$B$10,Paramètres!$A$1:$I$89,3,0)*0.475*44/12</f>
        <v>7.7996647339642089E-20</v>
      </c>
      <c r="AX160" s="21">
        <f t="shared" si="166"/>
        <v>7.7787398026651966E-2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141.78548348627351</v>
      </c>
      <c r="BJ160" s="59">
        <f t="shared" si="146"/>
        <v>162.67012146297657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0.13574534054913689</v>
      </c>
      <c r="BR160" s="21">
        <f>EXP(-LN(2)/2)*BR159+(1-EXP(-LN(2)/2))/(LN(2)/2)*BL160*BO160*VLOOKUP('Données projet'!$B$11,Paramètres!$A$1:$I$89,3,0)*0.475*44/12</f>
        <v>5.484164032005491E-19</v>
      </c>
      <c r="BS160" s="22">
        <f t="shared" si="169"/>
        <v>0.13574534054913689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-5.1431925385259088E-14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394.42011098756564</v>
      </c>
      <c r="T161" s="59">
        <f t="shared" si="142"/>
        <v>559.92215054152859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263.03078346375446</v>
      </c>
      <c r="AO161" s="59">
        <f t="shared" si="144"/>
        <v>251.74283929680905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7.5660297536951693E-2</v>
      </c>
      <c r="AW161" s="21">
        <f>EXP(-LN(2)/2)*AW160+(1-EXP(-LN(2)/2))/(LN(2)/2)*AQ161*AT161*VLOOKUP('Données projet'!$B$10,Paramètres!$A$1:$I$89,3,0)*0.475*44/12</f>
        <v>5.5151958243676612E-20</v>
      </c>
      <c r="AX161" s="21">
        <f t="shared" si="166"/>
        <v>7.5660297536951693E-2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141.78548348627351</v>
      </c>
      <c r="BJ161" s="59">
        <f t="shared" si="146"/>
        <v>162.67012146297657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0.13203337707328353</v>
      </c>
      <c r="BR161" s="21">
        <f>EXP(-LN(2)/2)*BR160+(1-EXP(-LN(2)/2))/(LN(2)/2)*BL161*BO161*VLOOKUP('Données projet'!$B$11,Paramètres!$A$1:$I$89,3,0)*0.475*44/12</f>
        <v>3.877889576170441E-19</v>
      </c>
      <c r="BS161" s="22">
        <f t="shared" si="169"/>
        <v>0.13203337707328353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-5.1431925385259088E-14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394.42011098756564</v>
      </c>
      <c r="T162" s="59">
        <f t="shared" si="142"/>
        <v>559.92215054152859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263.03078346375446</v>
      </c>
      <c r="AO162" s="59">
        <f t="shared" si="144"/>
        <v>251.74283929680905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7.3591362722001619E-2</v>
      </c>
      <c r="AW162" s="21">
        <f>EXP(-LN(2)/2)*AW161+(1-EXP(-LN(2)/2))/(LN(2)/2)*AQ162*AT162*VLOOKUP('Données projet'!$B$10,Paramètres!$A$1:$I$89,3,0)*0.475*44/12</f>
        <v>3.8998323669821044E-20</v>
      </c>
      <c r="AX162" s="21">
        <f t="shared" si="166"/>
        <v>7.3591362722001619E-2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141.78548348627351</v>
      </c>
      <c r="BJ162" s="59">
        <f t="shared" si="146"/>
        <v>162.67012146297657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0.12842291743388104</v>
      </c>
      <c r="BR162" s="21">
        <f>EXP(-LN(2)/2)*BR161+(1-EXP(-LN(2)/2))/(LN(2)/2)*BL162*BO162*VLOOKUP('Données projet'!$B$11,Paramètres!$A$1:$I$89,3,0)*0.475*44/12</f>
        <v>2.7420820160027455E-19</v>
      </c>
      <c r="BS162" s="22">
        <f t="shared" si="169"/>
        <v>0.12842291743388104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-5.1431925385259088E-14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394.42011098756564</v>
      </c>
      <c r="T163" s="59">
        <f t="shared" si="142"/>
        <v>559.92215054152859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263.03078346375446</v>
      </c>
      <c r="AO163" s="59">
        <f t="shared" si="144"/>
        <v>251.74283929680905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7.1579003038366909E-2</v>
      </c>
      <c r="AW163" s="21">
        <f>EXP(-LN(2)/2)*AW162+(1-EXP(-LN(2)/2))/(LN(2)/2)*AQ163*AT163*VLOOKUP('Données projet'!$B$10,Paramètres!$A$1:$I$89,3,0)*0.475*44/12</f>
        <v>2.7575979121838306E-20</v>
      </c>
      <c r="AX163" s="21">
        <f t="shared" si="166"/>
        <v>7.1579003038366909E-2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141.78548348627351</v>
      </c>
      <c r="BJ163" s="59">
        <f t="shared" si="146"/>
        <v>162.67012146297657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0.12491118600318385</v>
      </c>
      <c r="BR163" s="21">
        <f>EXP(-LN(2)/2)*BR162+(1-EXP(-LN(2)/2))/(LN(2)/2)*BL163*BO163*VLOOKUP('Données projet'!$B$11,Paramètres!$A$1:$I$89,3,0)*0.475*44/12</f>
        <v>1.9389447880852205E-19</v>
      </c>
      <c r="BS163" s="22">
        <f t="shared" si="169"/>
        <v>0.12491118600318385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-5.1431925385259088E-14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394.42011098756564</v>
      </c>
      <c r="T164" s="59">
        <f t="shared" si="142"/>
        <v>559.92215054152859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263.03078346375446</v>
      </c>
      <c r="AO164" s="59">
        <f t="shared" si="144"/>
        <v>251.74283929680905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6.9621671436106591E-2</v>
      </c>
      <c r="AW164" s="21">
        <f>EXP(-LN(2)/2)*AW163+(1-EXP(-LN(2)/2))/(LN(2)/2)*AQ164*AT164*VLOOKUP('Données projet'!$B$10,Paramètres!$A$1:$I$89,3,0)*0.475*44/12</f>
        <v>1.9499161834910522E-20</v>
      </c>
      <c r="AX164" s="21">
        <f t="shared" si="166"/>
        <v>6.9621671436106591E-2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141.78548348627351</v>
      </c>
      <c r="BJ164" s="59">
        <f t="shared" si="146"/>
        <v>162.67012146297657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0.121495483053133</v>
      </c>
      <c r="BR164" s="21">
        <f>EXP(-LN(2)/2)*BR163+(1-EXP(-LN(2)/2))/(LN(2)/2)*BL164*BO164*VLOOKUP('Données projet'!$B$11,Paramètres!$A$1:$I$89,3,0)*0.475*44/12</f>
        <v>1.3710410080013728E-19</v>
      </c>
      <c r="BS164" s="22">
        <f t="shared" si="169"/>
        <v>0.121495483053133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-5.1431925385259088E-14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394.42011098756564</v>
      </c>
      <c r="T165" s="59">
        <f t="shared" si="142"/>
        <v>559.92215054152859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263.03078346375446</v>
      </c>
      <c r="AO165" s="59">
        <f t="shared" si="144"/>
        <v>251.74283929680905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6.7717863169441672E-2</v>
      </c>
      <c r="AW165" s="21">
        <f>EXP(-LN(2)/2)*AW164+(1-EXP(-LN(2)/2))/(LN(2)/2)*AQ165*AT165*VLOOKUP('Données projet'!$B$10,Paramètres!$A$1:$I$89,3,0)*0.475*44/12</f>
        <v>1.3787989560919153E-20</v>
      </c>
      <c r="AX165" s="21">
        <f t="shared" si="166"/>
        <v>6.7717863169441672E-2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141.78548348627351</v>
      </c>
      <c r="BJ165" s="59">
        <f t="shared" si="146"/>
        <v>162.67012146297657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0.11817318267987531</v>
      </c>
      <c r="BR165" s="21">
        <f>EXP(-LN(2)/2)*BR164+(1-EXP(-LN(2)/2))/(LN(2)/2)*BL165*BO165*VLOOKUP('Données projet'!$B$11,Paramètres!$A$1:$I$89,3,0)*0.475*44/12</f>
        <v>9.6947239404261025E-20</v>
      </c>
      <c r="BS165" s="22">
        <f t="shared" si="169"/>
        <v>0.11817318267987531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-5.1431925385259088E-14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394.42011098756564</v>
      </c>
      <c r="T166" s="59">
        <f t="shared" si="142"/>
        <v>559.92215054152859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263.03078346375446</v>
      </c>
      <c r="AO166" s="59">
        <f t="shared" si="144"/>
        <v>251.74283929680905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6.5866114639945642E-2</v>
      </c>
      <c r="AW166" s="21">
        <f>EXP(-LN(2)/2)*AW165+(1-EXP(-LN(2)/2))/(LN(2)/2)*AQ166*AT166*VLOOKUP('Données projet'!$B$10,Paramètres!$A$1:$I$89,3,0)*0.475*44/12</f>
        <v>9.7495809174552611E-21</v>
      </c>
      <c r="AX166" s="21">
        <f t="shared" si="166"/>
        <v>6.5866114639945642E-2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141.78548348627351</v>
      </c>
      <c r="BJ166" s="59">
        <f t="shared" si="146"/>
        <v>162.67012146297657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0.11494173078503653</v>
      </c>
      <c r="BR166" s="21">
        <f>EXP(-LN(2)/2)*BR165+(1-EXP(-LN(2)/2))/(LN(2)/2)*BL166*BO166*VLOOKUP('Données projet'!$B$11,Paramètres!$A$1:$I$89,3,0)*0.475*44/12</f>
        <v>6.8552050400068638E-20</v>
      </c>
      <c r="BS166" s="22">
        <f t="shared" si="169"/>
        <v>0.11494173078503653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-5.1431925385259088E-14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394.42011098756564</v>
      </c>
      <c r="T167" s="59">
        <f t="shared" si="142"/>
        <v>559.92215054152859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263.03078346375446</v>
      </c>
      <c r="AO167" s="59">
        <f t="shared" si="144"/>
        <v>251.74283929680905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6.4065002271367896E-2</v>
      </c>
      <c r="AW167" s="21">
        <f>EXP(-LN(2)/2)*AW166+(1-EXP(-LN(2)/2))/(LN(2)/2)*AQ167*AT167*VLOOKUP('Données projet'!$B$10,Paramètres!$A$1:$I$89,3,0)*0.475*44/12</f>
        <v>6.8939947804595765E-21</v>
      </c>
      <c r="AX167" s="21">
        <f t="shared" si="166"/>
        <v>6.4065002271367896E-2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141.78548348627351</v>
      </c>
      <c r="BJ167" s="59">
        <f t="shared" si="146"/>
        <v>162.67012146297657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0.11179864311219678</v>
      </c>
      <c r="BR167" s="21">
        <f>EXP(-LN(2)/2)*BR166+(1-EXP(-LN(2)/2))/(LN(2)/2)*BL167*BO167*VLOOKUP('Données projet'!$B$11,Paramètres!$A$1:$I$89,3,0)*0.475*44/12</f>
        <v>4.8473619702130513E-20</v>
      </c>
      <c r="BS167" s="22">
        <f t="shared" si="169"/>
        <v>0.11179864311219678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-5.1431925385259088E-14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394.42011098756564</v>
      </c>
      <c r="T168" s="59">
        <f t="shared" si="142"/>
        <v>559.92215054152859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263.03078346375446</v>
      </c>
      <c r="AO168" s="59">
        <f t="shared" si="144"/>
        <v>251.74283929680905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6.2313141415225294E-2</v>
      </c>
      <c r="AW168" s="21">
        <f>EXP(-LN(2)/2)*AW167+(1-EXP(-LN(2)/2))/(LN(2)/2)*AQ168*AT168*VLOOKUP('Données projet'!$B$10,Paramètres!$A$1:$I$89,3,0)*0.475*44/12</f>
        <v>4.8747904587276305E-21</v>
      </c>
      <c r="AX168" s="21">
        <f t="shared" si="166"/>
        <v>6.2313141415225294E-2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141.78548348627351</v>
      </c>
      <c r="BJ168" s="59">
        <f t="shared" si="146"/>
        <v>162.67012146297657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0.10874150333705863</v>
      </c>
      <c r="BR168" s="21">
        <f>EXP(-LN(2)/2)*BR167+(1-EXP(-LN(2)/2))/(LN(2)/2)*BL168*BO168*VLOOKUP('Données projet'!$B$11,Paramètres!$A$1:$I$89,3,0)*0.475*44/12</f>
        <v>3.4276025200034319E-20</v>
      </c>
      <c r="BS168" s="22">
        <f t="shared" si="169"/>
        <v>0.10874150333705863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-5.1431925385259088E-14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394.42011098756564</v>
      </c>
      <c r="T169" s="59">
        <f t="shared" si="142"/>
        <v>559.92215054152859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263.03078346375446</v>
      </c>
      <c r="AO169" s="59">
        <f t="shared" si="144"/>
        <v>251.74283929680905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6.0609185286320269E-2</v>
      </c>
      <c r="AW169" s="21">
        <f>EXP(-LN(2)/2)*AW168+(1-EXP(-LN(2)/2))/(LN(2)/2)*AQ169*AT169*VLOOKUP('Données projet'!$B$10,Paramètres!$A$1:$I$89,3,0)*0.475*44/12</f>
        <v>3.4469973902297883E-21</v>
      </c>
      <c r="AX169" s="21">
        <f t="shared" si="166"/>
        <v>6.0609185286320269E-2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141.78548348627351</v>
      </c>
      <c r="BJ169" s="59">
        <f t="shared" si="146"/>
        <v>162.67012146297657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0.10576796120983964</v>
      </c>
      <c r="BR169" s="21">
        <f>EXP(-LN(2)/2)*BR168+(1-EXP(-LN(2)/2))/(LN(2)/2)*BL169*BO169*VLOOKUP('Données projet'!$B$11,Paramètres!$A$1:$I$89,3,0)*0.475*44/12</f>
        <v>2.4236809851065256E-20</v>
      </c>
      <c r="BS169" s="22">
        <f t="shared" si="169"/>
        <v>0.10576796120983964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-5.1431925385259088E-14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394.42011098756564</v>
      </c>
      <c r="T170" s="59">
        <f t="shared" si="142"/>
        <v>559.92215054152859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263.03078346375446</v>
      </c>
      <c r="AO170" s="59">
        <f t="shared" si="144"/>
        <v>251.74283929680905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5.8951823927367308E-2</v>
      </c>
      <c r="AW170" s="21">
        <f>EXP(-LN(2)/2)*AW169+(1-EXP(-LN(2)/2))/(LN(2)/2)*AQ170*AT170*VLOOKUP('Données projet'!$B$10,Paramètres!$A$1:$I$89,3,0)*0.475*44/12</f>
        <v>2.4373952293638153E-21</v>
      </c>
      <c r="AX170" s="21">
        <f t="shared" si="166"/>
        <v>5.8951823927367308E-2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141.78548348627351</v>
      </c>
      <c r="BJ170" s="59">
        <f t="shared" si="146"/>
        <v>162.67012146297657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0.10287573074846124</v>
      </c>
      <c r="BR170" s="21">
        <f>EXP(-LN(2)/2)*BR169+(1-EXP(-LN(2)/2))/(LN(2)/2)*BL170*BO170*VLOOKUP('Données projet'!$B$11,Paramètres!$A$1:$I$89,3,0)*0.475*44/12</f>
        <v>1.7138012600017159E-20</v>
      </c>
      <c r="BS170" s="22">
        <f t="shared" si="169"/>
        <v>0.10287573074846124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-5.1431925385259088E-14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394.42011098756564</v>
      </c>
      <c r="T171" s="59">
        <f t="shared" si="142"/>
        <v>559.92215054152859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263.03078346375446</v>
      </c>
      <c r="AO171" s="59">
        <f t="shared" si="144"/>
        <v>251.74283929680905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5.7339783201931768E-2</v>
      </c>
      <c r="AW171" s="21">
        <f>EXP(-LN(2)/2)*AW170+(1-EXP(-LN(2)/2))/(LN(2)/2)*AQ171*AT171*VLOOKUP('Données projet'!$B$10,Paramètres!$A$1:$I$89,3,0)*0.475*44/12</f>
        <v>1.7234986951148941E-21</v>
      </c>
      <c r="AX171" s="21">
        <f t="shared" si="166"/>
        <v>5.7339783201931768E-2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141.78548348627351</v>
      </c>
      <c r="BJ171" s="59">
        <f t="shared" si="146"/>
        <v>162.67012146297657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0.10006258848114501</v>
      </c>
      <c r="BR171" s="21">
        <f>EXP(-LN(2)/2)*BR170+(1-EXP(-LN(2)/2))/(LN(2)/2)*BL171*BO171*VLOOKUP('Données projet'!$B$11,Paramètres!$A$1:$I$89,3,0)*0.475*44/12</f>
        <v>1.2118404925532628E-20</v>
      </c>
      <c r="BS171" s="22">
        <f t="shared" si="169"/>
        <v>0.10006258848114501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-5.1431925385259088E-14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394.42011098756564</v>
      </c>
      <c r="T172" s="59">
        <f t="shared" si="142"/>
        <v>559.92215054152859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263.03078346375446</v>
      </c>
      <c r="AO172" s="59">
        <f t="shared" si="144"/>
        <v>251.74283929680905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5.57718238149068E-2</v>
      </c>
      <c r="AW172" s="21">
        <f>EXP(-LN(2)/2)*AW171+(1-EXP(-LN(2)/2))/(LN(2)/2)*AQ172*AT172*VLOOKUP('Données projet'!$B$10,Paramètres!$A$1:$I$89,3,0)*0.475*44/12</f>
        <v>1.2186976146819076E-21</v>
      </c>
      <c r="AX172" s="21">
        <f t="shared" si="166"/>
        <v>5.57718238149068E-2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141.78548348627351</v>
      </c>
      <c r="BJ172" s="59">
        <f t="shared" si="146"/>
        <v>162.67012146297657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9.7326371737065265E-2</v>
      </c>
      <c r="BR172" s="21">
        <f>EXP(-LN(2)/2)*BR171+(1-EXP(-LN(2)/2))/(LN(2)/2)*BL172*BO172*VLOOKUP('Données projet'!$B$11,Paramètres!$A$1:$I$89,3,0)*0.475*44/12</f>
        <v>8.5690063000085797E-21</v>
      </c>
      <c r="BS172" s="22">
        <f t="shared" si="169"/>
        <v>9.7326371737065265E-2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-5.1431925385259088E-14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394.42011098756564</v>
      </c>
      <c r="T173" s="59">
        <f t="shared" si="142"/>
        <v>559.92215054152859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263.03078346375446</v>
      </c>
      <c r="AO173" s="59">
        <f t="shared" si="144"/>
        <v>251.74283929680905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5.4246740359775426E-2</v>
      </c>
      <c r="AW173" s="21">
        <f>EXP(-LN(2)/2)*AW172+(1-EXP(-LN(2)/2))/(LN(2)/2)*AQ173*AT173*VLOOKUP('Données projet'!$B$10,Paramètres!$A$1:$I$89,3,0)*0.475*44/12</f>
        <v>8.6174934755744706E-22</v>
      </c>
      <c r="AX173" s="21">
        <f t="shared" si="166"/>
        <v>5.4246740359775426E-2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141.78548348627351</v>
      </c>
      <c r="BJ173" s="59">
        <f t="shared" si="146"/>
        <v>162.67012146297657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9.4664976983743765E-2</v>
      </c>
      <c r="BR173" s="21">
        <f>EXP(-LN(2)/2)*BR172+(1-EXP(-LN(2)/2))/(LN(2)/2)*BL173*BO173*VLOOKUP('Données projet'!$B$11,Paramètres!$A$1:$I$89,3,0)*0.475*44/12</f>
        <v>6.0592024627663141E-21</v>
      </c>
      <c r="BS173" s="22">
        <f t="shared" si="169"/>
        <v>9.4664976983743765E-2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-5.1431925385259088E-14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394.42011098756564</v>
      </c>
      <c r="T174" s="59">
        <f t="shared" si="142"/>
        <v>559.92215054152859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263.03078346375446</v>
      </c>
      <c r="AO174" s="59">
        <f t="shared" si="144"/>
        <v>251.74283929680905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5.2763360391925272E-2</v>
      </c>
      <c r="AW174" s="21">
        <f>EXP(-LN(2)/2)*AW173+(1-EXP(-LN(2)/2))/(LN(2)/2)*AQ174*AT174*VLOOKUP('Données projet'!$B$10,Paramètres!$A$1:$I$89,3,0)*0.475*44/12</f>
        <v>6.0934880734095382E-22</v>
      </c>
      <c r="AX174" s="21">
        <f t="shared" si="166"/>
        <v>5.2763360391925272E-2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141.78548348627351</v>
      </c>
      <c r="BJ174" s="59">
        <f t="shared" si="146"/>
        <v>162.67012146297657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9.2076358209908518E-2</v>
      </c>
      <c r="BR174" s="21">
        <f>EXP(-LN(2)/2)*BR173+(1-EXP(-LN(2)/2))/(LN(2)/2)*BL174*BO174*VLOOKUP('Données projet'!$B$11,Paramètres!$A$1:$I$89,3,0)*0.475*44/12</f>
        <v>4.2845031500042899E-21</v>
      </c>
      <c r="BS174" s="22">
        <f t="shared" si="169"/>
        <v>9.2076358209908518E-2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-5.1431925385259088E-14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394.42011098756564</v>
      </c>
      <c r="T175" s="59">
        <f t="shared" si="142"/>
        <v>559.92215054152859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263.03078346375446</v>
      </c>
      <c r="AO175" s="59">
        <f t="shared" si="144"/>
        <v>251.74283929680905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5.1320543527303544E-2</v>
      </c>
      <c r="AW175" s="21">
        <f>EXP(-LN(2)/2)*AW174+(1-EXP(-LN(2)/2))/(LN(2)/2)*AQ175*AT175*VLOOKUP('Données projet'!$B$10,Paramètres!$A$1:$I$89,3,0)*0.475*44/12</f>
        <v>4.3087467377872353E-22</v>
      </c>
      <c r="AX175" s="21">
        <f t="shared" si="166"/>
        <v>5.1320543527303544E-2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141.78548348627351</v>
      </c>
      <c r="BJ175" s="59">
        <f t="shared" si="146"/>
        <v>162.67012146297657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8.9558525352573332E-2</v>
      </c>
      <c r="BR175" s="21">
        <f>EXP(-LN(2)/2)*BR174+(1-EXP(-LN(2)/2))/(LN(2)/2)*BL175*BO175*VLOOKUP('Données projet'!$B$11,Paramètres!$A$1:$I$89,3,0)*0.475*44/12</f>
        <v>3.029601231383157E-21</v>
      </c>
      <c r="BS175" s="22">
        <f t="shared" si="169"/>
        <v>8.9558525352573332E-2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-5.1431925385259088E-14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394.42011098756564</v>
      </c>
      <c r="T176" s="59">
        <f t="shared" si="142"/>
        <v>559.92215054152859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263.03078346375446</v>
      </c>
      <c r="AO176" s="59">
        <f t="shared" si="144"/>
        <v>251.74283929680905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4.9917180565719338E-2</v>
      </c>
      <c r="AW176" s="21">
        <f>EXP(-LN(2)/2)*AW175+(1-EXP(-LN(2)/2))/(LN(2)/2)*AQ176*AT176*VLOOKUP('Données projet'!$B$10,Paramètres!$A$1:$I$89,3,0)*0.475*44/12</f>
        <v>3.0467440367047691E-22</v>
      </c>
      <c r="AX176" s="21">
        <f t="shared" si="166"/>
        <v>4.9917180565719338E-2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141.78548348627351</v>
      </c>
      <c r="BJ176" s="59">
        <f t="shared" si="146"/>
        <v>162.67012146297657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8.7109542767129053E-2</v>
      </c>
      <c r="BR176" s="21">
        <f>EXP(-LN(2)/2)*BR175+(1-EXP(-LN(2)/2))/(LN(2)/2)*BL176*BO176*VLOOKUP('Données projet'!$B$11,Paramètres!$A$1:$I$89,3,0)*0.475*44/12</f>
        <v>2.1422515750021449E-21</v>
      </c>
      <c r="BS176" s="22">
        <f t="shared" si="169"/>
        <v>8.7109542767129053E-2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-5.1431925385259088E-14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394.42011098756564</v>
      </c>
      <c r="T177" s="59">
        <f t="shared" si="142"/>
        <v>559.92215054152859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263.03078346375446</v>
      </c>
      <c r="AO177" s="59">
        <f t="shared" si="144"/>
        <v>251.74283929680905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4.8552192638119301E-2</v>
      </c>
      <c r="AW177" s="21">
        <f>EXP(-LN(2)/2)*AW176+(1-EXP(-LN(2)/2))/(LN(2)/2)*AQ177*AT177*VLOOKUP('Données projet'!$B$10,Paramètres!$A$1:$I$89,3,0)*0.475*44/12</f>
        <v>2.1543733688936177E-22</v>
      </c>
      <c r="AX177" s="21">
        <f t="shared" si="166"/>
        <v>4.8552192638119301E-2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141.78548348627351</v>
      </c>
      <c r="BJ177" s="59">
        <f t="shared" si="146"/>
        <v>162.67012146297657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8.4727527739270142E-2</v>
      </c>
      <c r="BR177" s="21">
        <f>EXP(-LN(2)/2)*BR176+(1-EXP(-LN(2)/2))/(LN(2)/2)*BL177*BO177*VLOOKUP('Données projet'!$B$11,Paramètres!$A$1:$I$89,3,0)*0.475*44/12</f>
        <v>1.5148006156915785E-21</v>
      </c>
      <c r="BS177" s="22">
        <f t="shared" si="169"/>
        <v>8.4727527739270142E-2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-5.1431925385259088E-14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394.42011098756564</v>
      </c>
      <c r="T178" s="59">
        <f t="shared" si="142"/>
        <v>559.92215054152859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263.03078346375446</v>
      </c>
      <c r="AO178" s="59">
        <f t="shared" si="144"/>
        <v>251.74283929680905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4.7224530377181086E-2</v>
      </c>
      <c r="AW178" s="21">
        <f>EXP(-LN(2)/2)*AW177+(1-EXP(-LN(2)/2))/(LN(2)/2)*AQ178*AT178*VLOOKUP('Données projet'!$B$10,Paramètres!$A$1:$I$89,3,0)*0.475*44/12</f>
        <v>1.5233720183523845E-22</v>
      </c>
      <c r="AX178" s="21">
        <f t="shared" si="166"/>
        <v>4.7224530377181086E-2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141.78548348627351</v>
      </c>
      <c r="BJ178" s="59">
        <f t="shared" si="146"/>
        <v>162.67012146297657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8.2410649037612763E-2</v>
      </c>
      <c r="BR178" s="21">
        <f>EXP(-LN(2)/2)*BR177+(1-EXP(-LN(2)/2))/(LN(2)/2)*BL178*BO178*VLOOKUP('Données projet'!$B$11,Paramètres!$A$1:$I$89,3,0)*0.475*44/12</f>
        <v>1.0711257875010725E-21</v>
      </c>
      <c r="BS178" s="22">
        <f t="shared" si="169"/>
        <v>8.2410649037612763E-2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-5.1431925385259088E-14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394.42011098756564</v>
      </c>
      <c r="T179" s="59">
        <f t="shared" si="142"/>
        <v>559.92215054152859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263.03078346375446</v>
      </c>
      <c r="AO179" s="59">
        <f t="shared" si="144"/>
        <v>251.74283929680905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4.593317311058695E-2</v>
      </c>
      <c r="AW179" s="21">
        <f>EXP(-LN(2)/2)*AW178+(1-EXP(-LN(2)/2))/(LN(2)/2)*AQ179*AT179*VLOOKUP('Données projet'!$B$10,Paramètres!$A$1:$I$89,3,0)*0.475*44/12</f>
        <v>1.0771866844468088E-22</v>
      </c>
      <c r="AX179" s="21">
        <f t="shared" si="166"/>
        <v>4.593317311058695E-2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141.78548348627351</v>
      </c>
      <c r="BJ179" s="59">
        <f t="shared" si="146"/>
        <v>162.67012146297657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8.015712550589156E-2</v>
      </c>
      <c r="BR179" s="21">
        <f>EXP(-LN(2)/2)*BR178+(1-EXP(-LN(2)/2))/(LN(2)/2)*BL179*BO179*VLOOKUP('Données projet'!$B$11,Paramètres!$A$1:$I$89,3,0)*0.475*44/12</f>
        <v>7.5740030784578926E-22</v>
      </c>
      <c r="BS179" s="22">
        <f t="shared" si="169"/>
        <v>8.015712550589156E-2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-5.1431925385259088E-14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394.42011098756564</v>
      </c>
      <c r="T180" s="59">
        <f t="shared" si="142"/>
        <v>559.92215054152859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263.03078346375446</v>
      </c>
      <c r="AO180" s="59">
        <f t="shared" si="144"/>
        <v>251.74283929680905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4.4677128076357354E-2</v>
      </c>
      <c r="AW180" s="21">
        <f>EXP(-LN(2)/2)*AW179+(1-EXP(-LN(2)/2))/(LN(2)/2)*AQ180*AT180*VLOOKUP('Données projet'!$B$10,Paramètres!$A$1:$I$89,3,0)*0.475*44/12</f>
        <v>7.6168600917619227E-23</v>
      </c>
      <c r="AX180" s="21">
        <f t="shared" si="166"/>
        <v>4.4677128076357354E-2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141.78548348627351</v>
      </c>
      <c r="BJ180" s="59">
        <f t="shared" si="146"/>
        <v>162.67012146297657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7.7965224693652926E-2</v>
      </c>
      <c r="BR180" s="21">
        <f>EXP(-LN(2)/2)*BR179+(1-EXP(-LN(2)/2))/(LN(2)/2)*BL180*BO180*VLOOKUP('Données projet'!$B$11,Paramètres!$A$1:$I$89,3,0)*0.475*44/12</f>
        <v>5.3556289375053623E-22</v>
      </c>
      <c r="BS180" s="22">
        <f t="shared" si="169"/>
        <v>7.7965224693652926E-2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-5.1431925385259088E-14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394.42011098756564</v>
      </c>
      <c r="T181" s="59">
        <f t="shared" si="142"/>
        <v>559.92215054152859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263.03078346375446</v>
      </c>
      <c r="AO181" s="59">
        <f t="shared" si="144"/>
        <v>251.74283929680905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4.3455429659641311E-2</v>
      </c>
      <c r="AW181" s="21">
        <f>EXP(-LN(2)/2)*AW180+(1-EXP(-LN(2)/2))/(LN(2)/2)*AQ181*AT181*VLOOKUP('Données projet'!$B$10,Paramètres!$A$1:$I$89,3,0)*0.475*44/12</f>
        <v>5.3859334222340442E-23</v>
      </c>
      <c r="AX181" s="21">
        <f t="shared" si="166"/>
        <v>4.3455429659641311E-2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141.78548348627351</v>
      </c>
      <c r="BJ181" s="59">
        <f t="shared" si="146"/>
        <v>162.67012146297657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7.5833261524392015E-2</v>
      </c>
      <c r="BR181" s="21">
        <f>EXP(-LN(2)/2)*BR180+(1-EXP(-LN(2)/2))/(LN(2)/2)*BL181*BO181*VLOOKUP('Données projet'!$B$11,Paramètres!$A$1:$I$89,3,0)*0.475*44/12</f>
        <v>3.7870015392289463E-22</v>
      </c>
      <c r="BS181" s="22">
        <f t="shared" si="169"/>
        <v>7.5833261524392015E-2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-5.1431925385259088E-14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394.42011098756564</v>
      </c>
      <c r="T182" s="59">
        <f t="shared" si="142"/>
        <v>559.92215054152859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263.03078346375446</v>
      </c>
      <c r="AO182" s="59">
        <f t="shared" si="144"/>
        <v>251.74283929680905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4.2267138650376693E-2</v>
      </c>
      <c r="AW182" s="21">
        <f>EXP(-LN(2)/2)*AW181+(1-EXP(-LN(2)/2))/(LN(2)/2)*AQ182*AT182*VLOOKUP('Données projet'!$B$10,Paramètres!$A$1:$I$89,3,0)*0.475*44/12</f>
        <v>3.8084300458809614E-23</v>
      </c>
      <c r="AX182" s="21">
        <f t="shared" si="166"/>
        <v>4.2267138650376693E-2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141.78548348627351</v>
      </c>
      <c r="BJ182" s="59">
        <f t="shared" si="146"/>
        <v>162.67012146297657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7.3759597000109617E-2</v>
      </c>
      <c r="BR182" s="21">
        <f>EXP(-LN(2)/2)*BR181+(1-EXP(-LN(2)/2))/(LN(2)/2)*BL182*BO182*VLOOKUP('Données projet'!$B$11,Paramètres!$A$1:$I$89,3,0)*0.475*44/12</f>
        <v>2.6778144687526812E-22</v>
      </c>
      <c r="BS182" s="22">
        <f t="shared" si="169"/>
        <v>7.3759597000109617E-2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-5.1431925385259088E-14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394.42011098756564</v>
      </c>
      <c r="T183" s="59">
        <f t="shared" si="142"/>
        <v>559.92215054152859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263.03078346375446</v>
      </c>
      <c r="AO183" s="59">
        <f t="shared" si="144"/>
        <v>251.74283929680905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4.1111341521249921E-2</v>
      </c>
      <c r="AW183" s="21">
        <f>EXP(-LN(2)/2)*AW182+(1-EXP(-LN(2)/2))/(LN(2)/2)*AQ183*AT183*VLOOKUP('Données projet'!$B$10,Paramètres!$A$1:$I$89,3,0)*0.475*44/12</f>
        <v>2.6929667111170221E-23</v>
      </c>
      <c r="AX183" s="21">
        <f t="shared" si="166"/>
        <v>4.1111341521249921E-2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141.78548348627351</v>
      </c>
      <c r="BJ183" s="59">
        <f t="shared" si="146"/>
        <v>162.67012146297657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7.1742636941292987E-2</v>
      </c>
      <c r="BR183" s="21">
        <f>EXP(-LN(2)/2)*BR182+(1-EXP(-LN(2)/2))/(LN(2)/2)*BL183*BO183*VLOOKUP('Données projet'!$B$11,Paramètres!$A$1:$I$89,3,0)*0.475*44/12</f>
        <v>1.8935007696144731E-22</v>
      </c>
      <c r="BS183" s="22">
        <f t="shared" si="169"/>
        <v>7.1742636941292987E-2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-5.1431925385259088E-14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394.42011098756564</v>
      </c>
      <c r="T184" s="59">
        <f t="shared" si="142"/>
        <v>559.92215054152859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263.03078346375446</v>
      </c>
      <c r="AO184" s="59">
        <f t="shared" si="144"/>
        <v>251.74283929680905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3.9987149725399851E-2</v>
      </c>
      <c r="AW184" s="21">
        <f>EXP(-LN(2)/2)*AW183+(1-EXP(-LN(2)/2))/(LN(2)/2)*AQ184*AT184*VLOOKUP('Données projet'!$B$10,Paramètres!$A$1:$I$89,3,0)*0.475*44/12</f>
        <v>1.9042150229404807E-23</v>
      </c>
      <c r="AX184" s="21">
        <f t="shared" si="166"/>
        <v>3.9987149725399851E-2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141.78548348627351</v>
      </c>
      <c r="BJ184" s="59">
        <f t="shared" si="146"/>
        <v>162.67012146297657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6.9780830761352025E-2</v>
      </c>
      <c r="BR184" s="21">
        <f>EXP(-LN(2)/2)*BR183+(1-EXP(-LN(2)/2))/(LN(2)/2)*BL184*BO184*VLOOKUP('Données projet'!$B$11,Paramètres!$A$1:$I$89,3,0)*0.475*44/12</f>
        <v>1.3389072343763406E-22</v>
      </c>
      <c r="BS184" s="22">
        <f t="shared" si="169"/>
        <v>6.9780830761352025E-2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-5.1431925385259088E-14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394.42011098756564</v>
      </c>
      <c r="T185" s="59">
        <f t="shared" si="142"/>
        <v>559.92215054152859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263.03078346375446</v>
      </c>
      <c r="AO185" s="59">
        <f t="shared" si="144"/>
        <v>251.74283929680905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3.8893699013325983E-2</v>
      </c>
      <c r="AW185" s="21">
        <f>EXP(-LN(2)/2)*AW184+(1-EXP(-LN(2)/2))/(LN(2)/2)*AQ185*AT185*VLOOKUP('Données projet'!$B$10,Paramètres!$A$1:$I$89,3,0)*0.475*44/12</f>
        <v>1.346483355558511E-23</v>
      </c>
      <c r="AX185" s="21">
        <f t="shared" si="166"/>
        <v>3.8893699013325983E-2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141.78548348627351</v>
      </c>
      <c r="BJ185" s="59">
        <f t="shared" si="146"/>
        <v>162.67012146297657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6.7872670274568447E-2</v>
      </c>
      <c r="BR185" s="21">
        <f>EXP(-LN(2)/2)*BR184+(1-EXP(-LN(2)/2))/(LN(2)/2)*BL185*BO185*VLOOKUP('Données projet'!$B$11,Paramètres!$A$1:$I$89,3,0)*0.475*44/12</f>
        <v>9.4675038480723657E-23</v>
      </c>
      <c r="BS185" s="22">
        <f t="shared" si="169"/>
        <v>6.7872670274568447E-2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-5.1431925385259088E-14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394.42011098756564</v>
      </c>
      <c r="T186" s="59">
        <f t="shared" si="142"/>
        <v>559.92215054152859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263.03078346375446</v>
      </c>
      <c r="AO186" s="59">
        <f t="shared" si="144"/>
        <v>251.74283929680905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3.7830148768475846E-2</v>
      </c>
      <c r="AW186" s="21">
        <f>EXP(-LN(2)/2)*AW185+(1-EXP(-LN(2)/2))/(LN(2)/2)*AQ186*AT186*VLOOKUP('Données projet'!$B$10,Paramètres!$A$1:$I$89,3,0)*0.475*44/12</f>
        <v>9.5210751147024034E-24</v>
      </c>
      <c r="AX186" s="21">
        <f t="shared" si="166"/>
        <v>3.7830148768475846E-2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141.78548348627351</v>
      </c>
      <c r="BJ186" s="59">
        <f t="shared" si="146"/>
        <v>162.67012146297657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6.6016688536641763E-2</v>
      </c>
      <c r="BR186" s="21">
        <f>EXP(-LN(2)/2)*BR185+(1-EXP(-LN(2)/2))/(LN(2)/2)*BL186*BO186*VLOOKUP('Données projet'!$B$11,Paramètres!$A$1:$I$89,3,0)*0.475*44/12</f>
        <v>6.6945361718817029E-23</v>
      </c>
      <c r="BS186" s="22">
        <f t="shared" si="169"/>
        <v>6.6016688536641763E-2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-5.1431925385259088E-14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394.42011098756564</v>
      </c>
      <c r="T187" s="59">
        <f t="shared" si="142"/>
        <v>559.92215054152859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263.03078346375446</v>
      </c>
      <c r="AO187" s="59">
        <f t="shared" si="144"/>
        <v>251.74283929680905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3.6795681361000809E-2</v>
      </c>
      <c r="AW187" s="21">
        <f>EXP(-LN(2)/2)*AW186+(1-EXP(-LN(2)/2))/(LN(2)/2)*AQ187*AT187*VLOOKUP('Données projet'!$B$10,Paramètres!$A$1:$I$89,3,0)*0.475*44/12</f>
        <v>6.7324167777925552E-24</v>
      </c>
      <c r="AX187" s="21">
        <f t="shared" si="166"/>
        <v>3.6795681361000809E-2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141.78548348627351</v>
      </c>
      <c r="BJ187" s="59">
        <f t="shared" si="146"/>
        <v>162.67012146297657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6.421145871694052E-2</v>
      </c>
      <c r="BR187" s="21">
        <f>EXP(-LN(2)/2)*BR186+(1-EXP(-LN(2)/2))/(LN(2)/2)*BL187*BO187*VLOOKUP('Données projet'!$B$11,Paramètres!$A$1:$I$89,3,0)*0.475*44/12</f>
        <v>4.7337519240361829E-23</v>
      </c>
      <c r="BS187" s="22">
        <f t="shared" si="169"/>
        <v>6.421145871694052E-2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-5.1431925385259088E-14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394.42011098756564</v>
      </c>
      <c r="T188" s="59">
        <f t="shared" si="142"/>
        <v>559.92215054152859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263.03078346375446</v>
      </c>
      <c r="AO188" s="59">
        <f t="shared" si="144"/>
        <v>251.74283929680905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3.5789501519183455E-2</v>
      </c>
      <c r="AW188" s="21">
        <f>EXP(-LN(2)/2)*AW187+(1-EXP(-LN(2)/2))/(LN(2)/2)*AQ188*AT188*VLOOKUP('Données projet'!$B$10,Paramètres!$A$1:$I$89,3,0)*0.475*44/12</f>
        <v>4.7605375573512017E-24</v>
      </c>
      <c r="AX188" s="21">
        <f t="shared" si="166"/>
        <v>3.5789501519183455E-2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141.78548348627351</v>
      </c>
      <c r="BJ188" s="59">
        <f t="shared" si="146"/>
        <v>162.67012146297657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6.2455593001591925E-2</v>
      </c>
      <c r="BR188" s="21">
        <f>EXP(-LN(2)/2)*BR187+(1-EXP(-LN(2)/2))/(LN(2)/2)*BL188*BO188*VLOOKUP('Données projet'!$B$11,Paramètres!$A$1:$I$89,3,0)*0.475*44/12</f>
        <v>3.3472680859408515E-23</v>
      </c>
      <c r="BS188" s="22">
        <f t="shared" si="169"/>
        <v>6.2455593001591925E-2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-5.1431925385259088E-14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394.42011098756564</v>
      </c>
      <c r="T189" s="59">
        <f t="shared" si="142"/>
        <v>559.92215054152859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263.03078346375446</v>
      </c>
      <c r="AO189" s="59">
        <f t="shared" si="144"/>
        <v>251.74283929680905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3.4810835718053296E-2</v>
      </c>
      <c r="AW189" s="21">
        <f>EXP(-LN(2)/2)*AW188+(1-EXP(-LN(2)/2))/(LN(2)/2)*AQ189*AT189*VLOOKUP('Données projet'!$B$10,Paramètres!$A$1:$I$89,3,0)*0.475*44/12</f>
        <v>3.3662083888962776E-24</v>
      </c>
      <c r="AX189" s="21">
        <f t="shared" si="166"/>
        <v>3.4810835718053296E-2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141.78548348627351</v>
      </c>
      <c r="BJ189" s="59">
        <f t="shared" si="146"/>
        <v>162.67012146297657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6.07477415265665E-2</v>
      </c>
      <c r="BR189" s="21">
        <f>EXP(-LN(2)/2)*BR188+(1-EXP(-LN(2)/2))/(LN(2)/2)*BL189*BO189*VLOOKUP('Données projet'!$B$11,Paramètres!$A$1:$I$89,3,0)*0.475*44/12</f>
        <v>2.3668759620180914E-23</v>
      </c>
      <c r="BS189" s="22">
        <f t="shared" si="169"/>
        <v>6.07477415265665E-2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-5.1431925385259088E-14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394.42011098756564</v>
      </c>
      <c r="T190" s="59">
        <f t="shared" si="142"/>
        <v>559.92215054152859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263.03078346375446</v>
      </c>
      <c r="AO190" s="59">
        <f t="shared" si="144"/>
        <v>251.74283929680905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3.3858931584720836E-2</v>
      </c>
      <c r="AW190" s="21">
        <f>EXP(-LN(2)/2)*AW189+(1-EXP(-LN(2)/2))/(LN(2)/2)*AQ190*AT190*VLOOKUP('Données projet'!$B$10,Paramètres!$A$1:$I$89,3,0)*0.475*44/12</f>
        <v>2.3802687786756008E-24</v>
      </c>
      <c r="AX190" s="21">
        <f t="shared" si="166"/>
        <v>3.3858931584720836E-2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141.78548348627351</v>
      </c>
      <c r="BJ190" s="59">
        <f t="shared" si="146"/>
        <v>162.67012146297657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5.9086591339937655E-2</v>
      </c>
      <c r="BR190" s="21">
        <f>EXP(-LN(2)/2)*BR189+(1-EXP(-LN(2)/2))/(LN(2)/2)*BL190*BO190*VLOOKUP('Données projet'!$B$11,Paramètres!$A$1:$I$89,3,0)*0.475*44/12</f>
        <v>1.6736340429704257E-23</v>
      </c>
      <c r="BS190" s="22">
        <f t="shared" si="169"/>
        <v>5.9086591339937655E-2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-5.1431925385259088E-14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394.42011098756564</v>
      </c>
      <c r="T191" s="59">
        <f t="shared" si="142"/>
        <v>559.92215054152859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263.03078346375446</v>
      </c>
      <c r="AO191" s="59">
        <f t="shared" si="144"/>
        <v>251.74283929680905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3.2933057319972821E-2</v>
      </c>
      <c r="AW191" s="21">
        <f>EXP(-LN(2)/2)*AW190+(1-EXP(-LN(2)/2))/(LN(2)/2)*AQ191*AT191*VLOOKUP('Données projet'!$B$10,Paramètres!$A$1:$I$89,3,0)*0.475*44/12</f>
        <v>1.6831041944481388E-24</v>
      </c>
      <c r="AX191" s="21">
        <f t="shared" si="166"/>
        <v>3.2933057319972821E-2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141.78548348627351</v>
      </c>
      <c r="BJ191" s="59">
        <f t="shared" si="146"/>
        <v>162.67012146297657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5.7470865392518264E-2</v>
      </c>
      <c r="BR191" s="21">
        <f>EXP(-LN(2)/2)*BR190+(1-EXP(-LN(2)/2))/(LN(2)/2)*BL191*BO191*VLOOKUP('Données projet'!$B$11,Paramètres!$A$1:$I$89,3,0)*0.475*44/12</f>
        <v>1.1834379810090457E-23</v>
      </c>
      <c r="BS191" s="22">
        <f t="shared" si="169"/>
        <v>5.7470865392518264E-2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-5.1431925385259088E-14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394.42011098756564</v>
      </c>
      <c r="T192" s="59">
        <f t="shared" si="142"/>
        <v>559.92215054152859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263.03078346375446</v>
      </c>
      <c r="AO192" s="59">
        <f t="shared" si="144"/>
        <v>251.74283929680905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3.2032501135683948E-2</v>
      </c>
      <c r="AW192" s="21">
        <f>EXP(-LN(2)/2)*AW191+(1-EXP(-LN(2)/2))/(LN(2)/2)*AQ192*AT192*VLOOKUP('Données projet'!$B$10,Paramètres!$A$1:$I$89,3,0)*0.475*44/12</f>
        <v>1.1901343893378004E-24</v>
      </c>
      <c r="AX192" s="21">
        <f t="shared" si="166"/>
        <v>3.2032501135683948E-2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141.78548348627351</v>
      </c>
      <c r="BJ192" s="59">
        <f t="shared" si="146"/>
        <v>162.67012146297657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5.5899321556098391E-2</v>
      </c>
      <c r="BR192" s="21">
        <f>EXP(-LN(2)/2)*BR191+(1-EXP(-LN(2)/2))/(LN(2)/2)*BL192*BO192*VLOOKUP('Données projet'!$B$11,Paramètres!$A$1:$I$89,3,0)*0.475*44/12</f>
        <v>8.3681702148521287E-24</v>
      </c>
      <c r="BS192" s="22">
        <f t="shared" si="169"/>
        <v>5.5899321556098391E-2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-5.1431925385259088E-14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394.42011098756564</v>
      </c>
      <c r="T193" s="59">
        <f t="shared" si="142"/>
        <v>559.92215054152859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263.03078346375446</v>
      </c>
      <c r="AO193" s="59">
        <f t="shared" si="144"/>
        <v>251.74283929680905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3.1156570707612647E-2</v>
      </c>
      <c r="AW193" s="21">
        <f>EXP(-LN(2)/2)*AW192+(1-EXP(-LN(2)/2))/(LN(2)/2)*AQ193*AT193*VLOOKUP('Données projet'!$B$10,Paramètres!$A$1:$I$89,3,0)*0.475*44/12</f>
        <v>8.415520972240694E-25</v>
      </c>
      <c r="AX193" s="21">
        <f t="shared" si="166"/>
        <v>3.1156570707612647E-2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141.78548348627351</v>
      </c>
      <c r="BJ193" s="59">
        <f t="shared" si="146"/>
        <v>162.67012146297657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5.4370751668529317E-2</v>
      </c>
      <c r="BR193" s="21">
        <f>EXP(-LN(2)/2)*BR192+(1-EXP(-LN(2)/2))/(LN(2)/2)*BL193*BO193*VLOOKUP('Données projet'!$B$11,Paramètres!$A$1:$I$89,3,0)*0.475*44/12</f>
        <v>5.9171899050452286E-24</v>
      </c>
      <c r="BS193" s="22">
        <f t="shared" si="169"/>
        <v>5.4370751668529317E-2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-5.1431925385259088E-14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394.42011098756564</v>
      </c>
      <c r="T194" s="59">
        <f t="shared" si="142"/>
        <v>559.92215054152859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263.03078346375446</v>
      </c>
      <c r="AO194" s="59">
        <f t="shared" si="144"/>
        <v>251.74283929680905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3.0304592643160135E-2</v>
      </c>
      <c r="AW194" s="21">
        <f>EXP(-LN(2)/2)*AW193+(1-EXP(-LN(2)/2))/(LN(2)/2)*AQ194*AT194*VLOOKUP('Données projet'!$B$10,Paramètres!$A$1:$I$89,3,0)*0.475*44/12</f>
        <v>5.9506719466890021E-25</v>
      </c>
      <c r="AX194" s="21">
        <f t="shared" si="166"/>
        <v>3.0304592643160135E-2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141.78548348627351</v>
      </c>
      <c r="BJ194" s="59">
        <f t="shared" si="146"/>
        <v>162.67012146297657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5.288398060491982E-2</v>
      </c>
      <c r="BR194" s="21">
        <f>EXP(-LN(2)/2)*BR193+(1-EXP(-LN(2)/2))/(LN(2)/2)*BL194*BO194*VLOOKUP('Données projet'!$B$11,Paramètres!$A$1:$I$89,3,0)*0.475*44/12</f>
        <v>4.1840851074260643E-24</v>
      </c>
      <c r="BS194" s="22">
        <f t="shared" si="169"/>
        <v>5.288398060491982E-2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-5.1431925385259088E-14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394.42011098756564</v>
      </c>
      <c r="T195" s="59">
        <f t="shared" si="142"/>
        <v>559.92215054152859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263.03078346375446</v>
      </c>
      <c r="AO195" s="59">
        <f t="shared" si="144"/>
        <v>251.74283929680905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2.9475911963683654E-2</v>
      </c>
      <c r="AW195" s="21">
        <f>EXP(-LN(2)/2)*AW194+(1-EXP(-LN(2)/2))/(LN(2)/2)*AQ195*AT195*VLOOKUP('Données projet'!$B$10,Paramètres!$A$1:$I$89,3,0)*0.475*44/12</f>
        <v>4.207760486120347E-25</v>
      </c>
      <c r="AX195" s="21">
        <f t="shared" si="166"/>
        <v>2.9475911963683654E-2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141.78548348627351</v>
      </c>
      <c r="BJ195" s="59">
        <f t="shared" si="146"/>
        <v>162.67012146297657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5.1437865374230618E-2</v>
      </c>
      <c r="BR195" s="21">
        <f>EXP(-LN(2)/2)*BR194+(1-EXP(-LN(2)/2))/(LN(2)/2)*BL195*BO195*VLOOKUP('Données projet'!$B$11,Paramètres!$A$1:$I$89,3,0)*0.475*44/12</f>
        <v>2.9585949525226143E-24</v>
      </c>
      <c r="BS195" s="22">
        <f t="shared" si="169"/>
        <v>5.1437865374230618E-2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-5.1431925385259088E-14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394.42011098756564</v>
      </c>
      <c r="T196" s="59">
        <f t="shared" si="142"/>
        <v>559.92215054152859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263.03078346375446</v>
      </c>
      <c r="AO196" s="59">
        <f t="shared" si="144"/>
        <v>251.74283929680905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2.8669891600965884E-2</v>
      </c>
      <c r="AW196" s="21">
        <f>EXP(-LN(2)/2)*AW195+(1-EXP(-LN(2)/2))/(LN(2)/2)*AQ196*AT196*VLOOKUP('Données projet'!$B$10,Paramètres!$A$1:$I$89,3,0)*0.475*44/12</f>
        <v>2.9753359733445011E-25</v>
      </c>
      <c r="AX196" s="21">
        <f t="shared" si="166"/>
        <v>2.8669891600965884E-2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141.78548348627351</v>
      </c>
      <c r="BJ196" s="59">
        <f t="shared" si="146"/>
        <v>162.67012146297657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5.0031294240572503E-2</v>
      </c>
      <c r="BR196" s="21">
        <f>EXP(-LN(2)/2)*BR195+(1-EXP(-LN(2)/2))/(LN(2)/2)*BL196*BO196*VLOOKUP('Données projet'!$B$11,Paramètres!$A$1:$I$89,3,0)*0.475*44/12</f>
        <v>2.0920425537130322E-24</v>
      </c>
      <c r="BS196" s="22">
        <f t="shared" si="169"/>
        <v>5.0031294240572503E-2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-5.1431925385259088E-14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394.42011098756564</v>
      </c>
      <c r="T197" s="59">
        <f t="shared" ref="T197:T203" si="204">$T$3</f>
        <v>559.92215054152859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263.03078346375446</v>
      </c>
      <c r="AO197" s="59">
        <f t="shared" ref="AO197:AO203" si="205">$AO$3</f>
        <v>251.74283929680905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2.78859119074534E-2</v>
      </c>
      <c r="AW197" s="21">
        <f>EXP(-LN(2)/2)*AW196+(1-EXP(-LN(2)/2))/(LN(2)/2)*AQ197*AT197*VLOOKUP('Données projet'!$B$10,Paramètres!$A$1:$I$89,3,0)*0.475*44/12</f>
        <v>2.1038802430601735E-25</v>
      </c>
      <c r="AX197" s="21">
        <f t="shared" si="166"/>
        <v>2.78859119074534E-2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141.78548348627351</v>
      </c>
      <c r="BJ197" s="59">
        <f t="shared" ref="BJ197:BJ203" si="206">$BJ$3</f>
        <v>162.67012146297657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4.8663185868532632E-2</v>
      </c>
      <c r="BR197" s="21">
        <f>EXP(-LN(2)/2)*BR196+(1-EXP(-LN(2)/2))/(LN(2)/2)*BL197*BO197*VLOOKUP('Données projet'!$B$11,Paramètres!$A$1:$I$89,3,0)*0.475*44/12</f>
        <v>1.4792974762613071E-24</v>
      </c>
      <c r="BS197" s="22">
        <f t="shared" si="169"/>
        <v>4.8663185868532632E-2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-5.1431925385259088E-14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394.42011098756564</v>
      </c>
      <c r="T198" s="59">
        <f t="shared" si="204"/>
        <v>559.92215054152859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263.03078346375446</v>
      </c>
      <c r="AO198" s="59">
        <f t="shared" si="205"/>
        <v>251.74283929680905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2.7123370179887713E-2</v>
      </c>
      <c r="AW198" s="21">
        <f>EXP(-LN(2)/2)*AW197+(1-EXP(-LN(2)/2))/(LN(2)/2)*AQ198*AT198*VLOOKUP('Données projet'!$B$10,Paramètres!$A$1:$I$89,3,0)*0.475*44/12</f>
        <v>1.4876679866722505E-25</v>
      </c>
      <c r="AX198" s="21">
        <f t="shared" si="166"/>
        <v>2.7123370179887713E-2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141.78548348627351</v>
      </c>
      <c r="BJ198" s="59">
        <f t="shared" si="206"/>
        <v>162.67012146297657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4.7332488491871882E-2</v>
      </c>
      <c r="BR198" s="21">
        <f>EXP(-LN(2)/2)*BR197+(1-EXP(-LN(2)/2))/(LN(2)/2)*BL198*BO198*VLOOKUP('Données projet'!$B$11,Paramètres!$A$1:$I$89,3,0)*0.475*44/12</f>
        <v>1.0460212768565161E-24</v>
      </c>
      <c r="BS198" s="22">
        <f t="shared" si="169"/>
        <v>4.7332488491871882E-2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-5.1431925385259088E-14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394.42011098756564</v>
      </c>
      <c r="T199" s="59">
        <f t="shared" si="204"/>
        <v>559.92215054152859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263.03078346375446</v>
      </c>
      <c r="AO199" s="59">
        <f t="shared" si="205"/>
        <v>251.74283929680905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2.6381680195962636E-2</v>
      </c>
      <c r="AW199" s="21">
        <f>EXP(-LN(2)/2)*AW198+(1-EXP(-LN(2)/2))/(LN(2)/2)*AQ199*AT199*VLOOKUP('Données projet'!$B$10,Paramètres!$A$1:$I$89,3,0)*0.475*44/12</f>
        <v>1.0519401215300867E-25</v>
      </c>
      <c r="AX199" s="21">
        <f t="shared" si="166"/>
        <v>2.6381680195962636E-2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141.78548348627351</v>
      </c>
      <c r="BJ199" s="59">
        <f t="shared" si="206"/>
        <v>162.67012146297657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4.6038179104954259E-2</v>
      </c>
      <c r="BR199" s="21">
        <f>EXP(-LN(2)/2)*BR198+(1-EXP(-LN(2)/2))/(LN(2)/2)*BL199*BO199*VLOOKUP('Données projet'!$B$11,Paramètres!$A$1:$I$89,3,0)*0.475*44/12</f>
        <v>7.3964873813065357E-25</v>
      </c>
      <c r="BS199" s="22">
        <f t="shared" si="169"/>
        <v>4.6038179104954259E-2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-5.1431925385259088E-14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394.42011098756564</v>
      </c>
      <c r="T200" s="59">
        <f t="shared" si="204"/>
        <v>559.92215054152859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263.03078346375446</v>
      </c>
      <c r="AO200" s="59">
        <f t="shared" si="205"/>
        <v>251.74283929680905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2.5660271763651772E-2</v>
      </c>
      <c r="AW200" s="21">
        <f>EXP(-LN(2)/2)*AW199+(1-EXP(-LN(2)/2))/(LN(2)/2)*AQ200*AT200*VLOOKUP('Données projet'!$B$10,Paramètres!$A$1:$I$89,3,0)*0.475*44/12</f>
        <v>7.4383399333612527E-26</v>
      </c>
      <c r="AX200" s="21">
        <f t="shared" si="166"/>
        <v>2.5660271763651772E-2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141.78548348627351</v>
      </c>
      <c r="BJ200" s="59">
        <f t="shared" si="206"/>
        <v>162.67012146297657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4.4779262676286666E-2</v>
      </c>
      <c r="BR200" s="21">
        <f>EXP(-LN(2)/2)*BR199+(1-EXP(-LN(2)/2))/(LN(2)/2)*BL200*BO200*VLOOKUP('Données projet'!$B$11,Paramètres!$A$1:$I$89,3,0)*0.475*44/12</f>
        <v>5.2301063842825804E-25</v>
      </c>
      <c r="BS200" s="22">
        <f t="shared" si="169"/>
        <v>4.4779262676286666E-2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-5.1431925385259088E-14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394.42011098756564</v>
      </c>
      <c r="T201" s="59">
        <f t="shared" si="204"/>
        <v>559.92215054152859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263.03078346375446</v>
      </c>
      <c r="AO201" s="59">
        <f t="shared" si="205"/>
        <v>251.74283929680905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2.4958590282859669E-2</v>
      </c>
      <c r="AW201" s="21">
        <f>EXP(-LN(2)/2)*AW200+(1-EXP(-LN(2)/2))/(LN(2)/2)*AQ201*AT201*VLOOKUP('Données projet'!$B$10,Paramètres!$A$1:$I$89,3,0)*0.475*44/12</f>
        <v>5.2597006076504337E-26</v>
      </c>
      <c r="AX201" s="21">
        <f t="shared" si="166"/>
        <v>2.4958590282859669E-2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141.78548348627351</v>
      </c>
      <c r="BJ201" s="59">
        <f t="shared" si="206"/>
        <v>162.67012146297657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4.3554771383564526E-2</v>
      </c>
      <c r="BR201" s="21">
        <f>EXP(-LN(2)/2)*BR200+(1-EXP(-LN(2)/2))/(LN(2)/2)*BL201*BO201*VLOOKUP('Données projet'!$B$11,Paramètres!$A$1:$I$89,3,0)*0.475*44/12</f>
        <v>3.6982436906532679E-25</v>
      </c>
      <c r="BS201" s="22">
        <f t="shared" si="169"/>
        <v>4.3554771383564526E-2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-5.1431925385259088E-14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394.42011098756564</v>
      </c>
      <c r="T202" s="59">
        <f t="shared" si="204"/>
        <v>559.92215054152859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263.03078346375446</v>
      </c>
      <c r="AO202" s="59">
        <f t="shared" si="205"/>
        <v>251.74283929680905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2.4276096319059651E-2</v>
      </c>
      <c r="AW202" s="21">
        <f>EXP(-LN(2)/2)*AW201+(1-EXP(-LN(2)/2))/(LN(2)/2)*AQ202*AT202*VLOOKUP('Données projet'!$B$10,Paramètres!$A$1:$I$89,3,0)*0.475*44/12</f>
        <v>3.7191699666806263E-26</v>
      </c>
      <c r="AX202" s="21">
        <f t="shared" si="166"/>
        <v>2.4276096319059651E-2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141.78548348627351</v>
      </c>
      <c r="BJ202" s="59">
        <f t="shared" si="206"/>
        <v>162.67012146297657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4.2363763869635071E-2</v>
      </c>
      <c r="BR202" s="21">
        <f>EXP(-LN(2)/2)*BR201+(1-EXP(-LN(2)/2))/(LN(2)/2)*BL202*BO202*VLOOKUP('Données projet'!$B$11,Paramètres!$A$1:$I$89,3,0)*0.475*44/12</f>
        <v>2.6150531921412902E-25</v>
      </c>
      <c r="BS202" s="22">
        <f t="shared" si="169"/>
        <v>4.2363763869635071E-2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-5.1431925385259088E-14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394.42011098756564</v>
      </c>
      <c r="T203" s="59">
        <f t="shared" si="204"/>
        <v>559.92215054152859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263.03078346375446</v>
      </c>
      <c r="AO203" s="59">
        <f t="shared" si="205"/>
        <v>251.74283929680905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2.3612265188590543E-2</v>
      </c>
      <c r="AW203" s="21">
        <f>EXP(-LN(2)/2)*AW202+(1-EXP(-LN(2)/2))/(LN(2)/2)*AQ203*AT203*VLOOKUP('Données projet'!$B$10,Paramètres!$A$1:$I$89,3,0)*0.475*44/12</f>
        <v>2.6298503038252169E-26</v>
      </c>
      <c r="AX203" s="21">
        <f t="shared" si="166"/>
        <v>2.3612265188590543E-2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141.78548348627351</v>
      </c>
      <c r="BJ203" s="59">
        <f t="shared" si="206"/>
        <v>162.67012146297657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4.1205324518806381E-2</v>
      </c>
      <c r="BR203" s="21">
        <f>EXP(-LN(2)/2)*BR202+(1-EXP(-LN(2)/2))/(LN(2)/2)*BL203*BO203*VLOOKUP('Données projet'!$B$11,Paramètres!$A$1:$I$89,3,0)*0.475*44/12</f>
        <v>1.8491218453266339E-25</v>
      </c>
      <c r="BS203" s="22">
        <f t="shared" si="169"/>
        <v>4.1205324518806381E-2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100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100</v>
      </c>
      <c r="BA204" s="81" t="s">
        <v>100</v>
      </c>
      <c r="BV204" s="81" t="s">
        <v>100</v>
      </c>
      <c r="CQ204" s="81" t="s">
        <v>100</v>
      </c>
      <c r="DL204" s="81" t="s">
        <v>100</v>
      </c>
      <c r="EG204" s="81" t="s">
        <v>100</v>
      </c>
      <c r="FB204" s="81" t="s">
        <v>100</v>
      </c>
      <c r="FW204" s="81" t="s">
        <v>100</v>
      </c>
      <c r="GR204" s="81" t="s">
        <v>100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2.0243974584998852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1.244502252163008</v>
      </c>
      <c r="BA205" s="82">
        <f>EXP(LN('Données projet'!B88)/'Données projet'!A88)</f>
        <v>1.2677537154322802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0" t="s">
        <v>101</v>
      </c>
      <c r="B1" s="111" t="s">
        <v>102</v>
      </c>
      <c r="C1" s="112" t="s">
        <v>103</v>
      </c>
      <c r="D1" s="111" t="s">
        <v>104</v>
      </c>
      <c r="E1" s="112" t="s">
        <v>105</v>
      </c>
      <c r="F1" s="112" t="s">
        <v>104</v>
      </c>
      <c r="G1" s="112" t="s">
        <v>106</v>
      </c>
      <c r="H1" s="112" t="s">
        <v>104</v>
      </c>
      <c r="I1" s="113" t="s">
        <v>107</v>
      </c>
      <c r="J1" s="78"/>
      <c r="K1" s="78"/>
      <c r="L1" s="78"/>
      <c r="M1" s="78"/>
      <c r="N1" s="78"/>
    </row>
    <row r="2" spans="1:16" x14ac:dyDescent="0.25">
      <c r="A2" s="114" t="s">
        <v>108</v>
      </c>
      <c r="B2" s="115" t="s">
        <v>109</v>
      </c>
      <c r="C2" s="116">
        <v>0.62</v>
      </c>
      <c r="D2" s="116" t="s">
        <v>110</v>
      </c>
      <c r="E2" s="116">
        <v>1.56</v>
      </c>
      <c r="F2" s="116" t="s">
        <v>111</v>
      </c>
      <c r="G2" s="117">
        <v>0.43</v>
      </c>
      <c r="H2" s="118" t="s">
        <v>112</v>
      </c>
      <c r="I2" s="119">
        <v>0.25</v>
      </c>
      <c r="J2" s="78"/>
      <c r="K2" s="78"/>
      <c r="L2" s="78"/>
      <c r="M2" s="78"/>
      <c r="N2" s="78"/>
      <c r="O2" s="281" t="s">
        <v>113</v>
      </c>
      <c r="P2" s="120">
        <v>0</v>
      </c>
    </row>
    <row r="3" spans="1:16" ht="15.75" thickBot="1" x14ac:dyDescent="0.3">
      <c r="A3" s="121" t="s">
        <v>114</v>
      </c>
      <c r="B3" s="122" t="s">
        <v>115</v>
      </c>
      <c r="C3" s="123">
        <v>0.64</v>
      </c>
      <c r="D3" s="123" t="s">
        <v>110</v>
      </c>
      <c r="E3" s="123">
        <v>1.56</v>
      </c>
      <c r="F3" s="124" t="s">
        <v>111</v>
      </c>
      <c r="G3" s="125">
        <v>0.43</v>
      </c>
      <c r="H3" s="123" t="s">
        <v>112</v>
      </c>
      <c r="I3" s="126">
        <v>0.25</v>
      </c>
      <c r="J3" s="78"/>
      <c r="K3" s="78"/>
      <c r="L3" s="78"/>
      <c r="M3" s="78"/>
      <c r="N3" s="78"/>
      <c r="O3" s="282"/>
      <c r="P3" s="127">
        <v>0.2</v>
      </c>
    </row>
    <row r="4" spans="1:16" ht="15.75" thickBot="1" x14ac:dyDescent="0.3">
      <c r="A4" s="121" t="s">
        <v>116</v>
      </c>
      <c r="B4" s="122" t="s">
        <v>117</v>
      </c>
      <c r="C4" s="123">
        <v>0.42</v>
      </c>
      <c r="D4" s="123" t="s">
        <v>110</v>
      </c>
      <c r="E4" s="123">
        <v>1.56</v>
      </c>
      <c r="F4" s="124" t="s">
        <v>111</v>
      </c>
      <c r="G4" s="125">
        <v>0.43</v>
      </c>
      <c r="H4" s="123" t="s">
        <v>112</v>
      </c>
      <c r="I4" s="126">
        <v>0.25</v>
      </c>
      <c r="J4" s="78"/>
      <c r="K4" s="78"/>
      <c r="L4" s="78"/>
      <c r="M4" s="78"/>
      <c r="N4" s="78"/>
    </row>
    <row r="5" spans="1:16" x14ac:dyDescent="0.25">
      <c r="A5" s="121" t="s">
        <v>118</v>
      </c>
      <c r="B5" s="122" t="s">
        <v>119</v>
      </c>
      <c r="C5" s="123">
        <v>0.42</v>
      </c>
      <c r="D5" s="123" t="s">
        <v>110</v>
      </c>
      <c r="E5" s="123">
        <v>1.56</v>
      </c>
      <c r="F5" s="124" t="s">
        <v>111</v>
      </c>
      <c r="G5" s="125">
        <v>0.43</v>
      </c>
      <c r="H5" s="123" t="s">
        <v>112</v>
      </c>
      <c r="I5" s="126">
        <v>0.25</v>
      </c>
      <c r="J5" s="78"/>
      <c r="K5" s="78"/>
      <c r="L5" s="78"/>
      <c r="M5" s="78"/>
      <c r="N5" s="78"/>
      <c r="O5" s="281" t="s">
        <v>120</v>
      </c>
      <c r="P5" s="120">
        <v>0</v>
      </c>
    </row>
    <row r="6" spans="1:16" x14ac:dyDescent="0.25">
      <c r="A6" s="121" t="s">
        <v>121</v>
      </c>
      <c r="B6" s="122" t="s">
        <v>122</v>
      </c>
      <c r="C6" s="123">
        <v>0.42</v>
      </c>
      <c r="D6" s="123" t="s">
        <v>110</v>
      </c>
      <c r="E6" s="123">
        <v>1.56</v>
      </c>
      <c r="F6" s="124" t="s">
        <v>111</v>
      </c>
      <c r="G6" s="125">
        <v>0.43</v>
      </c>
      <c r="H6" s="123" t="s">
        <v>112</v>
      </c>
      <c r="I6" s="126">
        <v>0.25</v>
      </c>
      <c r="J6" s="78"/>
      <c r="K6" s="78"/>
      <c r="L6" s="78"/>
      <c r="M6" s="78"/>
      <c r="N6" s="78"/>
      <c r="O6" s="283"/>
      <c r="P6" s="128">
        <v>0.05</v>
      </c>
    </row>
    <row r="7" spans="1:16" x14ac:dyDescent="0.25">
      <c r="A7" s="121" t="s">
        <v>123</v>
      </c>
      <c r="B7" s="122" t="s">
        <v>124</v>
      </c>
      <c r="C7" s="123">
        <v>0.52</v>
      </c>
      <c r="D7" s="123" t="s">
        <v>110</v>
      </c>
      <c r="E7" s="123">
        <v>1.56</v>
      </c>
      <c r="F7" s="124" t="s">
        <v>111</v>
      </c>
      <c r="G7" s="125">
        <v>0.43</v>
      </c>
      <c r="H7" s="123" t="s">
        <v>112</v>
      </c>
      <c r="I7" s="126">
        <v>0.25</v>
      </c>
      <c r="J7" s="78"/>
      <c r="K7" s="78"/>
      <c r="L7" s="78"/>
      <c r="M7" s="78"/>
      <c r="N7" s="78"/>
      <c r="O7" s="283"/>
      <c r="P7" s="128">
        <v>0.1</v>
      </c>
    </row>
    <row r="8" spans="1:16" ht="15.75" thickBot="1" x14ac:dyDescent="0.3">
      <c r="A8" s="121" t="s">
        <v>21</v>
      </c>
      <c r="B8" s="122" t="s">
        <v>125</v>
      </c>
      <c r="C8" s="123">
        <v>0.36</v>
      </c>
      <c r="D8" s="123" t="s">
        <v>110</v>
      </c>
      <c r="E8" s="123">
        <v>1.3</v>
      </c>
      <c r="F8" s="124" t="s">
        <v>111</v>
      </c>
      <c r="G8" s="125">
        <v>0.55000000000000004</v>
      </c>
      <c r="H8" s="123" t="s">
        <v>126</v>
      </c>
      <c r="I8" s="126">
        <v>0.43</v>
      </c>
      <c r="J8" s="78"/>
      <c r="K8" s="78"/>
      <c r="L8" s="78"/>
      <c r="M8" s="78"/>
      <c r="N8" s="78"/>
      <c r="O8" s="282"/>
      <c r="P8" s="127">
        <v>0.15</v>
      </c>
    </row>
    <row r="9" spans="1:16" ht="15.75" thickBot="1" x14ac:dyDescent="0.3">
      <c r="A9" s="121" t="s">
        <v>127</v>
      </c>
      <c r="B9" s="122" t="s">
        <v>128</v>
      </c>
      <c r="C9" s="123">
        <v>0.61</v>
      </c>
      <c r="D9" s="123" t="s">
        <v>110</v>
      </c>
      <c r="E9" s="123">
        <v>1.56</v>
      </c>
      <c r="F9" s="124" t="s">
        <v>111</v>
      </c>
      <c r="G9" s="125">
        <v>0.43</v>
      </c>
      <c r="H9" s="123" t="s">
        <v>112</v>
      </c>
      <c r="I9" s="126">
        <v>0.25</v>
      </c>
      <c r="J9" s="78"/>
      <c r="K9" s="78"/>
      <c r="L9" s="78"/>
      <c r="M9" s="78"/>
      <c r="N9" s="78"/>
    </row>
    <row r="10" spans="1:16" x14ac:dyDescent="0.25">
      <c r="A10" s="121" t="s">
        <v>129</v>
      </c>
      <c r="B10" s="122" t="s">
        <v>130</v>
      </c>
      <c r="C10" s="123">
        <v>0.66</v>
      </c>
      <c r="D10" s="123" t="s">
        <v>110</v>
      </c>
      <c r="E10" s="123">
        <v>1.56</v>
      </c>
      <c r="F10" s="124" t="s">
        <v>111</v>
      </c>
      <c r="G10" s="125">
        <v>0.43</v>
      </c>
      <c r="H10" s="123" t="s">
        <v>112</v>
      </c>
      <c r="I10" s="126">
        <v>0.25</v>
      </c>
      <c r="J10" s="78"/>
      <c r="K10" s="78"/>
      <c r="L10" s="78"/>
      <c r="M10" s="78"/>
      <c r="N10" s="78"/>
      <c r="O10" s="281" t="s">
        <v>131</v>
      </c>
      <c r="P10" s="120">
        <v>0</v>
      </c>
    </row>
    <row r="11" spans="1:16" ht="15.75" thickBot="1" x14ac:dyDescent="0.3">
      <c r="A11" s="121" t="s">
        <v>132</v>
      </c>
      <c r="B11" s="122" t="s">
        <v>133</v>
      </c>
      <c r="C11" s="123">
        <v>0.47</v>
      </c>
      <c r="D11" s="123" t="s">
        <v>110</v>
      </c>
      <c r="E11" s="123">
        <v>1.56</v>
      </c>
      <c r="F11" s="124" t="s">
        <v>111</v>
      </c>
      <c r="G11" s="125">
        <v>0.43</v>
      </c>
      <c r="H11" s="123" t="s">
        <v>112</v>
      </c>
      <c r="I11" s="126">
        <v>0.25</v>
      </c>
      <c r="J11" s="78"/>
      <c r="K11" s="78"/>
      <c r="L11" s="78"/>
      <c r="M11" s="78"/>
      <c r="N11" s="78"/>
      <c r="O11" s="282"/>
      <c r="P11" s="127">
        <v>0.1</v>
      </c>
    </row>
    <row r="12" spans="1:16" x14ac:dyDescent="0.25">
      <c r="A12" s="121" t="s">
        <v>134</v>
      </c>
      <c r="B12" s="122" t="s">
        <v>135</v>
      </c>
      <c r="C12" s="123">
        <v>0.67</v>
      </c>
      <c r="D12" s="123" t="s">
        <v>110</v>
      </c>
      <c r="E12" s="123">
        <v>1.56</v>
      </c>
      <c r="F12" s="124" t="s">
        <v>111</v>
      </c>
      <c r="G12" s="125">
        <v>0.43</v>
      </c>
      <c r="H12" s="123" t="s">
        <v>136</v>
      </c>
      <c r="I12" s="126">
        <v>0.25</v>
      </c>
      <c r="J12" s="78"/>
      <c r="K12" s="78"/>
      <c r="L12" s="78"/>
      <c r="M12" s="78"/>
      <c r="N12" s="78"/>
    </row>
    <row r="13" spans="1:16" x14ac:dyDescent="0.25">
      <c r="A13" s="121" t="s">
        <v>137</v>
      </c>
      <c r="B13" s="122" t="s">
        <v>138</v>
      </c>
      <c r="C13" s="123">
        <v>0.7</v>
      </c>
      <c r="D13" s="123" t="s">
        <v>110</v>
      </c>
      <c r="E13" s="123">
        <v>1.56</v>
      </c>
      <c r="F13" s="124" t="s">
        <v>111</v>
      </c>
      <c r="G13" s="125">
        <v>0.43</v>
      </c>
      <c r="H13" s="123" t="s">
        <v>136</v>
      </c>
      <c r="I13" s="126">
        <v>0.25</v>
      </c>
      <c r="J13" s="78"/>
      <c r="K13" s="78"/>
      <c r="L13" s="78"/>
      <c r="M13" s="78"/>
      <c r="N13" s="78"/>
    </row>
    <row r="14" spans="1:16" x14ac:dyDescent="0.25">
      <c r="A14" s="121" t="s">
        <v>139</v>
      </c>
      <c r="B14" s="122" t="s">
        <v>140</v>
      </c>
      <c r="C14" s="123">
        <v>0.54</v>
      </c>
      <c r="D14" s="123" t="s">
        <v>110</v>
      </c>
      <c r="E14" s="123">
        <v>1.56</v>
      </c>
      <c r="F14" s="124" t="s">
        <v>111</v>
      </c>
      <c r="G14" s="125">
        <v>0.43</v>
      </c>
      <c r="H14" s="123" t="s">
        <v>136</v>
      </c>
      <c r="I14" s="126">
        <v>0.25</v>
      </c>
      <c r="J14" s="78"/>
      <c r="K14" s="78"/>
      <c r="L14" s="78"/>
      <c r="M14" s="78"/>
      <c r="N14" s="78"/>
    </row>
    <row r="15" spans="1:16" x14ac:dyDescent="0.25">
      <c r="A15" s="121" t="s">
        <v>141</v>
      </c>
      <c r="B15" s="122" t="s">
        <v>142</v>
      </c>
      <c r="C15" s="123">
        <v>0.65</v>
      </c>
      <c r="D15" s="123" t="s">
        <v>110</v>
      </c>
      <c r="E15" s="123">
        <v>1.56</v>
      </c>
      <c r="F15" s="124" t="s">
        <v>111</v>
      </c>
      <c r="G15" s="125">
        <v>0.43</v>
      </c>
      <c r="H15" s="123" t="s">
        <v>136</v>
      </c>
      <c r="I15" s="126">
        <v>0.25</v>
      </c>
      <c r="J15" s="78"/>
      <c r="K15" s="78"/>
      <c r="L15" s="78"/>
      <c r="M15" s="78"/>
      <c r="N15" s="78"/>
    </row>
    <row r="16" spans="1:16" x14ac:dyDescent="0.25">
      <c r="A16" s="121" t="s">
        <v>143</v>
      </c>
      <c r="B16" s="122" t="s">
        <v>144</v>
      </c>
      <c r="C16" s="123">
        <v>0.56000000000000005</v>
      </c>
      <c r="D16" s="123" t="s">
        <v>110</v>
      </c>
      <c r="E16" s="123">
        <v>1.56</v>
      </c>
      <c r="F16" s="124" t="s">
        <v>111</v>
      </c>
      <c r="G16" s="125">
        <v>0.43</v>
      </c>
      <c r="H16" s="123" t="s">
        <v>136</v>
      </c>
      <c r="I16" s="126">
        <v>0.25</v>
      </c>
      <c r="J16" s="78"/>
      <c r="K16" s="78"/>
      <c r="L16" s="78"/>
      <c r="M16" s="78"/>
      <c r="N16" s="78"/>
    </row>
    <row r="17" spans="1:9" x14ac:dyDescent="0.25">
      <c r="A17" s="121" t="s">
        <v>145</v>
      </c>
      <c r="B17" s="122" t="s">
        <v>146</v>
      </c>
      <c r="C17" s="123">
        <v>0.57999999999999996</v>
      </c>
      <c r="D17" s="123" t="s">
        <v>110</v>
      </c>
      <c r="E17" s="123">
        <v>1.56</v>
      </c>
      <c r="F17" s="124" t="s">
        <v>111</v>
      </c>
      <c r="G17" s="125">
        <v>0.43</v>
      </c>
      <c r="H17" s="123" t="s">
        <v>136</v>
      </c>
      <c r="I17" s="126">
        <v>0.25</v>
      </c>
    </row>
    <row r="18" spans="1:9" x14ac:dyDescent="0.25">
      <c r="A18" s="121" t="s">
        <v>147</v>
      </c>
      <c r="B18" s="122" t="s">
        <v>148</v>
      </c>
      <c r="C18" s="123">
        <v>0.64</v>
      </c>
      <c r="D18" s="123" t="s">
        <v>110</v>
      </c>
      <c r="E18" s="123">
        <v>1.56</v>
      </c>
      <c r="F18" s="124" t="s">
        <v>111</v>
      </c>
      <c r="G18" s="125">
        <v>0.43</v>
      </c>
      <c r="H18" s="123" t="s">
        <v>136</v>
      </c>
      <c r="I18" s="126">
        <v>0.25</v>
      </c>
    </row>
    <row r="19" spans="1:9" x14ac:dyDescent="0.25">
      <c r="A19" s="121" t="s">
        <v>149</v>
      </c>
      <c r="B19" s="122" t="s">
        <v>150</v>
      </c>
      <c r="C19" s="123">
        <v>0.73</v>
      </c>
      <c r="D19" s="123" t="s">
        <v>110</v>
      </c>
      <c r="E19" s="123">
        <v>1.56</v>
      </c>
      <c r="F19" s="124" t="s">
        <v>111</v>
      </c>
      <c r="G19" s="125">
        <v>0.43</v>
      </c>
      <c r="H19" s="123" t="s">
        <v>136</v>
      </c>
      <c r="I19" s="126">
        <v>0.25</v>
      </c>
    </row>
    <row r="20" spans="1:9" x14ac:dyDescent="0.25">
      <c r="A20" s="121" t="s">
        <v>151</v>
      </c>
      <c r="B20" s="122" t="s">
        <v>152</v>
      </c>
      <c r="C20" s="123">
        <v>0.69</v>
      </c>
      <c r="D20" s="123" t="s">
        <v>153</v>
      </c>
      <c r="E20" s="123">
        <v>1.56</v>
      </c>
      <c r="F20" s="124" t="s">
        <v>111</v>
      </c>
      <c r="G20" s="125">
        <v>0.43</v>
      </c>
      <c r="H20" s="123" t="s">
        <v>154</v>
      </c>
      <c r="I20" s="126">
        <v>0.25</v>
      </c>
    </row>
    <row r="21" spans="1:9" x14ac:dyDescent="0.25">
      <c r="A21" s="121" t="s">
        <v>155</v>
      </c>
      <c r="B21" s="122" t="s">
        <v>156</v>
      </c>
      <c r="C21" s="123">
        <v>0.36</v>
      </c>
      <c r="D21" s="123" t="s">
        <v>110</v>
      </c>
      <c r="E21" s="123">
        <v>1.3</v>
      </c>
      <c r="F21" s="124" t="s">
        <v>111</v>
      </c>
      <c r="G21" s="125">
        <v>0.55000000000000004</v>
      </c>
      <c r="H21" s="123" t="s">
        <v>126</v>
      </c>
      <c r="I21" s="126">
        <v>0.43</v>
      </c>
    </row>
    <row r="22" spans="1:9" x14ac:dyDescent="0.25">
      <c r="A22" s="121" t="s">
        <v>157</v>
      </c>
      <c r="B22" s="122" t="s">
        <v>158</v>
      </c>
      <c r="C22" s="123">
        <v>0.4</v>
      </c>
      <c r="D22" s="123" t="s">
        <v>110</v>
      </c>
      <c r="E22" s="123">
        <v>1.3</v>
      </c>
      <c r="F22" s="124" t="s">
        <v>111</v>
      </c>
      <c r="G22" s="125">
        <v>0.55000000000000004</v>
      </c>
      <c r="H22" s="123" t="s">
        <v>126</v>
      </c>
      <c r="I22" s="126">
        <v>0.43</v>
      </c>
    </row>
    <row r="23" spans="1:9" x14ac:dyDescent="0.25">
      <c r="A23" s="121" t="s">
        <v>159</v>
      </c>
      <c r="B23" s="122" t="s">
        <v>160</v>
      </c>
      <c r="C23" s="123">
        <v>0.43</v>
      </c>
      <c r="D23" s="123" t="s">
        <v>110</v>
      </c>
      <c r="E23" s="123">
        <v>1.3</v>
      </c>
      <c r="F23" s="124" t="s">
        <v>111</v>
      </c>
      <c r="G23" s="125">
        <v>0.55000000000000004</v>
      </c>
      <c r="H23" s="123" t="s">
        <v>126</v>
      </c>
      <c r="I23" s="126">
        <v>0.43</v>
      </c>
    </row>
    <row r="24" spans="1:9" x14ac:dyDescent="0.25">
      <c r="A24" s="121" t="s">
        <v>161</v>
      </c>
      <c r="B24" s="122" t="s">
        <v>162</v>
      </c>
      <c r="C24" s="123">
        <v>0.37</v>
      </c>
      <c r="D24" s="123" t="s">
        <v>110</v>
      </c>
      <c r="E24" s="123">
        <v>1.3</v>
      </c>
      <c r="F24" s="124" t="s">
        <v>111</v>
      </c>
      <c r="G24" s="125">
        <v>0.55000000000000004</v>
      </c>
      <c r="H24" s="123" t="s">
        <v>136</v>
      </c>
      <c r="I24" s="126">
        <v>0.43</v>
      </c>
    </row>
    <row r="25" spans="1:9" x14ac:dyDescent="0.25">
      <c r="A25" s="121" t="s">
        <v>163</v>
      </c>
      <c r="B25" s="122" t="s">
        <v>164</v>
      </c>
      <c r="C25" s="123">
        <v>0.36</v>
      </c>
      <c r="D25" s="123" t="s">
        <v>110</v>
      </c>
      <c r="E25" s="123">
        <v>1.3</v>
      </c>
      <c r="F25" s="124" t="s">
        <v>111</v>
      </c>
      <c r="G25" s="125">
        <v>0.55000000000000004</v>
      </c>
      <c r="H25" s="123" t="s">
        <v>136</v>
      </c>
      <c r="I25" s="126">
        <v>0.43</v>
      </c>
    </row>
    <row r="26" spans="1:9" x14ac:dyDescent="0.25">
      <c r="A26" s="121" t="s">
        <v>165</v>
      </c>
      <c r="B26" s="122" t="s">
        <v>166</v>
      </c>
      <c r="C26" s="123">
        <v>0.56000000000000005</v>
      </c>
      <c r="D26" s="123" t="s">
        <v>110</v>
      </c>
      <c r="E26" s="123">
        <v>1.56</v>
      </c>
      <c r="F26" s="124" t="s">
        <v>111</v>
      </c>
      <c r="G26" s="125">
        <v>0.53</v>
      </c>
      <c r="H26" s="123" t="s">
        <v>167</v>
      </c>
      <c r="I26" s="126">
        <v>0.25</v>
      </c>
    </row>
    <row r="27" spans="1:9" x14ac:dyDescent="0.25">
      <c r="A27" s="121" t="s">
        <v>168</v>
      </c>
      <c r="B27" s="122" t="s">
        <v>169</v>
      </c>
      <c r="C27" s="123">
        <v>0.51</v>
      </c>
      <c r="D27" s="123" t="s">
        <v>110</v>
      </c>
      <c r="E27" s="123">
        <v>1.56</v>
      </c>
      <c r="F27" s="124" t="s">
        <v>111</v>
      </c>
      <c r="G27" s="125">
        <v>0.53</v>
      </c>
      <c r="H27" s="123" t="s">
        <v>167</v>
      </c>
      <c r="I27" s="126">
        <v>0.25</v>
      </c>
    </row>
    <row r="28" spans="1:9" x14ac:dyDescent="0.25">
      <c r="A28" s="121" t="s">
        <v>170</v>
      </c>
      <c r="B28" s="122" t="s">
        <v>171</v>
      </c>
      <c r="C28" s="123">
        <v>0.51</v>
      </c>
      <c r="D28" s="123" t="s">
        <v>110</v>
      </c>
      <c r="E28" s="123">
        <v>1.56</v>
      </c>
      <c r="F28" s="124" t="s">
        <v>111</v>
      </c>
      <c r="G28" s="125">
        <v>0.53</v>
      </c>
      <c r="H28" s="123" t="s">
        <v>167</v>
      </c>
      <c r="I28" s="126">
        <v>0.25</v>
      </c>
    </row>
    <row r="29" spans="1:9" x14ac:dyDescent="0.25">
      <c r="A29" s="121" t="s">
        <v>172</v>
      </c>
      <c r="B29" s="122" t="s">
        <v>172</v>
      </c>
      <c r="C29" s="123">
        <v>0.56000000000000005</v>
      </c>
      <c r="D29" s="123" t="s">
        <v>110</v>
      </c>
      <c r="E29" s="123">
        <v>1.56</v>
      </c>
      <c r="F29" s="124" t="s">
        <v>111</v>
      </c>
      <c r="G29" s="125">
        <v>0.53</v>
      </c>
      <c r="H29" s="123" t="s">
        <v>167</v>
      </c>
      <c r="I29" s="126">
        <v>0.25</v>
      </c>
    </row>
    <row r="30" spans="1:9" x14ac:dyDescent="0.25">
      <c r="A30" s="121" t="s">
        <v>173</v>
      </c>
      <c r="B30" s="122" t="s">
        <v>174</v>
      </c>
      <c r="C30" s="123">
        <v>0.55000000000000004</v>
      </c>
      <c r="D30" s="123" t="s">
        <v>110</v>
      </c>
      <c r="E30" s="123">
        <v>1.56</v>
      </c>
      <c r="F30" s="124" t="s">
        <v>111</v>
      </c>
      <c r="G30" s="125">
        <v>0.53</v>
      </c>
      <c r="H30" s="123" t="s">
        <v>136</v>
      </c>
      <c r="I30" s="126">
        <v>0.25</v>
      </c>
    </row>
    <row r="31" spans="1:9" x14ac:dyDescent="0.25">
      <c r="A31" s="121" t="s">
        <v>175</v>
      </c>
      <c r="B31" s="122" t="s">
        <v>176</v>
      </c>
      <c r="C31" s="123">
        <v>0.56000000000000005</v>
      </c>
      <c r="D31" s="123" t="s">
        <v>110</v>
      </c>
      <c r="E31" s="123">
        <v>1.56</v>
      </c>
      <c r="F31" s="124" t="s">
        <v>111</v>
      </c>
      <c r="G31" s="125">
        <v>0.43</v>
      </c>
      <c r="H31" s="123" t="s">
        <v>112</v>
      </c>
      <c r="I31" s="126">
        <v>0.25</v>
      </c>
    </row>
    <row r="32" spans="1:9" x14ac:dyDescent="0.25">
      <c r="A32" s="121" t="s">
        <v>177</v>
      </c>
      <c r="B32" s="122" t="s">
        <v>178</v>
      </c>
      <c r="C32" s="123">
        <v>0.48</v>
      </c>
      <c r="D32" s="123" t="s">
        <v>110</v>
      </c>
      <c r="E32" s="123">
        <v>1.3</v>
      </c>
      <c r="F32" s="124" t="s">
        <v>111</v>
      </c>
      <c r="G32" s="125">
        <v>0.6</v>
      </c>
      <c r="H32" s="123" t="s">
        <v>179</v>
      </c>
      <c r="I32" s="126">
        <v>0.43</v>
      </c>
    </row>
    <row r="33" spans="1:9" x14ac:dyDescent="0.25">
      <c r="A33" s="121" t="s">
        <v>180</v>
      </c>
      <c r="B33" s="122" t="s">
        <v>181</v>
      </c>
      <c r="C33" s="123">
        <v>0.42</v>
      </c>
      <c r="D33" s="123" t="s">
        <v>110</v>
      </c>
      <c r="E33" s="123">
        <v>1.3</v>
      </c>
      <c r="F33" s="124" t="s">
        <v>111</v>
      </c>
      <c r="G33" s="125">
        <v>0.6</v>
      </c>
      <c r="H33" s="123" t="s">
        <v>179</v>
      </c>
      <c r="I33" s="126">
        <v>0.43</v>
      </c>
    </row>
    <row r="34" spans="1:9" x14ac:dyDescent="0.25">
      <c r="A34" s="121" t="s">
        <v>182</v>
      </c>
      <c r="B34" s="122" t="s">
        <v>183</v>
      </c>
      <c r="C34" s="123">
        <v>0.42</v>
      </c>
      <c r="D34" s="123" t="s">
        <v>184</v>
      </c>
      <c r="E34" s="123">
        <v>1.3</v>
      </c>
      <c r="F34" s="124" t="s">
        <v>111</v>
      </c>
      <c r="G34" s="125">
        <v>0.6</v>
      </c>
      <c r="H34" s="122" t="s">
        <v>185</v>
      </c>
      <c r="I34" s="126">
        <v>0.43</v>
      </c>
    </row>
    <row r="35" spans="1:9" x14ac:dyDescent="0.25">
      <c r="A35" s="121" t="s">
        <v>186</v>
      </c>
      <c r="B35" s="122" t="s">
        <v>187</v>
      </c>
      <c r="C35" s="123">
        <v>0.5</v>
      </c>
      <c r="D35" s="123" t="s">
        <v>110</v>
      </c>
      <c r="E35" s="123">
        <v>1.56</v>
      </c>
      <c r="F35" s="124" t="s">
        <v>111</v>
      </c>
      <c r="G35" s="125">
        <v>0.43</v>
      </c>
      <c r="H35" s="123" t="s">
        <v>112</v>
      </c>
      <c r="I35" s="126">
        <v>0.25</v>
      </c>
    </row>
    <row r="36" spans="1:9" x14ac:dyDescent="0.25">
      <c r="A36" s="121" t="s">
        <v>188</v>
      </c>
      <c r="B36" s="122" t="s">
        <v>189</v>
      </c>
      <c r="C36" s="123">
        <v>0.55000000000000004</v>
      </c>
      <c r="D36" s="123" t="s">
        <v>110</v>
      </c>
      <c r="E36" s="123">
        <v>1.56</v>
      </c>
      <c r="F36" s="124" t="s">
        <v>111</v>
      </c>
      <c r="G36" s="125">
        <v>0.53</v>
      </c>
      <c r="H36" s="123" t="s">
        <v>167</v>
      </c>
      <c r="I36" s="126">
        <v>0.25</v>
      </c>
    </row>
    <row r="37" spans="1:9" x14ac:dyDescent="0.25">
      <c r="A37" s="121" t="s">
        <v>190</v>
      </c>
      <c r="B37" s="122" t="s">
        <v>191</v>
      </c>
      <c r="C37" s="123">
        <v>0.52</v>
      </c>
      <c r="D37" s="123" t="s">
        <v>110</v>
      </c>
      <c r="E37" s="123">
        <v>1.56</v>
      </c>
      <c r="F37" s="124" t="s">
        <v>111</v>
      </c>
      <c r="G37" s="125">
        <v>0.53</v>
      </c>
      <c r="H37" s="123" t="s">
        <v>167</v>
      </c>
      <c r="I37" s="126">
        <v>0.25</v>
      </c>
    </row>
    <row r="38" spans="1:9" x14ac:dyDescent="0.25">
      <c r="A38" s="121" t="s">
        <v>192</v>
      </c>
      <c r="B38" s="122" t="s">
        <v>193</v>
      </c>
      <c r="C38" s="123">
        <v>0.52</v>
      </c>
      <c r="D38" s="123" t="s">
        <v>110</v>
      </c>
      <c r="E38" s="123">
        <v>1.56</v>
      </c>
      <c r="F38" s="124" t="s">
        <v>111</v>
      </c>
      <c r="G38" s="125">
        <v>0.43</v>
      </c>
      <c r="H38" s="123" t="s">
        <v>112</v>
      </c>
      <c r="I38" s="126">
        <v>0.25</v>
      </c>
    </row>
    <row r="39" spans="1:9" x14ac:dyDescent="0.25">
      <c r="A39" s="121" t="s">
        <v>194</v>
      </c>
      <c r="B39" s="122" t="s">
        <v>195</v>
      </c>
      <c r="C39" s="123">
        <v>0.313</v>
      </c>
      <c r="D39" s="123" t="s">
        <v>196</v>
      </c>
      <c r="E39" s="123">
        <v>1.56</v>
      </c>
      <c r="F39" s="124" t="s">
        <v>111</v>
      </c>
      <c r="G39" s="125">
        <v>0.6</v>
      </c>
      <c r="H39" s="123" t="s">
        <v>197</v>
      </c>
      <c r="I39" s="126">
        <v>1.03</v>
      </c>
    </row>
    <row r="40" spans="1:9" x14ac:dyDescent="0.25">
      <c r="A40" s="121" t="s">
        <v>198</v>
      </c>
      <c r="B40" s="122" t="s">
        <v>195</v>
      </c>
      <c r="C40" s="123">
        <v>0.35199999999999998</v>
      </c>
      <c r="D40" s="123" t="s">
        <v>196</v>
      </c>
      <c r="E40" s="123">
        <v>1.56</v>
      </c>
      <c r="F40" s="124" t="s">
        <v>111</v>
      </c>
      <c r="G40" s="125">
        <v>0.6</v>
      </c>
      <c r="H40" s="123" t="s">
        <v>197</v>
      </c>
      <c r="I40" s="126">
        <v>1.03</v>
      </c>
    </row>
    <row r="41" spans="1:9" x14ac:dyDescent="0.25">
      <c r="A41" s="121" t="s">
        <v>199</v>
      </c>
      <c r="B41" s="122" t="s">
        <v>195</v>
      </c>
      <c r="C41" s="123">
        <v>0.32200000000000001</v>
      </c>
      <c r="D41" s="123" t="s">
        <v>196</v>
      </c>
      <c r="E41" s="123">
        <v>1.56</v>
      </c>
      <c r="F41" s="124" t="s">
        <v>111</v>
      </c>
      <c r="G41" s="125">
        <v>0.6</v>
      </c>
      <c r="H41" s="123" t="s">
        <v>197</v>
      </c>
      <c r="I41" s="126">
        <v>1.03</v>
      </c>
    </row>
    <row r="42" spans="1:9" x14ac:dyDescent="0.25">
      <c r="A42" s="121" t="s">
        <v>200</v>
      </c>
      <c r="B42" s="122" t="s">
        <v>195</v>
      </c>
      <c r="C42" s="123">
        <v>0.311</v>
      </c>
      <c r="D42" s="123" t="s">
        <v>196</v>
      </c>
      <c r="E42" s="123">
        <v>1.56</v>
      </c>
      <c r="F42" s="124" t="s">
        <v>111</v>
      </c>
      <c r="G42" s="125">
        <v>0.6</v>
      </c>
      <c r="H42" s="123" t="s">
        <v>197</v>
      </c>
      <c r="I42" s="126">
        <v>1.03</v>
      </c>
    </row>
    <row r="43" spans="1:9" x14ac:dyDescent="0.25">
      <c r="A43" s="121" t="s">
        <v>201</v>
      </c>
      <c r="B43" s="122" t="s">
        <v>195</v>
      </c>
      <c r="C43" s="123">
        <v>0.33900000000000002</v>
      </c>
      <c r="D43" s="123" t="s">
        <v>196</v>
      </c>
      <c r="E43" s="123">
        <v>1.56</v>
      </c>
      <c r="F43" s="124" t="s">
        <v>111</v>
      </c>
      <c r="G43" s="125">
        <v>0.6</v>
      </c>
      <c r="H43" s="123" t="s">
        <v>197</v>
      </c>
      <c r="I43" s="126">
        <v>1.03</v>
      </c>
    </row>
    <row r="44" spans="1:9" x14ac:dyDescent="0.25">
      <c r="A44" s="121" t="s">
        <v>202</v>
      </c>
      <c r="B44" s="122" t="s">
        <v>195</v>
      </c>
      <c r="C44" s="123">
        <v>0.33600000000000002</v>
      </c>
      <c r="D44" s="123" t="s">
        <v>196</v>
      </c>
      <c r="E44" s="123">
        <v>1.56</v>
      </c>
      <c r="F44" s="124" t="s">
        <v>111</v>
      </c>
      <c r="G44" s="125">
        <v>0.6</v>
      </c>
      <c r="H44" s="123" t="s">
        <v>197</v>
      </c>
      <c r="I44" s="126">
        <v>1.03</v>
      </c>
    </row>
    <row r="45" spans="1:9" x14ac:dyDescent="0.25">
      <c r="A45" s="121" t="s">
        <v>203</v>
      </c>
      <c r="B45" s="122" t="s">
        <v>195</v>
      </c>
      <c r="C45" s="123">
        <v>0.32900000000000001</v>
      </c>
      <c r="D45" s="123" t="s">
        <v>196</v>
      </c>
      <c r="E45" s="123">
        <v>1.56</v>
      </c>
      <c r="F45" s="124" t="s">
        <v>111</v>
      </c>
      <c r="G45" s="125">
        <v>0.6</v>
      </c>
      <c r="H45" s="123" t="s">
        <v>197</v>
      </c>
      <c r="I45" s="126">
        <v>1.03</v>
      </c>
    </row>
    <row r="46" spans="1:9" x14ac:dyDescent="0.25">
      <c r="A46" s="121" t="s">
        <v>204</v>
      </c>
      <c r="B46" s="122" t="s">
        <v>195</v>
      </c>
      <c r="C46" s="123">
        <v>0.34300000000000003</v>
      </c>
      <c r="D46" s="123" t="s">
        <v>196</v>
      </c>
      <c r="E46" s="123">
        <v>1.56</v>
      </c>
      <c r="F46" s="124" t="s">
        <v>111</v>
      </c>
      <c r="G46" s="125">
        <v>0.6</v>
      </c>
      <c r="H46" s="123" t="s">
        <v>197</v>
      </c>
      <c r="I46" s="126">
        <v>1.03</v>
      </c>
    </row>
    <row r="47" spans="1:9" x14ac:dyDescent="0.25">
      <c r="A47" s="121" t="s">
        <v>205</v>
      </c>
      <c r="B47" s="122" t="s">
        <v>195</v>
      </c>
      <c r="C47" s="123">
        <v>0.32500000000000001</v>
      </c>
      <c r="D47" s="123" t="s">
        <v>196</v>
      </c>
      <c r="E47" s="123">
        <v>1.56</v>
      </c>
      <c r="F47" s="124" t="s">
        <v>111</v>
      </c>
      <c r="G47" s="125">
        <v>0.6</v>
      </c>
      <c r="H47" s="123" t="s">
        <v>197</v>
      </c>
      <c r="I47" s="126">
        <v>1.03</v>
      </c>
    </row>
    <row r="48" spans="1:9" x14ac:dyDescent="0.25">
      <c r="A48" s="121" t="s">
        <v>206</v>
      </c>
      <c r="B48" s="122" t="s">
        <v>195</v>
      </c>
      <c r="C48" s="123">
        <v>0.32</v>
      </c>
      <c r="D48" s="123" t="s">
        <v>196</v>
      </c>
      <c r="E48" s="123">
        <v>1.56</v>
      </c>
      <c r="F48" s="124" t="s">
        <v>111</v>
      </c>
      <c r="G48" s="125">
        <v>0.6</v>
      </c>
      <c r="H48" s="123" t="s">
        <v>197</v>
      </c>
      <c r="I48" s="126">
        <v>1.03</v>
      </c>
    </row>
    <row r="49" spans="1:9" x14ac:dyDescent="0.25">
      <c r="A49" s="121" t="s">
        <v>207</v>
      </c>
      <c r="B49" s="122" t="s">
        <v>195</v>
      </c>
      <c r="C49" s="123">
        <v>0.28199999999999997</v>
      </c>
      <c r="D49" s="123" t="s">
        <v>196</v>
      </c>
      <c r="E49" s="123">
        <v>1.56</v>
      </c>
      <c r="F49" s="124" t="s">
        <v>111</v>
      </c>
      <c r="G49" s="125">
        <v>0.6</v>
      </c>
      <c r="H49" s="123" t="s">
        <v>197</v>
      </c>
      <c r="I49" s="126">
        <v>1.03</v>
      </c>
    </row>
    <row r="50" spans="1:9" x14ac:dyDescent="0.25">
      <c r="A50" s="121" t="s">
        <v>208</v>
      </c>
      <c r="B50" s="122" t="s">
        <v>195</v>
      </c>
      <c r="C50" s="123">
        <v>0.32800000000000001</v>
      </c>
      <c r="D50" s="123" t="s">
        <v>196</v>
      </c>
      <c r="E50" s="123">
        <v>1.56</v>
      </c>
      <c r="F50" s="124" t="s">
        <v>111</v>
      </c>
      <c r="G50" s="125">
        <v>0.6</v>
      </c>
      <c r="H50" s="123" t="s">
        <v>197</v>
      </c>
      <c r="I50" s="126">
        <v>1.03</v>
      </c>
    </row>
    <row r="51" spans="1:9" x14ac:dyDescent="0.25">
      <c r="A51" s="121" t="s">
        <v>209</v>
      </c>
      <c r="B51" s="122" t="s">
        <v>195</v>
      </c>
      <c r="C51" s="123">
        <v>0.32600000000000001</v>
      </c>
      <c r="D51" s="123" t="s">
        <v>196</v>
      </c>
      <c r="E51" s="123">
        <v>1.56</v>
      </c>
      <c r="F51" s="124" t="s">
        <v>111</v>
      </c>
      <c r="G51" s="125">
        <v>0.6</v>
      </c>
      <c r="H51" s="123" t="s">
        <v>197</v>
      </c>
      <c r="I51" s="126">
        <v>1.03</v>
      </c>
    </row>
    <row r="52" spans="1:9" x14ac:dyDescent="0.25">
      <c r="A52" s="121" t="s">
        <v>210</v>
      </c>
      <c r="B52" s="122" t="s">
        <v>195</v>
      </c>
      <c r="C52" s="123">
        <v>0.35899999999999999</v>
      </c>
      <c r="D52" s="123" t="s">
        <v>196</v>
      </c>
      <c r="E52" s="123">
        <v>1.56</v>
      </c>
      <c r="F52" s="124" t="s">
        <v>111</v>
      </c>
      <c r="G52" s="125">
        <v>0.6</v>
      </c>
      <c r="H52" s="123" t="s">
        <v>197</v>
      </c>
      <c r="I52" s="126">
        <v>1.03</v>
      </c>
    </row>
    <row r="53" spans="1:9" x14ac:dyDescent="0.25">
      <c r="A53" s="121" t="s">
        <v>211</v>
      </c>
      <c r="B53" s="122" t="s">
        <v>195</v>
      </c>
      <c r="C53" s="123">
        <v>0.34599999999999997</v>
      </c>
      <c r="D53" s="123" t="s">
        <v>196</v>
      </c>
      <c r="E53" s="123">
        <v>1.56</v>
      </c>
      <c r="F53" s="124" t="s">
        <v>111</v>
      </c>
      <c r="G53" s="125">
        <v>0.6</v>
      </c>
      <c r="H53" s="123" t="s">
        <v>197</v>
      </c>
      <c r="I53" s="126">
        <v>1.03</v>
      </c>
    </row>
    <row r="54" spans="1:9" x14ac:dyDescent="0.25">
      <c r="A54" s="121" t="s">
        <v>212</v>
      </c>
      <c r="B54" s="122" t="s">
        <v>195</v>
      </c>
      <c r="C54" s="123">
        <v>0.32600000000000001</v>
      </c>
      <c r="D54" s="123" t="s">
        <v>196</v>
      </c>
      <c r="E54" s="123">
        <v>1.56</v>
      </c>
      <c r="F54" s="124" t="s">
        <v>111</v>
      </c>
      <c r="G54" s="125">
        <v>0.6</v>
      </c>
      <c r="H54" s="123" t="s">
        <v>197</v>
      </c>
      <c r="I54" s="126">
        <v>1.03</v>
      </c>
    </row>
    <row r="55" spans="1:9" x14ac:dyDescent="0.25">
      <c r="A55" s="121" t="s">
        <v>213</v>
      </c>
      <c r="B55" s="122" t="s">
        <v>195</v>
      </c>
      <c r="C55" s="123">
        <v>0.30499999999999999</v>
      </c>
      <c r="D55" s="123" t="s">
        <v>196</v>
      </c>
      <c r="E55" s="123">
        <v>1.56</v>
      </c>
      <c r="F55" s="124" t="s">
        <v>111</v>
      </c>
      <c r="G55" s="125">
        <v>0.6</v>
      </c>
      <c r="H55" s="123" t="s">
        <v>197</v>
      </c>
      <c r="I55" s="126">
        <v>1.03</v>
      </c>
    </row>
    <row r="56" spans="1:9" x14ac:dyDescent="0.25">
      <c r="A56" s="121" t="s">
        <v>214</v>
      </c>
      <c r="B56" s="122" t="s">
        <v>195</v>
      </c>
      <c r="C56" s="123">
        <v>0.32300000000000001</v>
      </c>
      <c r="D56" s="123" t="s">
        <v>196</v>
      </c>
      <c r="E56" s="123">
        <v>1.56</v>
      </c>
      <c r="F56" s="124" t="s">
        <v>111</v>
      </c>
      <c r="G56" s="125">
        <v>0.6</v>
      </c>
      <c r="H56" s="123" t="s">
        <v>197</v>
      </c>
      <c r="I56" s="126">
        <v>1.03</v>
      </c>
    </row>
    <row r="57" spans="1:9" x14ac:dyDescent="0.25">
      <c r="A57" s="121" t="s">
        <v>215</v>
      </c>
      <c r="B57" s="122" t="s">
        <v>195</v>
      </c>
      <c r="C57" s="123">
        <v>0.36699999999999999</v>
      </c>
      <c r="D57" s="123" t="s">
        <v>196</v>
      </c>
      <c r="E57" s="123">
        <v>1.56</v>
      </c>
      <c r="F57" s="124" t="s">
        <v>111</v>
      </c>
      <c r="G57" s="125">
        <v>0.6</v>
      </c>
      <c r="H57" s="123" t="s">
        <v>197</v>
      </c>
      <c r="I57" s="126">
        <v>1.03</v>
      </c>
    </row>
    <row r="58" spans="1:9" x14ac:dyDescent="0.25">
      <c r="A58" s="121" t="s">
        <v>216</v>
      </c>
      <c r="B58" s="122" t="s">
        <v>195</v>
      </c>
      <c r="C58" s="123">
        <v>0.36</v>
      </c>
      <c r="D58" s="123" t="s">
        <v>196</v>
      </c>
      <c r="E58" s="123">
        <v>1.56</v>
      </c>
      <c r="F58" s="124" t="s">
        <v>111</v>
      </c>
      <c r="G58" s="125">
        <v>0.6</v>
      </c>
      <c r="H58" s="123" t="s">
        <v>197</v>
      </c>
      <c r="I58" s="126">
        <v>1.03</v>
      </c>
    </row>
    <row r="59" spans="1:9" x14ac:dyDescent="0.25">
      <c r="A59" s="121" t="s">
        <v>217</v>
      </c>
      <c r="B59" s="122" t="s">
        <v>195</v>
      </c>
      <c r="C59" s="123">
        <v>0.36799999999999999</v>
      </c>
      <c r="D59" s="123" t="s">
        <v>196</v>
      </c>
      <c r="E59" s="123">
        <v>1.56</v>
      </c>
      <c r="F59" s="124" t="s">
        <v>111</v>
      </c>
      <c r="G59" s="125">
        <v>0.6</v>
      </c>
      <c r="H59" s="123" t="s">
        <v>197</v>
      </c>
      <c r="I59" s="126">
        <v>1.03</v>
      </c>
    </row>
    <row r="60" spans="1:9" x14ac:dyDescent="0.25">
      <c r="A60" s="121" t="s">
        <v>218</v>
      </c>
      <c r="B60" s="122" t="s">
        <v>195</v>
      </c>
      <c r="C60" s="123">
        <v>0.30599999999999999</v>
      </c>
      <c r="D60" s="123" t="s">
        <v>196</v>
      </c>
      <c r="E60" s="123">
        <v>1.56</v>
      </c>
      <c r="F60" s="124" t="s">
        <v>111</v>
      </c>
      <c r="G60" s="125">
        <v>0.6</v>
      </c>
      <c r="H60" s="123" t="s">
        <v>197</v>
      </c>
      <c r="I60" s="126">
        <v>1.03</v>
      </c>
    </row>
    <row r="61" spans="1:9" x14ac:dyDescent="0.25">
      <c r="A61" s="121" t="s">
        <v>219</v>
      </c>
      <c r="B61" s="122" t="s">
        <v>195</v>
      </c>
      <c r="C61" s="123">
        <v>0.313</v>
      </c>
      <c r="D61" s="123" t="s">
        <v>196</v>
      </c>
      <c r="E61" s="123">
        <v>1.56</v>
      </c>
      <c r="F61" s="124" t="s">
        <v>111</v>
      </c>
      <c r="G61" s="125">
        <v>0.6</v>
      </c>
      <c r="H61" s="123" t="s">
        <v>197</v>
      </c>
      <c r="I61" s="126">
        <v>1.03</v>
      </c>
    </row>
    <row r="62" spans="1:9" x14ac:dyDescent="0.25">
      <c r="A62" s="121" t="s">
        <v>220</v>
      </c>
      <c r="B62" s="122" t="s">
        <v>221</v>
      </c>
      <c r="C62" s="123">
        <v>0.37</v>
      </c>
      <c r="D62" s="123" t="s">
        <v>110</v>
      </c>
      <c r="E62" s="123">
        <v>1.56</v>
      </c>
      <c r="F62" s="124" t="s">
        <v>111</v>
      </c>
      <c r="G62" s="125">
        <v>0.6</v>
      </c>
      <c r="H62" s="123" t="s">
        <v>197</v>
      </c>
      <c r="I62" s="126">
        <v>1.03</v>
      </c>
    </row>
    <row r="63" spans="1:9" x14ac:dyDescent="0.25">
      <c r="A63" s="121" t="s">
        <v>222</v>
      </c>
      <c r="B63" s="122" t="s">
        <v>223</v>
      </c>
      <c r="C63" s="123">
        <v>0.45</v>
      </c>
      <c r="D63" s="123" t="s">
        <v>110</v>
      </c>
      <c r="E63" s="123">
        <v>1.3</v>
      </c>
      <c r="F63" s="124" t="s">
        <v>111</v>
      </c>
      <c r="G63" s="125">
        <v>0.45</v>
      </c>
      <c r="H63" s="123" t="s">
        <v>224</v>
      </c>
      <c r="I63" s="126">
        <v>0.43</v>
      </c>
    </row>
    <row r="64" spans="1:9" x14ac:dyDescent="0.25">
      <c r="A64" s="121" t="s">
        <v>225</v>
      </c>
      <c r="B64" s="122" t="s">
        <v>226</v>
      </c>
      <c r="C64" s="123">
        <v>0.39</v>
      </c>
      <c r="D64" s="123" t="s">
        <v>110</v>
      </c>
      <c r="E64" s="123">
        <v>1.3</v>
      </c>
      <c r="F64" s="124" t="s">
        <v>111</v>
      </c>
      <c r="G64" s="125">
        <v>0.45</v>
      </c>
      <c r="H64" s="123" t="s">
        <v>224</v>
      </c>
      <c r="I64" s="126">
        <v>0.43</v>
      </c>
    </row>
    <row r="65" spans="1:9" x14ac:dyDescent="0.25">
      <c r="A65" s="121" t="s">
        <v>227</v>
      </c>
      <c r="B65" s="122" t="s">
        <v>228</v>
      </c>
      <c r="C65" s="123">
        <v>0.44</v>
      </c>
      <c r="D65" s="123" t="s">
        <v>110</v>
      </c>
      <c r="E65" s="123">
        <v>1.3</v>
      </c>
      <c r="F65" s="124" t="s">
        <v>111</v>
      </c>
      <c r="G65" s="125">
        <v>0.45</v>
      </c>
      <c r="H65" s="123" t="s">
        <v>224</v>
      </c>
      <c r="I65" s="126">
        <v>0.43</v>
      </c>
    </row>
    <row r="66" spans="1:9" x14ac:dyDescent="0.25">
      <c r="A66" s="121" t="s">
        <v>19</v>
      </c>
      <c r="B66" s="122" t="s">
        <v>229</v>
      </c>
      <c r="C66" s="123">
        <v>0.46</v>
      </c>
      <c r="D66" s="123" t="s">
        <v>110</v>
      </c>
      <c r="E66" s="123">
        <v>1.3</v>
      </c>
      <c r="F66" s="124" t="s">
        <v>111</v>
      </c>
      <c r="G66" s="125">
        <v>0.45</v>
      </c>
      <c r="H66" s="123" t="s">
        <v>224</v>
      </c>
      <c r="I66" s="126">
        <v>0.43</v>
      </c>
    </row>
    <row r="67" spans="1:9" x14ac:dyDescent="0.25">
      <c r="A67" s="121" t="s">
        <v>230</v>
      </c>
      <c r="B67" s="122" t="s">
        <v>231</v>
      </c>
      <c r="C67" s="123">
        <v>0.46</v>
      </c>
      <c r="D67" s="123" t="s">
        <v>110</v>
      </c>
      <c r="E67" s="123">
        <v>1.3</v>
      </c>
      <c r="F67" s="124" t="s">
        <v>111</v>
      </c>
      <c r="G67" s="125">
        <v>0.45</v>
      </c>
      <c r="H67" s="123" t="s">
        <v>136</v>
      </c>
      <c r="I67" s="126">
        <v>0.59</v>
      </c>
    </row>
    <row r="68" spans="1:9" x14ac:dyDescent="0.25">
      <c r="A68" s="121" t="s">
        <v>232</v>
      </c>
      <c r="B68" s="122" t="s">
        <v>233</v>
      </c>
      <c r="C68" s="123">
        <v>0.44</v>
      </c>
      <c r="D68" s="123" t="s">
        <v>110</v>
      </c>
      <c r="E68" s="123">
        <v>1.3</v>
      </c>
      <c r="F68" s="124" t="s">
        <v>111</v>
      </c>
      <c r="G68" s="125">
        <v>0.45</v>
      </c>
      <c r="H68" s="123" t="s">
        <v>224</v>
      </c>
      <c r="I68" s="126">
        <v>0.43</v>
      </c>
    </row>
    <row r="69" spans="1:9" x14ac:dyDescent="0.25">
      <c r="A69" s="121" t="s">
        <v>234</v>
      </c>
      <c r="B69" s="122" t="s">
        <v>235</v>
      </c>
      <c r="C69" s="123">
        <v>0.46</v>
      </c>
      <c r="D69" s="123" t="s">
        <v>110</v>
      </c>
      <c r="E69" s="123">
        <v>1.3</v>
      </c>
      <c r="F69" s="124" t="s">
        <v>111</v>
      </c>
      <c r="G69" s="125">
        <v>0.45</v>
      </c>
      <c r="H69" s="123" t="s">
        <v>224</v>
      </c>
      <c r="I69" s="126">
        <v>0.43</v>
      </c>
    </row>
    <row r="70" spans="1:9" x14ac:dyDescent="0.25">
      <c r="A70" s="121" t="s">
        <v>236</v>
      </c>
      <c r="B70" s="122" t="s">
        <v>237</v>
      </c>
      <c r="C70" s="123">
        <v>0.48</v>
      </c>
      <c r="D70" s="123" t="s">
        <v>110</v>
      </c>
      <c r="E70" s="123">
        <v>2.4</v>
      </c>
      <c r="F70" s="123" t="s">
        <v>238</v>
      </c>
      <c r="G70" s="125">
        <v>0.45</v>
      </c>
      <c r="H70" s="123" t="s">
        <v>224</v>
      </c>
      <c r="I70" s="126">
        <v>0.43</v>
      </c>
    </row>
    <row r="71" spans="1:9" x14ac:dyDescent="0.25">
      <c r="A71" s="121" t="s">
        <v>239</v>
      </c>
      <c r="B71" s="122" t="s">
        <v>240</v>
      </c>
      <c r="C71" s="123">
        <v>0.46</v>
      </c>
      <c r="D71" s="123" t="s">
        <v>241</v>
      </c>
      <c r="E71" s="123">
        <v>1.3</v>
      </c>
      <c r="F71" s="124" t="s">
        <v>111</v>
      </c>
      <c r="G71" s="125">
        <v>0.45</v>
      </c>
      <c r="H71" s="123" t="s">
        <v>224</v>
      </c>
      <c r="I71" s="126">
        <v>0.43</v>
      </c>
    </row>
    <row r="72" spans="1:9" x14ac:dyDescent="0.25">
      <c r="A72" s="121" t="s">
        <v>242</v>
      </c>
      <c r="B72" s="122" t="s">
        <v>243</v>
      </c>
      <c r="C72" s="123">
        <v>0.44</v>
      </c>
      <c r="D72" s="123" t="s">
        <v>110</v>
      </c>
      <c r="E72" s="123">
        <v>1.3</v>
      </c>
      <c r="F72" s="124" t="s">
        <v>111</v>
      </c>
      <c r="G72" s="125">
        <v>0.45</v>
      </c>
      <c r="H72" s="123" t="s">
        <v>224</v>
      </c>
      <c r="I72" s="126">
        <v>0.43</v>
      </c>
    </row>
    <row r="73" spans="1:9" x14ac:dyDescent="0.25">
      <c r="A73" s="121" t="s">
        <v>244</v>
      </c>
      <c r="B73" s="122" t="s">
        <v>245</v>
      </c>
      <c r="C73" s="123">
        <v>0.46</v>
      </c>
      <c r="D73" s="123" t="s">
        <v>246</v>
      </c>
      <c r="E73" s="123">
        <v>1.3</v>
      </c>
      <c r="F73" s="124" t="s">
        <v>111</v>
      </c>
      <c r="G73" s="125">
        <v>0.45</v>
      </c>
      <c r="H73" s="123" t="s">
        <v>224</v>
      </c>
      <c r="I73" s="126">
        <v>0.43</v>
      </c>
    </row>
    <row r="74" spans="1:9" x14ac:dyDescent="0.25">
      <c r="A74" s="121" t="s">
        <v>247</v>
      </c>
      <c r="B74" s="122" t="s">
        <v>248</v>
      </c>
      <c r="C74" s="123">
        <v>0.34</v>
      </c>
      <c r="D74" s="123" t="s">
        <v>110</v>
      </c>
      <c r="E74" s="123">
        <v>1.3</v>
      </c>
      <c r="F74" s="124" t="s">
        <v>111</v>
      </c>
      <c r="G74" s="125">
        <v>0.45</v>
      </c>
      <c r="H74" s="123" t="s">
        <v>224</v>
      </c>
      <c r="I74" s="126">
        <v>0.43</v>
      </c>
    </row>
    <row r="75" spans="1:9" x14ac:dyDescent="0.25">
      <c r="A75" s="121" t="s">
        <v>249</v>
      </c>
      <c r="B75" s="122" t="s">
        <v>250</v>
      </c>
      <c r="C75" s="123">
        <v>0.5</v>
      </c>
      <c r="D75" s="123" t="s">
        <v>110</v>
      </c>
      <c r="E75" s="123">
        <v>1.56</v>
      </c>
      <c r="F75" s="124" t="s">
        <v>111</v>
      </c>
      <c r="G75" s="125">
        <v>0.53</v>
      </c>
      <c r="H75" s="123" t="s">
        <v>167</v>
      </c>
      <c r="I75" s="126">
        <v>0.25</v>
      </c>
    </row>
    <row r="76" spans="1:9" x14ac:dyDescent="0.25">
      <c r="A76" s="121" t="s">
        <v>16</v>
      </c>
      <c r="B76" s="122" t="s">
        <v>251</v>
      </c>
      <c r="C76" s="123">
        <v>0.57999999999999996</v>
      </c>
      <c r="D76" s="123" t="s">
        <v>110</v>
      </c>
      <c r="E76" s="123">
        <v>1.56</v>
      </c>
      <c r="F76" s="124" t="s">
        <v>111</v>
      </c>
      <c r="G76" s="125">
        <v>0.3</v>
      </c>
      <c r="H76" s="123" t="s">
        <v>252</v>
      </c>
      <c r="I76" s="126">
        <v>0.25</v>
      </c>
    </row>
    <row r="77" spans="1:9" x14ac:dyDescent="0.25">
      <c r="A77" s="121" t="s">
        <v>253</v>
      </c>
      <c r="B77" s="122" t="s">
        <v>254</v>
      </c>
      <c r="C77" s="123">
        <v>0.37</v>
      </c>
      <c r="D77" s="123" t="s">
        <v>110</v>
      </c>
      <c r="E77" s="123">
        <v>1.3</v>
      </c>
      <c r="F77" s="124" t="s">
        <v>111</v>
      </c>
      <c r="G77" s="125">
        <v>0.55000000000000004</v>
      </c>
      <c r="H77" s="123" t="s">
        <v>136</v>
      </c>
      <c r="I77" s="126">
        <v>0.43</v>
      </c>
    </row>
    <row r="78" spans="1:9" x14ac:dyDescent="0.25">
      <c r="A78" s="121" t="s">
        <v>255</v>
      </c>
      <c r="B78" s="122" t="s">
        <v>256</v>
      </c>
      <c r="C78" s="123">
        <v>0.37</v>
      </c>
      <c r="D78" s="123" t="s">
        <v>110</v>
      </c>
      <c r="E78" s="123">
        <v>1.3</v>
      </c>
      <c r="F78" s="124" t="s">
        <v>111</v>
      </c>
      <c r="G78" s="125">
        <v>0.55000000000000004</v>
      </c>
      <c r="H78" s="123" t="s">
        <v>136</v>
      </c>
      <c r="I78" s="126">
        <v>0.43</v>
      </c>
    </row>
    <row r="79" spans="1:9" x14ac:dyDescent="0.25">
      <c r="A79" s="121" t="s">
        <v>257</v>
      </c>
      <c r="B79" s="122" t="s">
        <v>258</v>
      </c>
      <c r="C79" s="123">
        <v>0.38</v>
      </c>
      <c r="D79" s="123" t="s">
        <v>110</v>
      </c>
      <c r="E79" s="123">
        <v>1.3</v>
      </c>
      <c r="F79" s="124" t="s">
        <v>111</v>
      </c>
      <c r="G79" s="125">
        <v>0.55000000000000004</v>
      </c>
      <c r="H79" s="123" t="s">
        <v>126</v>
      </c>
      <c r="I79" s="126">
        <v>0.43</v>
      </c>
    </row>
    <row r="80" spans="1:9" x14ac:dyDescent="0.25">
      <c r="A80" s="121" t="s">
        <v>259</v>
      </c>
      <c r="B80" s="122" t="s">
        <v>260</v>
      </c>
      <c r="C80" s="123">
        <v>0.36</v>
      </c>
      <c r="D80" s="123" t="s">
        <v>110</v>
      </c>
      <c r="E80" s="123">
        <v>1.3</v>
      </c>
      <c r="F80" s="124" t="s">
        <v>111</v>
      </c>
      <c r="G80" s="125">
        <v>0.55000000000000004</v>
      </c>
      <c r="H80" s="123" t="s">
        <v>126</v>
      </c>
      <c r="I80" s="126">
        <v>0.43</v>
      </c>
    </row>
    <row r="81" spans="1:9" x14ac:dyDescent="0.25">
      <c r="A81" s="121" t="s">
        <v>261</v>
      </c>
      <c r="B81" s="122" t="s">
        <v>262</v>
      </c>
      <c r="C81" s="123">
        <v>0.37</v>
      </c>
      <c r="D81" s="123" t="s">
        <v>110</v>
      </c>
      <c r="E81" s="123">
        <v>1.56</v>
      </c>
      <c r="F81" s="124" t="s">
        <v>111</v>
      </c>
      <c r="G81" s="125">
        <v>0.43</v>
      </c>
      <c r="H81" s="123" t="s">
        <v>112</v>
      </c>
      <c r="I81" s="126">
        <v>0.25</v>
      </c>
    </row>
    <row r="82" spans="1:9" x14ac:dyDescent="0.25">
      <c r="A82" s="121" t="s">
        <v>263</v>
      </c>
      <c r="B82" s="122" t="s">
        <v>264</v>
      </c>
      <c r="C82" s="123">
        <v>0.35</v>
      </c>
      <c r="D82" s="123" t="s">
        <v>265</v>
      </c>
      <c r="E82" s="123">
        <v>1.3</v>
      </c>
      <c r="F82" s="124" t="s">
        <v>111</v>
      </c>
      <c r="G82" s="125">
        <v>0.55000000000000004</v>
      </c>
      <c r="H82" s="123" t="s">
        <v>126</v>
      </c>
      <c r="I82" s="126">
        <v>0.43</v>
      </c>
    </row>
    <row r="83" spans="1:9" x14ac:dyDescent="0.25">
      <c r="A83" s="121" t="s">
        <v>266</v>
      </c>
      <c r="B83" s="122" t="s">
        <v>267</v>
      </c>
      <c r="C83" s="123">
        <v>0.34</v>
      </c>
      <c r="D83" s="123" t="s">
        <v>110</v>
      </c>
      <c r="E83" s="123">
        <v>1.3</v>
      </c>
      <c r="F83" s="124" t="s">
        <v>111</v>
      </c>
      <c r="G83" s="125">
        <v>0.55000000000000004</v>
      </c>
      <c r="H83" s="123" t="s">
        <v>126</v>
      </c>
      <c r="I83" s="126">
        <v>0.43</v>
      </c>
    </row>
    <row r="84" spans="1:9" x14ac:dyDescent="0.25">
      <c r="A84" s="121" t="s">
        <v>268</v>
      </c>
      <c r="B84" s="122" t="s">
        <v>269</v>
      </c>
      <c r="C84" s="123">
        <v>0.31</v>
      </c>
      <c r="D84" s="123" t="s">
        <v>110</v>
      </c>
      <c r="E84" s="123">
        <v>1.3</v>
      </c>
      <c r="F84" s="124" t="s">
        <v>111</v>
      </c>
      <c r="G84" s="125">
        <v>0.55000000000000004</v>
      </c>
      <c r="H84" s="123" t="s">
        <v>126</v>
      </c>
      <c r="I84" s="126">
        <v>0.43</v>
      </c>
    </row>
    <row r="85" spans="1:9" x14ac:dyDescent="0.25">
      <c r="A85" s="121" t="s">
        <v>270</v>
      </c>
      <c r="B85" s="122" t="s">
        <v>271</v>
      </c>
      <c r="C85" s="123">
        <v>0.43</v>
      </c>
      <c r="D85" s="123" t="s">
        <v>110</v>
      </c>
      <c r="E85" s="123">
        <v>1.56</v>
      </c>
      <c r="F85" s="124" t="s">
        <v>111</v>
      </c>
      <c r="G85" s="125">
        <v>0.53</v>
      </c>
      <c r="H85" s="123" t="s">
        <v>167</v>
      </c>
      <c r="I85" s="126">
        <v>0.25</v>
      </c>
    </row>
    <row r="86" spans="1:9" x14ac:dyDescent="0.25">
      <c r="A86" s="121" t="s">
        <v>272</v>
      </c>
      <c r="B86" s="122" t="s">
        <v>273</v>
      </c>
      <c r="C86" s="123">
        <v>0.38</v>
      </c>
      <c r="D86" s="123" t="s">
        <v>110</v>
      </c>
      <c r="E86" s="123">
        <v>1.56</v>
      </c>
      <c r="F86" s="124" t="s">
        <v>111</v>
      </c>
      <c r="G86" s="125">
        <v>0.6</v>
      </c>
      <c r="H86" s="123" t="s">
        <v>274</v>
      </c>
      <c r="I86" s="126">
        <v>0.25</v>
      </c>
    </row>
    <row r="87" spans="1:9" x14ac:dyDescent="0.25">
      <c r="A87" s="248" t="s">
        <v>275</v>
      </c>
      <c r="B87" s="249" t="s">
        <v>276</v>
      </c>
      <c r="C87" s="250">
        <v>0.41</v>
      </c>
      <c r="D87" s="250" t="s">
        <v>277</v>
      </c>
      <c r="E87" s="250">
        <v>1.56</v>
      </c>
      <c r="F87" s="251" t="s">
        <v>111</v>
      </c>
      <c r="G87" s="252">
        <v>0.43</v>
      </c>
      <c r="H87" s="250" t="s">
        <v>112</v>
      </c>
      <c r="I87" s="253">
        <v>0.25</v>
      </c>
    </row>
    <row r="88" spans="1:9" x14ac:dyDescent="0.25">
      <c r="A88" s="121" t="s">
        <v>278</v>
      </c>
      <c r="B88" s="129"/>
      <c r="C88" s="123">
        <v>0.42</v>
      </c>
      <c r="D88" s="123" t="s">
        <v>110</v>
      </c>
      <c r="E88" s="123">
        <v>1.3</v>
      </c>
      <c r="F88" s="124" t="s">
        <v>111</v>
      </c>
      <c r="G88" s="130"/>
      <c r="H88" s="129"/>
      <c r="I88" s="131"/>
    </row>
    <row r="89" spans="1:9" ht="15.75" thickBot="1" x14ac:dyDescent="0.3">
      <c r="A89" s="132" t="s">
        <v>70</v>
      </c>
      <c r="B89" s="133"/>
      <c r="C89" s="134">
        <v>0.56999999999999995</v>
      </c>
      <c r="D89" s="135" t="s">
        <v>110</v>
      </c>
      <c r="E89" s="134">
        <v>1.56</v>
      </c>
      <c r="F89" s="134" t="s">
        <v>111</v>
      </c>
      <c r="G89" s="133"/>
      <c r="H89" s="133"/>
      <c r="I89" s="136"/>
    </row>
    <row r="93" spans="1:9" x14ac:dyDescent="0.25">
      <c r="A93" s="121" t="s">
        <v>71</v>
      </c>
    </row>
    <row r="94" spans="1:9" x14ac:dyDescent="0.25">
      <c r="A94" s="121" t="s">
        <v>72</v>
      </c>
    </row>
    <row r="95" spans="1:9" x14ac:dyDescent="0.25">
      <c r="A95" s="121" t="s">
        <v>73</v>
      </c>
    </row>
  </sheetData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2:M184"/>
  <sheetViews>
    <sheetView zoomScale="90" zoomScaleNormal="90" workbookViewId="0">
      <selection activeCell="N7" sqref="N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2" spans="1:12" ht="27" thickBot="1" x14ac:dyDescent="0.4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</row>
    <row r="3" spans="1:1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75.75" thickBot="1" x14ac:dyDescent="0.3">
      <c r="A5" s="137" t="s">
        <v>280</v>
      </c>
      <c r="B5" s="138" t="s">
        <v>281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282</v>
      </c>
      <c r="F5" s="139" t="s">
        <v>283</v>
      </c>
      <c r="G5" s="139" t="s">
        <v>284</v>
      </c>
      <c r="H5" s="140" t="s">
        <v>285</v>
      </c>
      <c r="I5" s="141" t="s">
        <v>286</v>
      </c>
      <c r="J5" s="142" t="s">
        <v>287</v>
      </c>
      <c r="K5" s="143" t="s">
        <v>288</v>
      </c>
      <c r="L5" s="84" t="s">
        <v>289</v>
      </c>
    </row>
    <row r="6" spans="1:12" x14ac:dyDescent="0.25">
      <c r="A6" s="144" t="str">
        <f>IF('Données projet'!$B$9="","",'Données projet'!$B$9)</f>
        <v>Robinier faux-acacia</v>
      </c>
      <c r="B6" s="145">
        <f>'Données projet'!D9</f>
        <v>3.2297720000000001</v>
      </c>
      <c r="C6" s="146">
        <f ca="1">IF(OR('Données projet'!B9="",'Données projet'!C9="",'Données projet'!C9=0%),0,Calculateur!S3)</f>
        <v>394.42011098756564</v>
      </c>
      <c r="D6" s="146">
        <f>IF(OR('Données projet'!B9="",'Données projet'!C9="",'Données projet'!C9=0%),0,Calculateur!T3)</f>
        <v>559.92215054152859</v>
      </c>
      <c r="E6" s="146">
        <f ca="1">MIN(C6,D6)</f>
        <v>394.42011098756564</v>
      </c>
      <c r="F6" s="146">
        <f ca="1">E6*B6</f>
        <v>1273.887030704532</v>
      </c>
      <c r="G6" s="146">
        <f ca="1">F6*(100%-'Données projet'!$C$24)*(100%-'Données projet'!$C$25)*(100%-'Données projet'!$C$26)*(100%-'Données projet'!$C$27)</f>
        <v>1146.4983276340788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27.453061999999999</v>
      </c>
      <c r="K6" s="150">
        <f>J6*(100%-'Données projet'!$C$24)*(100%-'Données projet'!$C$25)*(100%-'Données projet'!$C$26)*(100%-'Données projet'!$C$27)</f>
        <v>24.707755800000001</v>
      </c>
      <c r="L6" s="151">
        <f ca="1">G6+I6+K6</f>
        <v>1171.2060834340789</v>
      </c>
    </row>
    <row r="7" spans="1:12" x14ac:dyDescent="0.25">
      <c r="A7" s="152" t="str">
        <f>IF('Données projet'!$B$10="","",'Données projet'!$B$10)</f>
        <v>Pin laricio</v>
      </c>
      <c r="B7" s="153">
        <f>'Données projet'!D10</f>
        <v>0.25031199999999998</v>
      </c>
      <c r="C7" s="146">
        <f ca="1">IF(OR('Données projet'!B10="",'Données projet'!C10="",'Données projet'!C10=0%),0,Calculateur!AN3)</f>
        <v>263.03078346375446</v>
      </c>
      <c r="D7" s="146">
        <f>IF(OR('Données projet'!B10="",'Données projet'!C10="",'Données projet'!C10=0%),0,Calculateur!AO3)</f>
        <v>251.74283929680905</v>
      </c>
      <c r="E7" s="146">
        <f t="shared" ref="E7:E15" ca="1" si="0">MIN(C7,D7)</f>
        <v>251.74283929680905</v>
      </c>
      <c r="F7" s="146">
        <f t="shared" ref="F7:F15" ca="1" si="1">E7*B7</f>
        <v>63.014253590062864</v>
      </c>
      <c r="G7" s="146">
        <f ca="1">F7*(100%-'Données projet'!$C$24)*(100%-'Données projet'!$C$25)*(100%-'Données projet'!$C$26)*(100%-'Données projet'!$C$27)</f>
        <v>56.712828231056577</v>
      </c>
      <c r="H7" s="154">
        <f>IF(OR('Données projet'!B10="",'Données projet'!C10="",'Données projet'!C10=0%),0,AVERAGE(Calculateur!$AX$3:$AX$33)*B7)</f>
        <v>0.2756008373085948</v>
      </c>
      <c r="I7" s="148">
        <f>H7*(100%-'Données projet'!$C$24)*(100%-'Données projet'!$C$25)*(100%-'Données projet'!$C$26)*(100%-'Données projet'!$C$27)</f>
        <v>0.24804075357773533</v>
      </c>
      <c r="J7" s="149">
        <f>IF(OR('Données projet'!B10="",'Données projet'!C10="",'Données projet'!C10=0%),0,SUM(Calculateur!$AQ$3:$AQ$33)*VLOOKUP('Données projet'!$B$10,Paramètres!$A$1:$I$89,9,0)*B7)</f>
        <v>1.8297807199999998</v>
      </c>
      <c r="K7" s="150">
        <f>J7*(100%-'Données projet'!$C$24)*(100%-'Données projet'!$C$25)*(100%-'Données projet'!$C$26)*(100%-'Données projet'!$C$27)</f>
        <v>1.6468026479999998</v>
      </c>
      <c r="L7" s="151">
        <f t="shared" ref="L7:L15" ca="1" si="2">G7+I7+K7</f>
        <v>58.607671632634307</v>
      </c>
    </row>
    <row r="8" spans="1:12" x14ac:dyDescent="0.25">
      <c r="A8" s="152" t="str">
        <f>IF('Données projet'!$B$11="","",'Données projet'!$B$11)</f>
        <v>Cèdre de l'Atlas</v>
      </c>
      <c r="B8" s="153">
        <f>'Données projet'!D11</f>
        <v>0.25031199999999998</v>
      </c>
      <c r="C8" s="146">
        <f ca="1">IF(OR('Données projet'!B11="",'Données projet'!C11="",'Données projet'!C11=0%),0,Calculateur!BI3)</f>
        <v>141.78548348627351</v>
      </c>
      <c r="D8" s="146">
        <f>IF(OR('Données projet'!B11="",'Données projet'!C11="",'Données projet'!C11=0%),0,Calculateur!BJ3)</f>
        <v>162.67012146297657</v>
      </c>
      <c r="E8" s="146">
        <f t="shared" ca="1" si="0"/>
        <v>141.78548348627351</v>
      </c>
      <c r="F8" s="146">
        <f t="shared" ca="1" si="1"/>
        <v>35.490607942416091</v>
      </c>
      <c r="G8" s="146">
        <f ca="1">F8*(100%-'Données projet'!$C$24)*(100%-'Données projet'!$C$25)*(100%-'Données projet'!$C$26)*(100%-'Données projet'!$C$27)</f>
        <v>31.941547148174482</v>
      </c>
      <c r="H8" s="154">
        <f>IF(OR('Données projet'!B11="",'Données projet'!C11="",'Données projet'!C11=0%),0,AVERAGE(Calculateur!$BS$3:$BS$33)*B8)</f>
        <v>9.4835726980605939E-2</v>
      </c>
      <c r="I8" s="148">
        <f>H8*(100%-'Données projet'!$C$24)*(100%-'Données projet'!$C$25)*(100%-'Données projet'!$C$26)*(100%-'Données projet'!$C$27)</f>
        <v>8.5352154282545348E-2</v>
      </c>
      <c r="J8" s="149">
        <f>IF(OR('Données projet'!B11="",'Données projet'!C11="",'Données projet'!C11=0%),0,SUM(Calculateur!$BL$3:$BL$33)*VLOOKUP('Données projet'!$B$11,Paramètres!$A$1:$I$89,9,0)*B8)</f>
        <v>2.9061223199999997</v>
      </c>
      <c r="K8" s="150">
        <f>J8*(100%-'Données projet'!$C$24)*(100%-'Données projet'!$C$25)*(100%-'Données projet'!$C$26)*(100%-'Données projet'!$C$27)</f>
        <v>2.6155100879999997</v>
      </c>
      <c r="L8" s="151">
        <f t="shared" ca="1" si="2"/>
        <v>34.642409390457026</v>
      </c>
    </row>
    <row r="9" spans="1:12" x14ac:dyDescent="0.25">
      <c r="A9" s="152" t="str">
        <f>IF('Données projet'!$B$12="","",'Données projet'!$B$12)</f>
        <v/>
      </c>
      <c r="B9" s="153">
        <f>'Données projet'!D12</f>
        <v>0</v>
      </c>
      <c r="C9" s="146">
        <f>IF(OR('Données projet'!B12="",'Données projet'!C12="",'Données projet'!C12=0%),0,Calculateur!CD3)</f>
        <v>0</v>
      </c>
      <c r="D9" s="146">
        <f>IF(OR('Données projet'!B12="",'Données projet'!C12="",'Données projet'!C12=0%),0,Calculateur!CE3)</f>
        <v>0</v>
      </c>
      <c r="E9" s="146">
        <f t="shared" si="0"/>
        <v>0</v>
      </c>
      <c r="F9" s="146">
        <f t="shared" si="1"/>
        <v>0</v>
      </c>
      <c r="G9" s="146">
        <f>F9*(100%-'Données projet'!$C$24)*(100%-'Données projet'!$C$25)*(100%-'Données projet'!$C$26)*(100%-'Données projet'!$C$27)</f>
        <v>0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0</v>
      </c>
      <c r="K9" s="150">
        <f>J9*(100%-'Données projet'!$C$24)*(100%-'Données projet'!$C$25)*(100%-'Données projet'!$C$26)*(100%-'Données projet'!$C$27)</f>
        <v>0</v>
      </c>
      <c r="L9" s="151">
        <f t="shared" si="2"/>
        <v>0</v>
      </c>
    </row>
    <row r="10" spans="1:12" x14ac:dyDescent="0.25">
      <c r="A10" s="152" t="str">
        <f>IF('Données projet'!$B$13="","",'Données projet'!$B$13)</f>
        <v/>
      </c>
      <c r="B10" s="153">
        <f>'Données projet'!D13</f>
        <v>0</v>
      </c>
      <c r="C10" s="146">
        <f>IF(OR('Données projet'!B13="",'Données projet'!C13="",'Données projet'!C13=0%),0,Calculateur!CY3)</f>
        <v>0</v>
      </c>
      <c r="D10" s="146">
        <f>IF(OR('Données projet'!B13="",'Données projet'!C13="",'Données projet'!C13=0%),0,Calculateur!CZ3)</f>
        <v>0</v>
      </c>
      <c r="E10" s="146">
        <f t="shared" si="0"/>
        <v>0</v>
      </c>
      <c r="F10" s="146">
        <f t="shared" si="1"/>
        <v>0</v>
      </c>
      <c r="G10" s="146">
        <f>F10*(100%-'Données projet'!$C$24)*(100%-'Données projet'!$C$25)*(100%-'Données projet'!$C$26)*(100%-'Données projet'!$C$27)</f>
        <v>0</v>
      </c>
      <c r="H10" s="154">
        <f>IF(OR('Données projet'!B13="",'Données projet'!C13="",'Données projet'!C13=0%),0,AVERAGE(Calculateur!$DI$3:$DI$33)*B10)</f>
        <v>0</v>
      </c>
      <c r="I10" s="148">
        <f>H10*(100%-'Données projet'!$C$24)*(100%-'Données projet'!$C$25)*(100%-'Données projet'!$C$26)*(100%-'Données projet'!$C$27)</f>
        <v>0</v>
      </c>
      <c r="J10" s="149">
        <f>IF(OR('Données projet'!B13="",'Données projet'!C13="",'Données projet'!C13=0%),0,SUM(Calculateur!$DB$3:$DB$33)*VLOOKUP('Données projet'!$B$13,Paramètres!$A$1:$I$89,9,0)*B10)</f>
        <v>0</v>
      </c>
      <c r="K10" s="150">
        <f>J10*(100%-'Données projet'!$C$24)*(100%-'Données projet'!$C$25)*(100%-'Données projet'!$C$26)*(100%-'Données projet'!$C$27)</f>
        <v>0</v>
      </c>
      <c r="L10" s="151">
        <f t="shared" si="2"/>
        <v>0</v>
      </c>
    </row>
    <row r="11" spans="1:12" x14ac:dyDescent="0.25">
      <c r="A11" s="152" t="str">
        <f>IF('Données projet'!$B$14="","",'Données projet'!$B$14)</f>
        <v/>
      </c>
      <c r="B11" s="153">
        <f>'Données projet'!D14</f>
        <v>0</v>
      </c>
      <c r="C11" s="146">
        <f>IF(OR('Données projet'!B14="",'Données projet'!C14="",'Données projet'!C14=0%),0,Calculateur!DT3)</f>
        <v>0</v>
      </c>
      <c r="D11" s="146">
        <f>IF(OR('Données projet'!B14="",'Données projet'!C14="",'Données projet'!C14=0%),0,Calculateur!DU3)</f>
        <v>0</v>
      </c>
      <c r="E11" s="146">
        <f t="shared" si="0"/>
        <v>0</v>
      </c>
      <c r="F11" s="146">
        <f t="shared" si="1"/>
        <v>0</v>
      </c>
      <c r="G11" s="146">
        <f>F11*(100%-'Données projet'!$C$24)*(100%-'Données projet'!$C$25)*(100%-'Données projet'!$C$26)*(100%-'Données projet'!$C$27)</f>
        <v>0</v>
      </c>
      <c r="H11" s="154">
        <f>IF(OR('Données projet'!B14="",'Données projet'!C14="",'Données projet'!C14=0%),0,AVERAGE(Calculateur!$ED$3:$ED$33)*B11)</f>
        <v>0</v>
      </c>
      <c r="I11" s="148">
        <f>H11*(100%-'Données projet'!$C$24)*(100%-'Données projet'!$C$25)*(100%-'Données projet'!$C$26)*(100%-'Données projet'!$C$27)</f>
        <v>0</v>
      </c>
      <c r="J11" s="149">
        <f>IF(OR('Données projet'!B14="",'Données projet'!C14="",'Données projet'!C14=0%),0,SUM(Calculateur!$DW$3:$DW$33)*VLOOKUP('Données projet'!$B$14,Paramètres!$A$1:$I$89,9,0)*B11)</f>
        <v>0</v>
      </c>
      <c r="K11" s="150">
        <f>J11*(100%-'Données projet'!$C$24)*(100%-'Données projet'!$C$25)*(100%-'Données projet'!$C$26)*(100%-'Données projet'!$C$27)</f>
        <v>0</v>
      </c>
      <c r="L11" s="151">
        <f t="shared" si="2"/>
        <v>0</v>
      </c>
    </row>
    <row r="12" spans="1:12" x14ac:dyDescent="0.25">
      <c r="A12" s="152" t="str">
        <f>IF('Données projet'!$B$15="","",'Données projet'!$B$15)</f>
        <v/>
      </c>
      <c r="B12" s="153">
        <f>'Données projet'!D15</f>
        <v>0</v>
      </c>
      <c r="C12" s="146">
        <f>IF(OR('Données projet'!B15="",'Données projet'!C15="",'Données projet'!C15=0%),0,Calculateur!EO3)</f>
        <v>0</v>
      </c>
      <c r="D12" s="146">
        <f>IF(OR('Données projet'!B15="",'Données projet'!C15="",'Données projet'!C15=0%),0,Calculateur!EP3)</f>
        <v>0</v>
      </c>
      <c r="E12" s="146">
        <f t="shared" si="0"/>
        <v>0</v>
      </c>
      <c r="F12" s="146">
        <f t="shared" si="1"/>
        <v>0</v>
      </c>
      <c r="G12" s="146">
        <f>F12*(100%-'Données projet'!$C$24)*(100%-'Données projet'!$C$25)*(100%-'Données projet'!$C$26)*(100%-'Données projet'!$C$27)</f>
        <v>0</v>
      </c>
      <c r="H12" s="154">
        <f>IF(OR('Données projet'!B15="",'Données projet'!C15="",'Données projet'!C15=0%),0,AVERAGE(Calculateur!$EY$3:$EY$33)*B12)</f>
        <v>0</v>
      </c>
      <c r="I12" s="148">
        <f>H12*(100%-'Données projet'!$C$24)*(100%-'Données projet'!$C$25)*(100%-'Données projet'!$C$26)*(100%-'Données projet'!$C$27)</f>
        <v>0</v>
      </c>
      <c r="J12" s="149">
        <f>IF(OR('Données projet'!B15="",'Données projet'!C15="",'Données projet'!C15=0%),0,SUM(Calculateur!$ER$3:$ER$33)*VLOOKUP('Données projet'!$B$15,Paramètres!$A$1:$I$89,9,0)*B12)</f>
        <v>0</v>
      </c>
      <c r="K12" s="150">
        <f>J12*(100%-'Données projet'!$C$24)*(100%-'Données projet'!$C$25)*(100%-'Données projet'!$C$26)*(100%-'Données projet'!$C$27)</f>
        <v>0</v>
      </c>
      <c r="L12" s="151">
        <f t="shared" si="2"/>
        <v>0</v>
      </c>
    </row>
    <row r="13" spans="1:12" x14ac:dyDescent="0.25">
      <c r="A13" s="152" t="str">
        <f>IF('Données projet'!$B$16="","",'Données projet'!$B$16)</f>
        <v/>
      </c>
      <c r="B13" s="153">
        <f>'Données projet'!D16</f>
        <v>0</v>
      </c>
      <c r="C13" s="146">
        <f>IF(OR('Données projet'!B16="",'Données projet'!C16="",'Données projet'!C16=0%),0,Calculateur!FJ3)</f>
        <v>0</v>
      </c>
      <c r="D13" s="146">
        <f>IF(OR('Données projet'!B16="",'Données projet'!C16="",'Données projet'!C16=0%),0,Calculateur!FK3)</f>
        <v>0</v>
      </c>
      <c r="E13" s="146">
        <f t="shared" si="0"/>
        <v>0</v>
      </c>
      <c r="F13" s="146">
        <f t="shared" si="1"/>
        <v>0</v>
      </c>
      <c r="G13" s="146">
        <f>F13*(100%-'Données projet'!$C$24)*(100%-'Données projet'!$C$25)*(100%-'Données projet'!$C$26)*(100%-'Données projet'!$C$27)</f>
        <v>0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0</v>
      </c>
      <c r="K13" s="150">
        <f>J13*(100%-'Données projet'!$C$24)*(100%-'Données projet'!$C$25)*(100%-'Données projet'!$C$26)*(100%-'Données projet'!$C$27)</f>
        <v>0</v>
      </c>
      <c r="L13" s="151">
        <f t="shared" si="2"/>
        <v>0</v>
      </c>
    </row>
    <row r="14" spans="1:12" x14ac:dyDescent="0.25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</row>
    <row r="15" spans="1:12" ht="15.75" thickBot="1" x14ac:dyDescent="0.3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</row>
    <row r="16" spans="1:12" ht="15.75" thickBot="1" x14ac:dyDescent="0.3">
      <c r="A16" s="208"/>
      <c r="B16" s="212"/>
      <c r="C16" s="213"/>
      <c r="D16" s="23"/>
      <c r="E16" s="23"/>
      <c r="F16" s="164">
        <f t="shared" ref="F16:L16" ca="1" si="3">SUM(F6:F15)</f>
        <v>1372.391892237011</v>
      </c>
      <c r="G16" s="165">
        <f t="shared" ca="1" si="3"/>
        <v>1235.15270301331</v>
      </c>
      <c r="H16" s="166">
        <f t="shared" si="3"/>
        <v>0.37043656428920074</v>
      </c>
      <c r="I16" s="166">
        <f t="shared" si="3"/>
        <v>0.3333929078602807</v>
      </c>
      <c r="J16" s="167">
        <f t="shared" si="3"/>
        <v>32.188965039999999</v>
      </c>
      <c r="K16" s="167">
        <f t="shared" si="3"/>
        <v>28.970068536000003</v>
      </c>
      <c r="L16" s="168">
        <f t="shared" ca="1" si="3"/>
        <v>1264.4561644571702</v>
      </c>
    </row>
    <row r="17" spans="1:12" x14ac:dyDescent="0.25">
      <c r="A17" s="208"/>
      <c r="B17" s="212"/>
      <c r="C17" s="213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</row>
    <row r="18" spans="1:12" x14ac:dyDescent="0.25">
      <c r="A18" s="208"/>
      <c r="B18" s="212"/>
      <c r="C18" s="213"/>
      <c r="D18" s="23"/>
      <c r="E18" s="23"/>
      <c r="F18" s="271"/>
      <c r="G18" s="271"/>
      <c r="H18" s="271"/>
      <c r="I18" s="271"/>
      <c r="J18" s="271"/>
      <c r="K18" s="271"/>
      <c r="L18" s="271"/>
    </row>
    <row r="19" spans="1:1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2" ht="15.75" thickBot="1" x14ac:dyDescent="0.3">
      <c r="A21" s="169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</row>
    <row r="39" spans="1:1" ht="15.75" thickBot="1" x14ac:dyDescent="0.3">
      <c r="A39" s="169" t="str">
        <f>A7</f>
        <v>Pin laricio</v>
      </c>
    </row>
    <row r="57" spans="1:1" ht="15.75" thickBot="1" x14ac:dyDescent="0.3">
      <c r="A57" s="169" t="str">
        <f>A8</f>
        <v>Cèdre de l'Atlas</v>
      </c>
    </row>
    <row r="76" spans="1:1" ht="15.75" thickBot="1" x14ac:dyDescent="0.3">
      <c r="A76" s="169" t="str">
        <f>A9</f>
        <v/>
      </c>
    </row>
    <row r="94" spans="1:1" ht="15.75" thickBot="1" x14ac:dyDescent="0.3">
      <c r="A94" s="169" t="str">
        <f>A10</f>
        <v/>
      </c>
    </row>
    <row r="112" spans="1:1" ht="15.75" thickBot="1" x14ac:dyDescent="0.3">
      <c r="A112" s="169" t="str">
        <f>A11</f>
        <v/>
      </c>
    </row>
    <row r="130" spans="1:1" ht="15.75" thickBot="1" x14ac:dyDescent="0.3">
      <c r="A130" s="169" t="str">
        <f>A12</f>
        <v/>
      </c>
    </row>
    <row r="148" spans="1:1" ht="15.75" thickBot="1" x14ac:dyDescent="0.3">
      <c r="A148" s="169" t="str">
        <f>A13</f>
        <v/>
      </c>
    </row>
    <row r="166" spans="1:1" ht="15.75" thickBot="1" x14ac:dyDescent="0.3">
      <c r="A166" s="169" t="str">
        <f>A14</f>
        <v/>
      </c>
    </row>
    <row r="184" spans="1:1" ht="15.75" thickBot="1" x14ac:dyDescent="0.3">
      <c r="A184" s="169" t="str">
        <f>A15</f>
        <v/>
      </c>
    </row>
  </sheetData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2:V321"/>
  <sheetViews>
    <sheetView tabSelected="1" topLeftCell="A6" zoomScale="90" zoomScaleNormal="90" workbookViewId="0">
      <selection activeCell="F11" sqref="F1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2" spans="1:22" ht="27" thickBot="1" x14ac:dyDescent="0.4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</row>
    <row r="3" spans="1:22" x14ac:dyDescent="0.25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4">
        <v>4.4999999999999998E-2</v>
      </c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5.75" thickBot="1" x14ac:dyDescent="0.3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7.75" customHeight="1" thickBot="1" x14ac:dyDescent="0.45">
      <c r="A7" s="239"/>
      <c r="B7" s="240"/>
      <c r="C7" s="240"/>
      <c r="D7" s="240"/>
      <c r="E7" s="241"/>
      <c r="F7" s="241" t="s">
        <v>4</v>
      </c>
      <c r="G7" s="242"/>
      <c r="H7" s="240"/>
      <c r="I7" s="240"/>
      <c r="J7" s="243"/>
      <c r="K7" s="237"/>
      <c r="L7" s="238"/>
      <c r="M7" s="238"/>
      <c r="N7" s="244" t="s">
        <v>56</v>
      </c>
      <c r="O7" s="244"/>
      <c r="P7" s="245"/>
      <c r="Q7" s="246"/>
      <c r="R7" s="296" t="s">
        <v>294</v>
      </c>
      <c r="S7" s="297"/>
      <c r="T7" s="297"/>
      <c r="U7" s="297"/>
      <c r="V7" s="298"/>
    </row>
    <row r="8" spans="1:2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</row>
    <row r="9" spans="1:22" x14ac:dyDescent="0.25">
      <c r="A9" s="93" t="s">
        <v>295</v>
      </c>
      <c r="C9" s="23"/>
      <c r="D9" s="23"/>
      <c r="E9" s="23"/>
      <c r="F9" s="228"/>
      <c r="G9" s="93" t="s">
        <v>296</v>
      </c>
      <c r="J9" s="199"/>
      <c r="K9" s="207"/>
      <c r="O9" s="23"/>
      <c r="P9" s="23"/>
      <c r="Q9" s="232"/>
      <c r="R9" s="23"/>
      <c r="S9" s="4"/>
      <c r="T9" s="36" t="s">
        <v>297</v>
      </c>
      <c r="U9" s="175" t="s">
        <v>298</v>
      </c>
      <c r="V9" s="36" t="s">
        <v>299</v>
      </c>
    </row>
    <row r="10" spans="1:22" x14ac:dyDescent="0.25">
      <c r="A10" s="93" t="s">
        <v>300</v>
      </c>
      <c r="C10" s="23"/>
      <c r="D10" s="23"/>
      <c r="E10" s="23"/>
      <c r="F10" s="228"/>
      <c r="G10" s="93" t="s">
        <v>301</v>
      </c>
      <c r="J10" s="199"/>
      <c r="K10" s="207"/>
      <c r="O10" s="23"/>
      <c r="P10" s="23"/>
      <c r="Q10" s="232"/>
      <c r="R10" s="23"/>
      <c r="S10" s="36" t="str">
        <f>B14</f>
        <v>Robinier faux-acacia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1096.011360889906</v>
      </c>
      <c r="U10" s="177">
        <f>'Données projet'!D9</f>
        <v>3.2297720000000001</v>
      </c>
      <c r="V10" s="176">
        <f>U10*T10</f>
        <v>3539.8668050841134</v>
      </c>
    </row>
    <row r="11" spans="1:22" x14ac:dyDescent="0.25">
      <c r="A11" s="93" t="s">
        <v>302</v>
      </c>
      <c r="B11" s="23"/>
      <c r="C11" s="23"/>
      <c r="D11" s="23"/>
      <c r="E11" s="23"/>
      <c r="F11" s="228"/>
      <c r="G11" s="93" t="s">
        <v>303</v>
      </c>
      <c r="J11" s="199"/>
      <c r="K11" s="207"/>
      <c r="M11" s="4"/>
      <c r="N11" s="4"/>
      <c r="O11" s="23"/>
      <c r="P11" s="23"/>
      <c r="Q11" s="232"/>
      <c r="R11" s="23"/>
      <c r="S11" s="36" t="str">
        <f>B45</f>
        <v>Pin laricio</v>
      </c>
      <c r="T11" s="23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-392.48840710320155</v>
      </c>
      <c r="U11" s="177">
        <f>'Données projet'!D10</f>
        <v>0.25031199999999998</v>
      </c>
      <c r="V11" s="176">
        <f t="shared" ref="V11" si="0">U11*T11</f>
        <v>-98.244558158816574</v>
      </c>
    </row>
    <row r="12" spans="1:22" x14ac:dyDescent="0.25">
      <c r="B12" s="23"/>
      <c r="C12" s="23"/>
      <c r="D12" s="23"/>
      <c r="E12" s="23"/>
      <c r="F12" s="228"/>
      <c r="J12" s="199"/>
      <c r="K12" s="207"/>
      <c r="L12" s="201"/>
      <c r="M12" s="23"/>
      <c r="N12" s="23"/>
      <c r="O12" s="23"/>
      <c r="P12" s="23"/>
      <c r="Q12" s="232"/>
      <c r="R12" s="23"/>
      <c r="S12" s="36" t="str">
        <f>B76</f>
        <v>Cèdre de l'Atlas</v>
      </c>
      <c r="T12" s="23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-2112.8333885824763</v>
      </c>
      <c r="U12" s="177">
        <f>'Données projet'!D11</f>
        <v>0.25031199999999998</v>
      </c>
      <c r="V12" s="176">
        <f t="shared" ref="V12:V19" si="1">U12*T12</f>
        <v>-528.86755116285678</v>
      </c>
    </row>
    <row r="13" spans="1:22" x14ac:dyDescent="0.25">
      <c r="B13" s="23"/>
      <c r="C13" s="23"/>
      <c r="D13" s="23"/>
      <c r="E13" s="23"/>
      <c r="F13" s="228"/>
      <c r="J13" s="23"/>
      <c r="K13" s="207"/>
      <c r="L13" s="93" t="s">
        <v>304</v>
      </c>
      <c r="M13" s="23"/>
      <c r="N13" s="23"/>
      <c r="O13" s="23"/>
      <c r="P13" s="23"/>
      <c r="Q13" s="232"/>
      <c r="R13" s="23"/>
      <c r="S13" s="36" t="str">
        <f>B107</f>
        <v/>
      </c>
      <c r="T13" s="23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7">
        <f>'Données projet'!D12</f>
        <v>0</v>
      </c>
      <c r="V13" s="176">
        <f t="shared" si="1"/>
        <v>0</v>
      </c>
    </row>
    <row r="14" spans="1:22" x14ac:dyDescent="0.25">
      <c r="A14" s="46" t="s">
        <v>15</v>
      </c>
      <c r="B14" s="173" t="str">
        <f>IF('Données projet'!$B$9="","",'Données projet'!$B$9)</f>
        <v>Robinier faux-acacia</v>
      </c>
      <c r="C14" s="4"/>
      <c r="D14" s="4"/>
      <c r="E14" s="4"/>
      <c r="F14" s="228"/>
      <c r="G14" s="23"/>
      <c r="H14" s="36" t="s">
        <v>75</v>
      </c>
      <c r="I14" s="36" t="s">
        <v>305</v>
      </c>
      <c r="J14" s="200"/>
      <c r="K14" s="172"/>
      <c r="L14" s="201"/>
      <c r="M14" s="23"/>
      <c r="N14" s="23"/>
      <c r="O14" s="4"/>
      <c r="P14" s="4"/>
      <c r="Q14" s="233"/>
      <c r="R14" s="4"/>
      <c r="S14" s="36" t="str">
        <f>B138</f>
        <v/>
      </c>
      <c r="T14" s="23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7">
        <f>'Données projet'!D13</f>
        <v>0</v>
      </c>
      <c r="V14" s="176">
        <f t="shared" si="1"/>
        <v>0</v>
      </c>
    </row>
    <row r="15" spans="1:22" ht="15" customHeight="1" x14ac:dyDescent="0.25">
      <c r="A15" s="4"/>
      <c r="B15" s="4"/>
      <c r="C15" s="4"/>
      <c r="D15" s="4"/>
      <c r="E15" s="4"/>
      <c r="F15" s="228"/>
      <c r="G15" s="289" t="s">
        <v>306</v>
      </c>
      <c r="H15" s="189">
        <v>0</v>
      </c>
      <c r="I15" s="190">
        <v>0</v>
      </c>
      <c r="J15" s="201"/>
      <c r="K15" s="207"/>
      <c r="L15" s="201"/>
      <c r="M15" s="23"/>
      <c r="N15" s="23"/>
      <c r="O15" s="23"/>
      <c r="P15" s="23"/>
      <c r="Q15" s="232"/>
      <c r="R15" s="23"/>
      <c r="S15" s="36" t="str">
        <f>B169</f>
        <v/>
      </c>
      <c r="T15" s="23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7">
        <f>'Données projet'!D14</f>
        <v>0</v>
      </c>
      <c r="V15" s="176">
        <f t="shared" si="1"/>
        <v>0</v>
      </c>
    </row>
    <row r="16" spans="1:22" ht="15" customHeight="1" x14ac:dyDescent="0.25">
      <c r="A16" s="36" t="s">
        <v>47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28"/>
      <c r="G16" s="289"/>
      <c r="H16" s="189"/>
      <c r="I16" s="190"/>
      <c r="J16" s="201"/>
      <c r="K16" s="207"/>
      <c r="L16" s="286" t="s">
        <v>311</v>
      </c>
      <c r="M16" s="287"/>
      <c r="N16" s="2">
        <v>50</v>
      </c>
      <c r="O16" s="23"/>
      <c r="P16" s="23"/>
      <c r="Q16" s="232"/>
      <c r="R16" s="23"/>
      <c r="S16" s="36" t="str">
        <f>B200</f>
        <v/>
      </c>
      <c r="T16" s="23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7">
        <f>'Données projet'!D15</f>
        <v>0</v>
      </c>
      <c r="V16" s="176">
        <f t="shared" si="1"/>
        <v>0</v>
      </c>
    </row>
    <row r="17" spans="1:22" x14ac:dyDescent="0.25">
      <c r="A17" s="49">
        <v>0</v>
      </c>
      <c r="B17" s="198" t="s">
        <v>195</v>
      </c>
      <c r="C17" s="197" t="s">
        <v>195</v>
      </c>
      <c r="D17" s="196" t="s">
        <v>195</v>
      </c>
      <c r="E17" s="192">
        <f>(0.79*1330)*1.055+(0.51*1330)*1.1</f>
        <v>1854.6185</v>
      </c>
      <c r="F17" s="228"/>
      <c r="G17" s="289"/>
      <c r="J17" s="201"/>
      <c r="K17" s="207"/>
      <c r="L17" s="259" t="s">
        <v>312</v>
      </c>
      <c r="M17" s="261"/>
      <c r="N17" s="174">
        <f>VLOOKUP(N16,Calculateur!$A$2:$H$153,3,0)/VLOOKUP('Scénario référence'!$G$15,Paramètres!A1:I89,3,0)/VLOOKUP('Scénario référence'!$G$15,Paramètres!A1:I89,5,0)</f>
        <v>50.000000000000028</v>
      </c>
      <c r="O17" s="23"/>
      <c r="P17" s="23"/>
      <c r="Q17" s="232"/>
      <c r="R17" s="23"/>
      <c r="S17" s="36" t="str">
        <f>B231</f>
        <v/>
      </c>
      <c r="T17" s="23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7">
        <f>'Données projet'!D16</f>
        <v>0</v>
      </c>
      <c r="V17" s="176">
        <f t="shared" si="1"/>
        <v>0</v>
      </c>
    </row>
    <row r="18" spans="1:22" x14ac:dyDescent="0.25">
      <c r="A18" s="49">
        <v>1</v>
      </c>
      <c r="B18" s="198" t="s">
        <v>195</v>
      </c>
      <c r="C18" s="197" t="s">
        <v>195</v>
      </c>
      <c r="D18" s="196" t="s">
        <v>195</v>
      </c>
      <c r="E18" s="192"/>
      <c r="F18" s="228"/>
      <c r="G18" s="289"/>
      <c r="J18" s="201"/>
      <c r="K18" s="207"/>
      <c r="L18" s="259" t="s">
        <v>308</v>
      </c>
      <c r="M18" s="261"/>
      <c r="N18" s="191">
        <v>10</v>
      </c>
      <c r="O18" s="23"/>
      <c r="P18" s="23"/>
      <c r="Q18" s="232"/>
      <c r="R18" s="23"/>
      <c r="S18" s="36" t="str">
        <f>B262</f>
        <v/>
      </c>
      <c r="T18" s="23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7">
        <f>'Données projet'!D17</f>
        <v>0</v>
      </c>
      <c r="V18" s="176">
        <f t="shared" si="1"/>
        <v>0</v>
      </c>
    </row>
    <row r="19" spans="1:22" ht="17.25" customHeight="1" x14ac:dyDescent="0.25">
      <c r="A19" s="49">
        <v>2</v>
      </c>
      <c r="B19" s="198" t="s">
        <v>195</v>
      </c>
      <c r="C19" s="197" t="s">
        <v>195</v>
      </c>
      <c r="D19" s="196" t="s">
        <v>195</v>
      </c>
      <c r="E19" s="192"/>
      <c r="F19" s="228"/>
      <c r="G19" s="289"/>
      <c r="H19" s="211" t="s">
        <v>75</v>
      </c>
      <c r="I19" s="211" t="s">
        <v>313</v>
      </c>
      <c r="J19" s="93"/>
      <c r="K19" s="172"/>
      <c r="L19" s="286" t="s">
        <v>314</v>
      </c>
      <c r="M19" s="287"/>
      <c r="N19" s="178">
        <f>N17*N18</f>
        <v>500.00000000000028</v>
      </c>
      <c r="O19" s="23"/>
      <c r="P19" s="4"/>
      <c r="Q19" s="233"/>
      <c r="R19" s="4"/>
      <c r="S19" s="36" t="str">
        <f>B293</f>
        <v/>
      </c>
      <c r="T19" s="23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7">
        <f>'Données projet'!D18</f>
        <v>0</v>
      </c>
      <c r="V19" s="176">
        <f t="shared" si="1"/>
        <v>0</v>
      </c>
    </row>
    <row r="20" spans="1:22" x14ac:dyDescent="0.25">
      <c r="A20" s="49">
        <v>3</v>
      </c>
      <c r="B20" s="198" t="s">
        <v>195</v>
      </c>
      <c r="C20" s="197" t="s">
        <v>195</v>
      </c>
      <c r="D20" s="196" t="s">
        <v>195</v>
      </c>
      <c r="E20" s="192"/>
      <c r="F20" s="228"/>
      <c r="G20" s="289"/>
      <c r="H20" s="189">
        <v>0</v>
      </c>
      <c r="I20" s="190">
        <f>1100*1.1+240*1.1+(0.7*600/3.73)*1.2</f>
        <v>1609.1206434316355</v>
      </c>
      <c r="J20" s="4"/>
      <c r="K20" s="172"/>
      <c r="O20" s="23"/>
      <c r="P20" s="4"/>
      <c r="Q20" s="233"/>
      <c r="R20" s="4"/>
    </row>
    <row r="21" spans="1:22" x14ac:dyDescent="0.25">
      <c r="A21" s="49">
        <v>4</v>
      </c>
      <c r="B21" s="198" t="s">
        <v>195</v>
      </c>
      <c r="C21" s="197" t="s">
        <v>195</v>
      </c>
      <c r="D21" s="196" t="s">
        <v>195</v>
      </c>
      <c r="E21" s="192"/>
      <c r="F21" s="228"/>
      <c r="H21" s="189">
        <v>1</v>
      </c>
      <c r="I21" s="190">
        <f>(600/3.73)*1.2+220*1.1</f>
        <v>435.02949061662201</v>
      </c>
      <c r="K21" s="172"/>
      <c r="O21" s="23"/>
      <c r="P21" s="4"/>
      <c r="Q21" s="233"/>
      <c r="R21" s="4"/>
    </row>
    <row r="22" spans="1:22" ht="15.75" customHeight="1" x14ac:dyDescent="0.25">
      <c r="A22" s="49">
        <v>5</v>
      </c>
      <c r="B22" s="198" t="s">
        <v>195</v>
      </c>
      <c r="C22" s="197" t="s">
        <v>195</v>
      </c>
      <c r="D22" s="196" t="s">
        <v>195</v>
      </c>
      <c r="E22" s="192"/>
      <c r="F22" s="228"/>
      <c r="H22" s="189">
        <v>2</v>
      </c>
      <c r="I22" s="190">
        <f>(600/3.73)*1.2+380*1.1</f>
        <v>611.02949061662207</v>
      </c>
      <c r="K22" s="172"/>
      <c r="O22" s="23"/>
      <c r="P22" s="4"/>
      <c r="Q22" s="233"/>
      <c r="R22" s="4"/>
    </row>
    <row r="23" spans="1:22" ht="15.75" customHeight="1" x14ac:dyDescent="0.25">
      <c r="A23" s="179">
        <f>'Données projet'!A36</f>
        <v>5</v>
      </c>
      <c r="B23" s="180">
        <f>'Données projet'!D36</f>
        <v>0</v>
      </c>
      <c r="C23" s="192"/>
      <c r="D23" s="181">
        <f>B23*C23</f>
        <v>0</v>
      </c>
      <c r="E23" s="192"/>
      <c r="F23" s="228"/>
      <c r="H23" s="189">
        <v>3</v>
      </c>
      <c r="I23" s="190">
        <f>(600/3.73)*1.2+420*1.1+320*1.1</f>
        <v>1007.0294906166221</v>
      </c>
      <c r="K23" s="207"/>
      <c r="L23" s="288" t="s">
        <v>315</v>
      </c>
      <c r="M23" s="288"/>
      <c r="N23" s="288"/>
      <c r="O23" s="23"/>
      <c r="P23" s="23"/>
      <c r="Q23" s="232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-16737.994811325338</v>
      </c>
      <c r="U23" s="301"/>
      <c r="V23" s="301"/>
    </row>
    <row r="24" spans="1:22" ht="15.75" customHeight="1" x14ac:dyDescent="0.25">
      <c r="A24" s="179">
        <f>'Données projet'!A37</f>
        <v>10</v>
      </c>
      <c r="B24" s="180">
        <f>'Données projet'!D37</f>
        <v>34</v>
      </c>
      <c r="C24" s="192">
        <v>10</v>
      </c>
      <c r="D24" s="181">
        <f t="shared" ref="D24:D42" si="2">B24*C24</f>
        <v>340</v>
      </c>
      <c r="E24" s="192"/>
      <c r="F24" s="231"/>
      <c r="H24" s="189">
        <v>4</v>
      </c>
      <c r="I24" s="190">
        <f>(600/3.73)*1.2</f>
        <v>193.02949061662198</v>
      </c>
      <c r="K24" s="207"/>
      <c r="O24" s="23"/>
      <c r="P24" s="23"/>
      <c r="Q24" s="232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258.50703266979792</v>
      </c>
      <c r="U24" s="302"/>
      <c r="V24" s="302"/>
    </row>
    <row r="25" spans="1:22" ht="15.75" customHeight="1" x14ac:dyDescent="0.25">
      <c r="A25" s="179">
        <f>'Données projet'!A38</f>
        <v>15</v>
      </c>
      <c r="B25" s="180">
        <f>'Données projet'!D38</f>
        <v>0</v>
      </c>
      <c r="C25" s="192"/>
      <c r="D25" s="181">
        <f t="shared" si="2"/>
        <v>0</v>
      </c>
      <c r="E25" s="192"/>
      <c r="F25" s="231"/>
      <c r="H25" s="189">
        <v>5</v>
      </c>
      <c r="I25" s="190">
        <f>(600/3.73)*1.2+480*1.1</f>
        <v>721.02949061662196</v>
      </c>
      <c r="K25" s="207"/>
      <c r="L25" s="129" t="s">
        <v>318</v>
      </c>
      <c r="M25" s="129"/>
      <c r="N25" s="129"/>
      <c r="O25" s="129"/>
      <c r="P25" s="192"/>
      <c r="Q25" s="232"/>
      <c r="R25" s="23"/>
      <c r="S25" s="185" t="s">
        <v>319</v>
      </c>
      <c r="T25" s="303">
        <f ca="1">T23-T24</f>
        <v>-16996.501843995135</v>
      </c>
      <c r="U25" s="303"/>
      <c r="V25" s="303"/>
    </row>
    <row r="26" spans="1:22" ht="15.75" customHeight="1" x14ac:dyDescent="0.25">
      <c r="A26" s="179">
        <f>'Données projet'!A39</f>
        <v>20</v>
      </c>
      <c r="B26" s="180">
        <f>'Données projet'!D39</f>
        <v>0</v>
      </c>
      <c r="C26" s="192"/>
      <c r="D26" s="181">
        <f t="shared" si="2"/>
        <v>0</v>
      </c>
      <c r="E26" s="192"/>
      <c r="F26" s="231"/>
      <c r="G26" s="227"/>
      <c r="H26" s="189"/>
      <c r="I26" s="190"/>
      <c r="K26" s="207"/>
      <c r="L26" s="290" t="s">
        <v>320</v>
      </c>
      <c r="M26" s="291"/>
      <c r="N26" s="291"/>
      <c r="O26" s="291"/>
      <c r="P26" s="292"/>
      <c r="Q26" s="232"/>
      <c r="R26" s="23"/>
      <c r="S26" s="185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</row>
    <row r="27" spans="1:22" ht="15.75" customHeight="1" x14ac:dyDescent="0.25">
      <c r="A27" s="179">
        <f>'Données projet'!A40</f>
        <v>25</v>
      </c>
      <c r="B27" s="180">
        <f>'Données projet'!D40</f>
        <v>0</v>
      </c>
      <c r="C27" s="192"/>
      <c r="D27" s="181">
        <f t="shared" si="2"/>
        <v>0</v>
      </c>
      <c r="E27" s="192"/>
      <c r="F27" s="231"/>
      <c r="G27" s="227"/>
      <c r="H27" s="189"/>
      <c r="I27" s="190"/>
      <c r="K27" s="207"/>
      <c r="L27" s="293"/>
      <c r="M27" s="294"/>
      <c r="N27" s="294"/>
      <c r="O27" s="294"/>
      <c r="P27" s="295"/>
      <c r="Q27" s="232"/>
      <c r="R27" s="23"/>
      <c r="S27" s="299" t="s">
        <v>322</v>
      </c>
      <c r="T27" s="299"/>
      <c r="U27" s="299"/>
      <c r="V27" s="299"/>
    </row>
    <row r="28" spans="1:22" ht="15.75" customHeight="1" x14ac:dyDescent="0.25">
      <c r="A28" s="179">
        <f>'Données projet'!A41</f>
        <v>30</v>
      </c>
      <c r="B28" s="180">
        <f>'Données projet'!D41</f>
        <v>0</v>
      </c>
      <c r="C28" s="192"/>
      <c r="D28" s="181">
        <f t="shared" si="2"/>
        <v>0</v>
      </c>
      <c r="E28" s="192"/>
      <c r="F28" s="231"/>
      <c r="G28" s="204"/>
      <c r="H28" s="189"/>
      <c r="I28" s="190"/>
      <c r="K28" s="207"/>
      <c r="Q28" s="232"/>
      <c r="R28" s="23"/>
      <c r="S28" s="23"/>
      <c r="T28" s="23"/>
      <c r="U28" s="23"/>
      <c r="V28" s="23"/>
    </row>
    <row r="29" spans="1:22" x14ac:dyDescent="0.25">
      <c r="A29" s="179">
        <f>'Données projet'!A42</f>
        <v>35</v>
      </c>
      <c r="B29" s="180">
        <f>'Données projet'!D42</f>
        <v>0</v>
      </c>
      <c r="C29" s="192"/>
      <c r="D29" s="181">
        <f t="shared" si="2"/>
        <v>0</v>
      </c>
      <c r="E29" s="192"/>
      <c r="F29" s="231"/>
      <c r="G29" s="202"/>
      <c r="H29" s="189"/>
      <c r="I29" s="190"/>
      <c r="K29" s="207"/>
      <c r="O29" s="23"/>
      <c r="P29" s="23"/>
      <c r="Q29" s="232"/>
      <c r="R29" s="23"/>
    </row>
    <row r="30" spans="1:22" x14ac:dyDescent="0.25">
      <c r="A30" s="179">
        <f>'Données projet'!A43</f>
        <v>40</v>
      </c>
      <c r="B30" s="180">
        <f>'Données projet'!D43</f>
        <v>0</v>
      </c>
      <c r="C30" s="192"/>
      <c r="D30" s="181">
        <f t="shared" si="2"/>
        <v>0</v>
      </c>
      <c r="E30" s="192"/>
      <c r="F30" s="231"/>
      <c r="G30" s="202"/>
      <c r="H30" s="189"/>
      <c r="I30" s="190"/>
      <c r="K30" s="182"/>
      <c r="L30" s="36" t="s">
        <v>323</v>
      </c>
      <c r="M30" s="183">
        <f ca="1">SUM(OFFSET($P$33,0,0,MIN('Données projet'!$E$9:$E$18)+1,1))</f>
        <v>0</v>
      </c>
      <c r="O30" s="4"/>
      <c r="P30" s="4"/>
      <c r="Q30" s="233"/>
      <c r="R30" s="4"/>
    </row>
    <row r="31" spans="1:22" x14ac:dyDescent="0.25">
      <c r="A31" s="179">
        <f>'Données projet'!A44</f>
        <v>45</v>
      </c>
      <c r="B31" s="180">
        <f>'Données projet'!D44</f>
        <v>396</v>
      </c>
      <c r="C31" s="192">
        <v>50</v>
      </c>
      <c r="D31" s="181">
        <f t="shared" si="2"/>
        <v>19800</v>
      </c>
      <c r="E31" s="192"/>
      <c r="F31" s="231"/>
      <c r="G31" s="202"/>
      <c r="H31" s="189"/>
      <c r="I31" s="190"/>
      <c r="K31" s="172"/>
      <c r="Q31" s="232"/>
      <c r="R31" s="23"/>
    </row>
    <row r="32" spans="1:22" ht="15" customHeight="1" x14ac:dyDescent="0.25">
      <c r="A32" s="179">
        <f>'Données projet'!A45</f>
        <v>0</v>
      </c>
      <c r="B32" s="180">
        <f>'Données projet'!D45</f>
        <v>0</v>
      </c>
      <c r="C32" s="192"/>
      <c r="D32" s="181">
        <f t="shared" si="2"/>
        <v>0</v>
      </c>
      <c r="E32" s="192"/>
      <c r="F32" s="231"/>
      <c r="G32" s="202"/>
      <c r="H32" s="189"/>
      <c r="I32" s="190"/>
      <c r="K32" s="172"/>
      <c r="N32" s="4"/>
      <c r="O32" s="85" t="s">
        <v>75</v>
      </c>
      <c r="P32" s="85" t="s">
        <v>309</v>
      </c>
      <c r="Q32" s="232"/>
      <c r="R32" s="23"/>
    </row>
    <row r="33" spans="1:16" x14ac:dyDescent="0.25">
      <c r="A33" s="179">
        <f>'Données projet'!A46</f>
        <v>0</v>
      </c>
      <c r="B33" s="180">
        <f>'Données projet'!D46</f>
        <v>0</v>
      </c>
      <c r="C33" s="192"/>
      <c r="D33" s="181">
        <f t="shared" si="2"/>
        <v>0</v>
      </c>
      <c r="E33" s="192"/>
      <c r="F33" s="231"/>
      <c r="G33" s="202"/>
      <c r="H33" s="189"/>
      <c r="I33" s="190"/>
      <c r="K33" s="172"/>
      <c r="L33" s="4"/>
      <c r="M33" s="4"/>
      <c r="N33" s="4"/>
      <c r="O33" s="193">
        <v>0</v>
      </c>
      <c r="P33" s="184">
        <f>$P$25/(1+$M$4)^O33</f>
        <v>0</v>
      </c>
    </row>
    <row r="34" spans="1:16" x14ac:dyDescent="0.25">
      <c r="A34" s="179">
        <f>'Données projet'!A47</f>
        <v>0</v>
      </c>
      <c r="B34" s="180">
        <f>'Données projet'!D47</f>
        <v>0</v>
      </c>
      <c r="C34" s="192"/>
      <c r="D34" s="181">
        <f t="shared" si="2"/>
        <v>0</v>
      </c>
      <c r="E34" s="192"/>
      <c r="F34" s="231"/>
      <c r="G34" s="202"/>
      <c r="H34" s="189"/>
      <c r="I34" s="190"/>
      <c r="K34" s="172"/>
      <c r="L34" s="97"/>
      <c r="M34" s="97"/>
      <c r="N34" s="247"/>
      <c r="O34" s="193">
        <f>IF(O33+1&lt;=MIN('Données projet'!$E$9:$E$18),O33+1,"STOP")</f>
        <v>1</v>
      </c>
      <c r="P34" s="184">
        <f t="shared" ref="P33:P64" si="3">$P$25/(1+$M$4)^O34</f>
        <v>0</v>
      </c>
    </row>
    <row r="35" spans="1:16" x14ac:dyDescent="0.25">
      <c r="A35" s="179">
        <f>'Données projet'!A48</f>
        <v>0</v>
      </c>
      <c r="B35" s="180">
        <f>'Données projet'!D48</f>
        <v>0</v>
      </c>
      <c r="C35" s="192"/>
      <c r="D35" s="181">
        <f t="shared" si="2"/>
        <v>0</v>
      </c>
      <c r="E35" s="192"/>
      <c r="F35" s="231"/>
      <c r="G35" s="202"/>
      <c r="H35" s="189"/>
      <c r="I35" s="190"/>
      <c r="K35" s="172"/>
      <c r="L35" s="97"/>
      <c r="M35" s="97"/>
      <c r="N35" s="247"/>
      <c r="O35" s="193">
        <f>IF(O34+1&lt;=MIN('Données projet'!$E$9:$E$18),O34+1,"STOP")</f>
        <v>2</v>
      </c>
      <c r="P35" s="184">
        <f t="shared" si="3"/>
        <v>0</v>
      </c>
    </row>
    <row r="36" spans="1:16" x14ac:dyDescent="0.25">
      <c r="A36" s="179">
        <f>'Données projet'!A49</f>
        <v>0</v>
      </c>
      <c r="B36" s="180">
        <f>'Données projet'!D49</f>
        <v>0</v>
      </c>
      <c r="C36" s="192"/>
      <c r="D36" s="181">
        <f t="shared" si="2"/>
        <v>0</v>
      </c>
      <c r="E36" s="192"/>
      <c r="F36" s="231"/>
      <c r="G36" s="202"/>
      <c r="H36" s="189"/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0</v>
      </c>
    </row>
    <row r="37" spans="1:16" x14ac:dyDescent="0.25">
      <c r="A37" s="179">
        <f>'Données projet'!A50</f>
        <v>0</v>
      </c>
      <c r="B37" s="180">
        <f>'Données projet'!D50</f>
        <v>0</v>
      </c>
      <c r="C37" s="192"/>
      <c r="D37" s="181">
        <f t="shared" si="2"/>
        <v>0</v>
      </c>
      <c r="E37" s="192"/>
      <c r="F37" s="231"/>
      <c r="G37" s="202"/>
      <c r="H37" s="189"/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0</v>
      </c>
    </row>
    <row r="38" spans="1:16" x14ac:dyDescent="0.25">
      <c r="A38" s="179">
        <f>'Données projet'!A51</f>
        <v>0</v>
      </c>
      <c r="B38" s="180">
        <f>'Données projet'!D51</f>
        <v>0</v>
      </c>
      <c r="C38" s="192"/>
      <c r="D38" s="181">
        <f t="shared" si="2"/>
        <v>0</v>
      </c>
      <c r="E38" s="192"/>
      <c r="F38" s="231"/>
      <c r="G38" s="202"/>
      <c r="H38" s="189"/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0</v>
      </c>
    </row>
    <row r="39" spans="1:16" x14ac:dyDescent="0.25">
      <c r="A39" s="179">
        <f>'Données projet'!A52</f>
        <v>0</v>
      </c>
      <c r="B39" s="180">
        <f>'Données projet'!D52</f>
        <v>0</v>
      </c>
      <c r="C39" s="192"/>
      <c r="D39" s="181">
        <f t="shared" si="2"/>
        <v>0</v>
      </c>
      <c r="E39" s="192"/>
      <c r="F39" s="231"/>
      <c r="G39" s="202"/>
      <c r="H39" s="189"/>
      <c r="I39" s="190"/>
      <c r="K39" s="207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0</v>
      </c>
    </row>
    <row r="40" spans="1:16" x14ac:dyDescent="0.25">
      <c r="A40" s="179">
        <f>'Données projet'!A53</f>
        <v>0</v>
      </c>
      <c r="B40" s="180">
        <f>'Données projet'!D53</f>
        <v>0</v>
      </c>
      <c r="C40" s="192"/>
      <c r="D40" s="181">
        <f t="shared" si="2"/>
        <v>0</v>
      </c>
      <c r="E40" s="192"/>
      <c r="F40" s="231"/>
      <c r="G40" s="202"/>
      <c r="H40" s="189"/>
      <c r="I40" s="190"/>
      <c r="K40" s="207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0</v>
      </c>
    </row>
    <row r="41" spans="1:16" x14ac:dyDescent="0.25">
      <c r="A41" s="179">
        <f>'Données projet'!A54</f>
        <v>0</v>
      </c>
      <c r="B41" s="180">
        <f>'Données projet'!D54</f>
        <v>0</v>
      </c>
      <c r="C41" s="192"/>
      <c r="D41" s="181">
        <f t="shared" si="2"/>
        <v>0</v>
      </c>
      <c r="E41" s="192"/>
      <c r="F41" s="231"/>
      <c r="G41" s="202"/>
      <c r="H41" s="189"/>
      <c r="I41" s="190"/>
      <c r="K41" s="207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0</v>
      </c>
    </row>
    <row r="42" spans="1:16" x14ac:dyDescent="0.25">
      <c r="A42" s="179">
        <f>'Données projet'!A55</f>
        <v>0</v>
      </c>
      <c r="B42" s="180">
        <f>'Données projet'!D55</f>
        <v>0</v>
      </c>
      <c r="C42" s="192"/>
      <c r="D42" s="181">
        <f t="shared" si="2"/>
        <v>0</v>
      </c>
      <c r="E42" s="192"/>
      <c r="F42" s="231"/>
      <c r="G42" s="202"/>
      <c r="H42" s="189"/>
      <c r="I42" s="190"/>
      <c r="K42" s="207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0</v>
      </c>
    </row>
    <row r="43" spans="1:16" x14ac:dyDescent="0.25">
      <c r="A43" s="186"/>
      <c r="B43" s="186"/>
      <c r="C43" s="186"/>
      <c r="D43" s="225"/>
      <c r="E43" s="225"/>
      <c r="F43" s="235"/>
      <c r="G43" s="202"/>
      <c r="H43" s="189"/>
      <c r="I43" s="190"/>
      <c r="K43" s="207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0</v>
      </c>
    </row>
    <row r="44" spans="1:16" x14ac:dyDescent="0.25">
      <c r="A44" s="4"/>
      <c r="B44" s="4"/>
      <c r="C44" s="4"/>
      <c r="D44" s="4"/>
      <c r="E44" s="4"/>
      <c r="F44" s="228"/>
      <c r="G44" s="202"/>
      <c r="H44" s="189"/>
      <c r="I44" s="190"/>
      <c r="K44" s="207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0</v>
      </c>
    </row>
    <row r="45" spans="1:16" x14ac:dyDescent="0.25">
      <c r="A45" s="46" t="s">
        <v>18</v>
      </c>
      <c r="B45" s="173" t="str">
        <f>IF('Données projet'!$B$10="","",'Données projet'!$B$10)</f>
        <v>Pin laricio</v>
      </c>
      <c r="C45" s="4"/>
      <c r="D45" s="4"/>
      <c r="E45" s="4"/>
      <c r="F45" s="228"/>
      <c r="G45" s="202"/>
      <c r="H45" s="189"/>
      <c r="I45" s="190"/>
      <c r="J45" s="23"/>
      <c r="K45" s="207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0</v>
      </c>
    </row>
    <row r="46" spans="1:16" x14ac:dyDescent="0.25">
      <c r="A46" s="4"/>
      <c r="B46" s="4"/>
      <c r="C46" s="4"/>
      <c r="D46" s="4"/>
      <c r="E46" s="4"/>
      <c r="F46" s="228"/>
      <c r="G46" s="202"/>
      <c r="H46" s="189"/>
      <c r="I46" s="190"/>
      <c r="J46" s="23"/>
      <c r="K46" s="207"/>
      <c r="L46" s="203"/>
      <c r="M46" s="203"/>
      <c r="N46" s="203"/>
      <c r="O46" s="193">
        <f>IF(O45+1&lt;=MIN('Données projet'!$E$9:$E$18),O45+1,"STOP")</f>
        <v>13</v>
      </c>
      <c r="P46" s="187">
        <f t="shared" si="3"/>
        <v>0</v>
      </c>
    </row>
    <row r="47" spans="1:16" ht="19.5" customHeight="1" x14ac:dyDescent="0.25">
      <c r="A47" s="36" t="s">
        <v>47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29"/>
      <c r="G47" s="202"/>
      <c r="H47" s="189"/>
      <c r="I47" s="190"/>
      <c r="J47" s="23"/>
      <c r="K47" s="207"/>
      <c r="L47" s="4"/>
      <c r="M47" s="4"/>
      <c r="N47" s="4"/>
      <c r="O47" s="193">
        <f>IF(O46+1&lt;=MIN('Données projet'!$E$9:$E$18),O46+1,"STOP")</f>
        <v>14</v>
      </c>
      <c r="P47" s="184">
        <f t="shared" si="3"/>
        <v>0</v>
      </c>
    </row>
    <row r="48" spans="1:16" x14ac:dyDescent="0.25">
      <c r="A48" s="49">
        <v>0</v>
      </c>
      <c r="B48" s="198" t="s">
        <v>195</v>
      </c>
      <c r="C48" s="197" t="s">
        <v>195</v>
      </c>
      <c r="D48" s="196" t="s">
        <v>195</v>
      </c>
      <c r="E48" s="192">
        <f>(1.34*1330)*1.055+(0.51*1330)*1.1</f>
        <v>2626.3510000000001</v>
      </c>
      <c r="F48" s="229"/>
      <c r="G48" s="202"/>
      <c r="H48" s="189"/>
      <c r="I48" s="190"/>
      <c r="J48" s="23"/>
      <c r="K48" s="207"/>
      <c r="L48" s="4"/>
      <c r="M48" s="4"/>
      <c r="N48" s="4"/>
      <c r="O48" s="193">
        <f>IF(O47+1&lt;=MIN('Données projet'!$E$9:$E$18),O47+1,"STOP")</f>
        <v>15</v>
      </c>
      <c r="P48" s="184">
        <f t="shared" si="3"/>
        <v>0</v>
      </c>
    </row>
    <row r="49" spans="1:16" s="194" customFormat="1" ht="17.25" customHeight="1" x14ac:dyDescent="0.25">
      <c r="A49" s="49">
        <v>1</v>
      </c>
      <c r="B49" s="198" t="s">
        <v>195</v>
      </c>
      <c r="C49" s="197" t="s">
        <v>195</v>
      </c>
      <c r="D49" s="196" t="s">
        <v>195</v>
      </c>
      <c r="E49" s="192"/>
      <c r="F49" s="229"/>
      <c r="G49" s="203"/>
      <c r="H49" s="189"/>
      <c r="I49" s="190"/>
      <c r="J49" s="203"/>
      <c r="K49" s="209"/>
      <c r="L49" s="4"/>
      <c r="M49" s="4"/>
      <c r="N49" s="4"/>
      <c r="O49" s="193">
        <f>IF(O48+1&lt;=MIN('Données projet'!$E$9:$E$18),O48+1,"STOP")</f>
        <v>16</v>
      </c>
      <c r="P49" s="184">
        <f t="shared" si="3"/>
        <v>0</v>
      </c>
    </row>
    <row r="50" spans="1:16" x14ac:dyDescent="0.25">
      <c r="A50" s="49">
        <v>2</v>
      </c>
      <c r="B50" s="198" t="s">
        <v>195</v>
      </c>
      <c r="C50" s="197" t="s">
        <v>195</v>
      </c>
      <c r="D50" s="196" t="s">
        <v>195</v>
      </c>
      <c r="E50" s="192"/>
      <c r="F50" s="229"/>
      <c r="G50" s="23"/>
      <c r="H50" s="189"/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0</v>
      </c>
    </row>
    <row r="51" spans="1:16" x14ac:dyDescent="0.25">
      <c r="A51" s="49">
        <v>3</v>
      </c>
      <c r="B51" s="198" t="s">
        <v>195</v>
      </c>
      <c r="C51" s="197" t="s">
        <v>195</v>
      </c>
      <c r="D51" s="196" t="s">
        <v>195</v>
      </c>
      <c r="E51" s="192"/>
      <c r="F51" s="229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0</v>
      </c>
    </row>
    <row r="52" spans="1:16" x14ac:dyDescent="0.25">
      <c r="A52" s="49">
        <v>4</v>
      </c>
      <c r="B52" s="198" t="s">
        <v>195</v>
      </c>
      <c r="C52" s="197" t="s">
        <v>195</v>
      </c>
      <c r="D52" s="196" t="s">
        <v>195</v>
      </c>
      <c r="E52" s="192"/>
      <c r="F52" s="229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0</v>
      </c>
    </row>
    <row r="53" spans="1:16" ht="15" customHeight="1" x14ac:dyDescent="0.25">
      <c r="A53" s="49">
        <v>5</v>
      </c>
      <c r="B53" s="198" t="s">
        <v>195</v>
      </c>
      <c r="C53" s="197" t="s">
        <v>195</v>
      </c>
      <c r="D53" s="196" t="s">
        <v>195</v>
      </c>
      <c r="E53" s="192"/>
      <c r="F53" s="229"/>
      <c r="G53" s="204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0</v>
      </c>
    </row>
    <row r="54" spans="1:16" ht="15" customHeight="1" x14ac:dyDescent="0.25">
      <c r="A54" s="179">
        <f>'Données projet'!A62</f>
        <v>22</v>
      </c>
      <c r="B54" s="180">
        <f>'Données projet'!D62</f>
        <v>0</v>
      </c>
      <c r="C54" s="190"/>
      <c r="D54" s="178">
        <f>B54*C54</f>
        <v>0</v>
      </c>
      <c r="E54" s="192"/>
      <c r="F54" s="230"/>
      <c r="G54" s="204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0</v>
      </c>
    </row>
    <row r="55" spans="1:16" ht="15" customHeight="1" x14ac:dyDescent="0.25">
      <c r="A55" s="179">
        <f>'Données projet'!A63</f>
        <v>25</v>
      </c>
      <c r="B55" s="180">
        <f>'Données projet'!D63</f>
        <v>17</v>
      </c>
      <c r="C55" s="190">
        <v>15</v>
      </c>
      <c r="D55" s="178">
        <f t="shared" ref="D55:D73" si="4">B55*C55</f>
        <v>255</v>
      </c>
      <c r="E55" s="192"/>
      <c r="F55" s="230"/>
      <c r="G55" s="204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0</v>
      </c>
    </row>
    <row r="56" spans="1:16" ht="15" customHeight="1" x14ac:dyDescent="0.25">
      <c r="A56" s="179">
        <f>'Données projet'!A64</f>
        <v>30</v>
      </c>
      <c r="B56" s="180">
        <f>'Données projet'!D64</f>
        <v>0</v>
      </c>
      <c r="C56" s="190"/>
      <c r="D56" s="178">
        <f t="shared" si="4"/>
        <v>0</v>
      </c>
      <c r="E56" s="192"/>
      <c r="F56" s="230"/>
      <c r="G56" s="204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0</v>
      </c>
    </row>
    <row r="57" spans="1:16" ht="15" customHeight="1" x14ac:dyDescent="0.25">
      <c r="A57" s="179">
        <f>'Données projet'!A65</f>
        <v>35</v>
      </c>
      <c r="B57" s="180">
        <f>'Données projet'!D65</f>
        <v>75</v>
      </c>
      <c r="C57" s="190">
        <v>20</v>
      </c>
      <c r="D57" s="178">
        <f t="shared" si="4"/>
        <v>1500</v>
      </c>
      <c r="E57" s="192"/>
      <c r="F57" s="230"/>
      <c r="G57" s="204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0</v>
      </c>
    </row>
    <row r="58" spans="1:16" ht="15" customHeight="1" x14ac:dyDescent="0.25">
      <c r="A58" s="179">
        <f>'Données projet'!A66</f>
        <v>40</v>
      </c>
      <c r="B58" s="180">
        <f>'Données projet'!D66</f>
        <v>0</v>
      </c>
      <c r="C58" s="190"/>
      <c r="D58" s="178">
        <f t="shared" si="4"/>
        <v>0</v>
      </c>
      <c r="E58" s="192"/>
      <c r="F58" s="230"/>
      <c r="G58" s="204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0</v>
      </c>
    </row>
    <row r="59" spans="1:16" ht="15" customHeight="1" x14ac:dyDescent="0.25">
      <c r="A59" s="179">
        <f>'Données projet'!A67</f>
        <v>45</v>
      </c>
      <c r="B59" s="180">
        <f>'Données projet'!D67</f>
        <v>94</v>
      </c>
      <c r="C59" s="190">
        <v>30</v>
      </c>
      <c r="D59" s="178">
        <f t="shared" si="4"/>
        <v>2820</v>
      </c>
      <c r="E59" s="192"/>
      <c r="F59" s="230"/>
      <c r="G59" s="204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0</v>
      </c>
    </row>
    <row r="60" spans="1:16" x14ac:dyDescent="0.25">
      <c r="A60" s="179">
        <f>'Données projet'!A68</f>
        <v>50</v>
      </c>
      <c r="B60" s="180">
        <f>'Données projet'!D68</f>
        <v>0</v>
      </c>
      <c r="C60" s="190"/>
      <c r="D60" s="178">
        <f t="shared" si="4"/>
        <v>0</v>
      </c>
      <c r="E60" s="192"/>
      <c r="F60" s="230"/>
      <c r="G60" s="205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0</v>
      </c>
    </row>
    <row r="61" spans="1:16" x14ac:dyDescent="0.25">
      <c r="A61" s="179">
        <f>'Données projet'!A69</f>
        <v>58</v>
      </c>
      <c r="B61" s="180">
        <f>'Données projet'!D69</f>
        <v>131</v>
      </c>
      <c r="C61" s="190">
        <v>40</v>
      </c>
      <c r="D61" s="178">
        <f t="shared" si="4"/>
        <v>5240</v>
      </c>
      <c r="E61" s="192"/>
      <c r="F61" s="230"/>
      <c r="G61" s="205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0</v>
      </c>
    </row>
    <row r="62" spans="1:16" x14ac:dyDescent="0.25">
      <c r="A62" s="179">
        <f>'Données projet'!A70</f>
        <v>66</v>
      </c>
      <c r="B62" s="180">
        <f>'Données projet'!D70</f>
        <v>65</v>
      </c>
      <c r="C62" s="190"/>
      <c r="D62" s="178">
        <f t="shared" si="4"/>
        <v>0</v>
      </c>
      <c r="E62" s="192"/>
      <c r="F62" s="230"/>
      <c r="G62" s="205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0</v>
      </c>
    </row>
    <row r="63" spans="1:16" x14ac:dyDescent="0.25">
      <c r="A63" s="179">
        <f>'Données projet'!A71</f>
        <v>70</v>
      </c>
      <c r="B63" s="180">
        <f>'Données projet'!D71</f>
        <v>486</v>
      </c>
      <c r="C63" s="190">
        <v>50</v>
      </c>
      <c r="D63" s="178">
        <f t="shared" si="4"/>
        <v>24300</v>
      </c>
      <c r="E63" s="192"/>
      <c r="F63" s="230"/>
      <c r="G63" s="205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0</v>
      </c>
    </row>
    <row r="64" spans="1:16" x14ac:dyDescent="0.25">
      <c r="A64" s="179">
        <f>'Données projet'!A72</f>
        <v>0</v>
      </c>
      <c r="B64" s="180">
        <f>'Données projet'!D72</f>
        <v>0</v>
      </c>
      <c r="C64" s="190"/>
      <c r="D64" s="178">
        <f t="shared" si="4"/>
        <v>0</v>
      </c>
      <c r="E64" s="192"/>
      <c r="F64" s="230"/>
      <c r="G64" s="205"/>
      <c r="H64" s="189"/>
      <c r="I64" s="190"/>
      <c r="J64" s="206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0</v>
      </c>
    </row>
    <row r="65" spans="1:16" x14ac:dyDescent="0.25">
      <c r="A65" s="179">
        <f>'Données projet'!A73</f>
        <v>0</v>
      </c>
      <c r="B65" s="180">
        <f>'Données projet'!D73</f>
        <v>0</v>
      </c>
      <c r="C65" s="190"/>
      <c r="D65" s="178">
        <f t="shared" si="4"/>
        <v>0</v>
      </c>
      <c r="E65" s="192"/>
      <c r="F65" s="230"/>
      <c r="G65" s="205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0</v>
      </c>
    </row>
    <row r="66" spans="1:16" x14ac:dyDescent="0.25">
      <c r="A66" s="179">
        <f>'Données projet'!A74</f>
        <v>0</v>
      </c>
      <c r="B66" s="180">
        <f>'Données projet'!D74</f>
        <v>0</v>
      </c>
      <c r="C66" s="190"/>
      <c r="D66" s="178">
        <f t="shared" si="4"/>
        <v>0</v>
      </c>
      <c r="E66" s="192"/>
      <c r="F66" s="230"/>
      <c r="G66" s="205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0</v>
      </c>
    </row>
    <row r="67" spans="1:16" x14ac:dyDescent="0.25">
      <c r="A67" s="179">
        <f>'Données projet'!A75</f>
        <v>0</v>
      </c>
      <c r="B67" s="180">
        <f>'Données projet'!D75</f>
        <v>0</v>
      </c>
      <c r="C67" s="190"/>
      <c r="D67" s="178">
        <f t="shared" si="4"/>
        <v>0</v>
      </c>
      <c r="E67" s="192"/>
      <c r="F67" s="230"/>
      <c r="G67" s="205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0</v>
      </c>
    </row>
    <row r="68" spans="1:16" x14ac:dyDescent="0.25">
      <c r="A68" s="179">
        <f>'Données projet'!A76</f>
        <v>0</v>
      </c>
      <c r="B68" s="180">
        <f>'Données projet'!D76</f>
        <v>0</v>
      </c>
      <c r="C68" s="190"/>
      <c r="D68" s="178">
        <f t="shared" si="4"/>
        <v>0</v>
      </c>
      <c r="E68" s="192"/>
      <c r="F68" s="230"/>
      <c r="G68" s="205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0</v>
      </c>
    </row>
    <row r="69" spans="1:16" x14ac:dyDescent="0.25">
      <c r="A69" s="179">
        <f>'Données projet'!A77</f>
        <v>0</v>
      </c>
      <c r="B69" s="180">
        <f>'Données projet'!D77</f>
        <v>0</v>
      </c>
      <c r="C69" s="190"/>
      <c r="D69" s="178">
        <f t="shared" si="4"/>
        <v>0</v>
      </c>
      <c r="E69" s="192"/>
      <c r="F69" s="230"/>
      <c r="G69" s="205"/>
      <c r="H69" s="189"/>
      <c r="I69" s="190"/>
      <c r="J69" s="188"/>
      <c r="K69" s="172"/>
      <c r="L69" s="4"/>
      <c r="M69" s="4"/>
      <c r="N69" s="4"/>
      <c r="O69" s="193">
        <f>IF(O68+1&lt;=MIN('Données projet'!$E$9:$E$18),O68+1,"STOP")</f>
        <v>36</v>
      </c>
      <c r="P69" s="184">
        <f t="shared" si="5"/>
        <v>0</v>
      </c>
    </row>
    <row r="70" spans="1:16" x14ac:dyDescent="0.25">
      <c r="A70" s="179">
        <f>'Données projet'!A78</f>
        <v>0</v>
      </c>
      <c r="B70" s="180">
        <f>'Données projet'!D78</f>
        <v>0</v>
      </c>
      <c r="C70" s="190"/>
      <c r="D70" s="178">
        <f t="shared" si="4"/>
        <v>0</v>
      </c>
      <c r="E70" s="192"/>
      <c r="F70" s="230"/>
      <c r="G70" s="205"/>
      <c r="H70" s="189"/>
      <c r="I70" s="190"/>
      <c r="J70" s="188"/>
      <c r="K70" s="172"/>
      <c r="L70" s="4"/>
      <c r="M70" s="4"/>
      <c r="N70" s="4"/>
      <c r="O70" s="193">
        <f>IF(O69+1&lt;=MIN('Données projet'!$E$9:$E$18),O69+1,"STOP")</f>
        <v>37</v>
      </c>
      <c r="P70" s="184">
        <f t="shared" si="5"/>
        <v>0</v>
      </c>
    </row>
    <row r="71" spans="1:16" x14ac:dyDescent="0.25">
      <c r="A71" s="179">
        <f>'Données projet'!A79</f>
        <v>0</v>
      </c>
      <c r="B71" s="180">
        <f>'Données projet'!D79</f>
        <v>0</v>
      </c>
      <c r="C71" s="190"/>
      <c r="D71" s="178">
        <f t="shared" si="4"/>
        <v>0</v>
      </c>
      <c r="E71" s="192"/>
      <c r="F71" s="230"/>
      <c r="G71" s="205"/>
      <c r="H71" s="189"/>
      <c r="I71" s="190"/>
      <c r="J71" s="188"/>
      <c r="K71" s="172"/>
      <c r="L71" s="4"/>
      <c r="M71" s="4"/>
      <c r="N71" s="4"/>
      <c r="O71" s="193">
        <f>IF(O70+1&lt;=MIN('Données projet'!$E$9:$E$18),O70+1,"STOP")</f>
        <v>38</v>
      </c>
      <c r="P71" s="184">
        <f t="shared" si="5"/>
        <v>0</v>
      </c>
    </row>
    <row r="72" spans="1:16" x14ac:dyDescent="0.25">
      <c r="A72" s="179">
        <f>'Données projet'!A80</f>
        <v>0</v>
      </c>
      <c r="B72" s="180">
        <f>'Données projet'!D80</f>
        <v>0</v>
      </c>
      <c r="C72" s="190"/>
      <c r="D72" s="178">
        <f t="shared" si="4"/>
        <v>0</v>
      </c>
      <c r="E72" s="192"/>
      <c r="F72" s="230"/>
      <c r="G72" s="205"/>
      <c r="H72" s="189"/>
      <c r="I72" s="190"/>
      <c r="J72" s="4"/>
      <c r="K72" s="172"/>
      <c r="L72" s="4"/>
      <c r="M72" s="4"/>
      <c r="N72" s="4"/>
      <c r="O72" s="193">
        <f>IF(O71+1&lt;=MIN('Données projet'!$E$9:$E$18),O71+1,"STOP")</f>
        <v>39</v>
      </c>
      <c r="P72" s="184">
        <f t="shared" si="5"/>
        <v>0</v>
      </c>
    </row>
    <row r="73" spans="1:16" x14ac:dyDescent="0.25">
      <c r="A73" s="179">
        <f>'Données projet'!A81</f>
        <v>0</v>
      </c>
      <c r="B73" s="180">
        <f>'Données projet'!D81</f>
        <v>0</v>
      </c>
      <c r="C73" s="190"/>
      <c r="D73" s="178">
        <f t="shared" si="4"/>
        <v>0</v>
      </c>
      <c r="E73" s="192"/>
      <c r="F73" s="230"/>
      <c r="G73" s="205"/>
      <c r="H73" s="189"/>
      <c r="I73" s="190"/>
      <c r="J73" s="4"/>
      <c r="K73" s="172"/>
      <c r="L73" s="4"/>
      <c r="M73" s="4"/>
      <c r="N73" s="4"/>
      <c r="O73" s="193">
        <f>IF(O72+1&lt;=MIN('Données projet'!$E$9:$E$18),O72+1,"STOP")</f>
        <v>40</v>
      </c>
      <c r="P73" s="184">
        <f t="shared" si="5"/>
        <v>0</v>
      </c>
    </row>
    <row r="74" spans="1:16" x14ac:dyDescent="0.25">
      <c r="A74" s="4"/>
      <c r="B74" s="4"/>
      <c r="C74" s="4"/>
      <c r="D74" s="4"/>
      <c r="E74" s="4"/>
      <c r="F74" s="228"/>
      <c r="G74" s="205"/>
      <c r="H74" s="189"/>
      <c r="I74" s="190"/>
      <c r="J74" s="4"/>
      <c r="K74" s="172"/>
      <c r="L74" s="4"/>
      <c r="M74" s="4"/>
      <c r="N74" s="4"/>
      <c r="O74" s="193">
        <f>IF(O73+1&lt;=MIN('Données projet'!$E$9:$E$18),O73+1,"STOP")</f>
        <v>41</v>
      </c>
      <c r="P74" s="184">
        <f t="shared" si="5"/>
        <v>0</v>
      </c>
    </row>
    <row r="75" spans="1:16" x14ac:dyDescent="0.25">
      <c r="A75" s="4"/>
      <c r="B75" s="4"/>
      <c r="C75" s="4"/>
      <c r="D75" s="4"/>
      <c r="E75" s="4"/>
      <c r="F75" s="228"/>
      <c r="G75" s="205"/>
      <c r="H75" s="189"/>
      <c r="I75" s="190"/>
      <c r="J75" s="4"/>
      <c r="K75" s="172"/>
      <c r="L75" s="4"/>
      <c r="M75" s="4"/>
      <c r="N75" s="4"/>
      <c r="O75" s="193">
        <f>IF(O74+1&lt;=MIN('Données projet'!$E$9:$E$18),O74+1,"STOP")</f>
        <v>42</v>
      </c>
      <c r="P75" s="184">
        <f t="shared" si="5"/>
        <v>0</v>
      </c>
    </row>
    <row r="76" spans="1:16" x14ac:dyDescent="0.25">
      <c r="A76" s="46" t="s">
        <v>20</v>
      </c>
      <c r="B76" s="173" t="str">
        <f>IF('Données projet'!B11="","",'Données projet'!B11)</f>
        <v>Cèdre de l'Atlas</v>
      </c>
      <c r="C76" s="4"/>
      <c r="D76" s="4"/>
      <c r="E76" s="4"/>
      <c r="F76" s="228"/>
      <c r="G76" s="205"/>
      <c r="H76" s="189"/>
      <c r="I76" s="190"/>
      <c r="J76" s="4"/>
      <c r="K76" s="172"/>
      <c r="L76" s="4"/>
      <c r="M76" s="4"/>
      <c r="N76" s="4"/>
      <c r="O76" s="193">
        <f>IF(O75+1&lt;=MIN('Données projet'!$E$9:$E$18),O75+1,"STOP")</f>
        <v>43</v>
      </c>
      <c r="P76" s="184">
        <f t="shared" si="5"/>
        <v>0</v>
      </c>
    </row>
    <row r="77" spans="1:16" x14ac:dyDescent="0.25">
      <c r="A77" s="4"/>
      <c r="B77" s="4"/>
      <c r="C77" s="4"/>
      <c r="D77" s="4"/>
      <c r="E77" s="4"/>
      <c r="F77" s="228"/>
      <c r="G77" s="205"/>
      <c r="H77" s="189"/>
      <c r="I77" s="190"/>
      <c r="J77" s="4"/>
      <c r="K77" s="172"/>
      <c r="L77" s="4"/>
      <c r="M77" s="4"/>
      <c r="N77" s="4"/>
      <c r="O77" s="193">
        <f>IF(O76+1&lt;=MIN('Données projet'!$E$9:$E$18),O76+1,"STOP")</f>
        <v>44</v>
      </c>
      <c r="P77" s="184">
        <f t="shared" si="5"/>
        <v>0</v>
      </c>
    </row>
    <row r="78" spans="1:16" x14ac:dyDescent="0.25">
      <c r="A78" s="36" t="s">
        <v>47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29"/>
      <c r="G78" s="205"/>
      <c r="H78" s="189"/>
      <c r="I78" s="190"/>
      <c r="J78" s="4"/>
      <c r="K78" s="172"/>
      <c r="L78" s="4"/>
      <c r="M78" s="4"/>
      <c r="N78" s="4"/>
      <c r="O78" s="193">
        <f>IF(O77+1&lt;=MIN('Données projet'!$E$9:$E$18),O77+1,"STOP")</f>
        <v>45</v>
      </c>
      <c r="P78" s="184">
        <f t="shared" si="5"/>
        <v>0</v>
      </c>
    </row>
    <row r="79" spans="1:16" x14ac:dyDescent="0.25">
      <c r="A79" s="49">
        <v>0</v>
      </c>
      <c r="B79" s="198" t="s">
        <v>195</v>
      </c>
      <c r="C79" s="197" t="s">
        <v>195</v>
      </c>
      <c r="D79" s="196" t="s">
        <v>195</v>
      </c>
      <c r="E79" s="192">
        <f>(1.72*1330)*1.055+(0.51*1330)*1.1</f>
        <v>3159.5479999999998</v>
      </c>
      <c r="F79" s="229"/>
      <c r="G79" s="205"/>
      <c r="H79" s="189"/>
      <c r="I79" s="190"/>
      <c r="J79" s="4"/>
      <c r="K79" s="172"/>
      <c r="L79" s="4"/>
      <c r="M79" s="4"/>
      <c r="N79" s="4"/>
      <c r="O79" s="193" t="str">
        <f>IF(O78+1&lt;=MIN('Données projet'!$E$9:$E$18),O78+1,"STOP")</f>
        <v>STOP</v>
      </c>
      <c r="P79" s="184" t="e">
        <f t="shared" si="5"/>
        <v>#VALUE!</v>
      </c>
    </row>
    <row r="80" spans="1:16" x14ac:dyDescent="0.25">
      <c r="A80" s="49">
        <v>1</v>
      </c>
      <c r="B80" s="198" t="s">
        <v>195</v>
      </c>
      <c r="C80" s="197" t="s">
        <v>195</v>
      </c>
      <c r="D80" s="196" t="s">
        <v>195</v>
      </c>
      <c r="E80" s="192"/>
      <c r="F80" s="229"/>
      <c r="G80" s="23"/>
      <c r="H80" s="189"/>
      <c r="I80" s="190"/>
      <c r="J80" s="4"/>
      <c r="K80" s="172"/>
      <c r="L80" s="4"/>
      <c r="M80" s="4"/>
      <c r="N80" s="4"/>
      <c r="O80" s="193" t="e">
        <f>IF(O79+1&lt;=MIN('Données projet'!$E$9:$E$18),O79+1,"STOP")</f>
        <v>#VALUE!</v>
      </c>
      <c r="P80" s="184" t="e">
        <f t="shared" si="5"/>
        <v>#VALUE!</v>
      </c>
    </row>
    <row r="81" spans="1:16" x14ac:dyDescent="0.25">
      <c r="A81" s="49">
        <v>2</v>
      </c>
      <c r="B81" s="198" t="s">
        <v>195</v>
      </c>
      <c r="C81" s="197" t="s">
        <v>195</v>
      </c>
      <c r="D81" s="196" t="s">
        <v>195</v>
      </c>
      <c r="E81" s="192"/>
      <c r="F81" s="229"/>
      <c r="G81" s="23"/>
      <c r="H81" s="189"/>
      <c r="I81" s="190"/>
      <c r="J81" s="4"/>
      <c r="K81" s="172"/>
      <c r="L81" s="4"/>
      <c r="M81" s="4"/>
      <c r="N81" s="4"/>
      <c r="O81" s="193" t="e">
        <f>IF(O80+1&lt;=MIN('Données projet'!$E$9:$E$18),O80+1,"STOP")</f>
        <v>#VALUE!</v>
      </c>
      <c r="P81" s="184" t="e">
        <f t="shared" si="5"/>
        <v>#VALUE!</v>
      </c>
    </row>
    <row r="82" spans="1:16" x14ac:dyDescent="0.25">
      <c r="A82" s="49">
        <v>3</v>
      </c>
      <c r="B82" s="198" t="s">
        <v>195</v>
      </c>
      <c r="C82" s="197" t="s">
        <v>195</v>
      </c>
      <c r="D82" s="196" t="s">
        <v>195</v>
      </c>
      <c r="E82" s="192"/>
      <c r="F82" s="229"/>
      <c r="G82" s="23"/>
      <c r="H82" s="189"/>
      <c r="I82" s="190"/>
      <c r="J82" s="4"/>
      <c r="K82" s="172"/>
      <c r="L82" s="4"/>
      <c r="M82" s="4"/>
      <c r="N82" s="4"/>
      <c r="O82" s="193" t="e">
        <f>IF(O81+1&lt;=MIN('Données projet'!$E$9:$E$18),O81+1,"STOP")</f>
        <v>#VALUE!</v>
      </c>
      <c r="P82" s="184" t="e">
        <f t="shared" si="5"/>
        <v>#VALUE!</v>
      </c>
    </row>
    <row r="83" spans="1:16" x14ac:dyDescent="0.25">
      <c r="A83" s="49">
        <v>4</v>
      </c>
      <c r="B83" s="198" t="s">
        <v>195</v>
      </c>
      <c r="C83" s="197" t="s">
        <v>195</v>
      </c>
      <c r="D83" s="196" t="s">
        <v>195</v>
      </c>
      <c r="E83" s="192"/>
      <c r="F83" s="229"/>
      <c r="G83" s="23"/>
      <c r="H83" s="189"/>
      <c r="I83" s="190"/>
      <c r="J83" s="4"/>
      <c r="K83" s="172"/>
      <c r="L83" s="4"/>
      <c r="M83" s="4"/>
      <c r="N83" s="4"/>
      <c r="O83" s="193" t="e">
        <f>IF(O82+1&lt;=MIN('Données projet'!$E$9:$E$18),O82+1,"STOP")</f>
        <v>#VALUE!</v>
      </c>
      <c r="P83" s="184" t="e">
        <f t="shared" si="5"/>
        <v>#VALUE!</v>
      </c>
    </row>
    <row r="84" spans="1:16" ht="16.5" customHeight="1" x14ac:dyDescent="0.25">
      <c r="A84" s="49">
        <v>5</v>
      </c>
      <c r="B84" s="198" t="s">
        <v>195</v>
      </c>
      <c r="C84" s="197" t="s">
        <v>195</v>
      </c>
      <c r="D84" s="196" t="s">
        <v>195</v>
      </c>
      <c r="E84" s="192"/>
      <c r="F84" s="229"/>
      <c r="G84" s="204"/>
      <c r="H84" s="189"/>
      <c r="I84" s="190"/>
      <c r="J84" s="4"/>
      <c r="K84" s="172"/>
      <c r="L84" s="4"/>
      <c r="M84" s="4"/>
      <c r="N84" s="4"/>
      <c r="O84" s="193" t="e">
        <f>IF(O83+1&lt;=MIN('Données projet'!$E$9:$E$18),O83+1,"STOP")</f>
        <v>#VALUE!</v>
      </c>
      <c r="P84" s="184" t="e">
        <f t="shared" si="5"/>
        <v>#VALUE!</v>
      </c>
    </row>
    <row r="85" spans="1:16" ht="16.5" customHeight="1" x14ac:dyDescent="0.25">
      <c r="A85" s="179">
        <f>'Données projet'!A88</f>
        <v>20</v>
      </c>
      <c r="B85" s="180">
        <f>'Données projet'!D88</f>
        <v>0</v>
      </c>
      <c r="C85" s="190"/>
      <c r="D85" s="178">
        <f>B85*C85</f>
        <v>0</v>
      </c>
      <c r="E85" s="192"/>
      <c r="F85" s="230"/>
      <c r="G85" s="204"/>
      <c r="H85" s="189"/>
      <c r="I85" s="190"/>
      <c r="J85" s="4"/>
      <c r="K85" s="172"/>
      <c r="L85" s="4"/>
      <c r="M85" s="4"/>
      <c r="N85" s="4"/>
      <c r="O85" s="193" t="e">
        <f>IF(O84+1&lt;=MIN('Données projet'!$E$9:$E$18),O84+1,"STOP")</f>
        <v>#VALUE!</v>
      </c>
      <c r="P85" s="184" t="e">
        <f t="shared" si="5"/>
        <v>#VALUE!</v>
      </c>
    </row>
    <row r="86" spans="1:16" ht="16.5" customHeight="1" x14ac:dyDescent="0.25">
      <c r="A86" s="179">
        <f>'Données projet'!A89</f>
        <v>30</v>
      </c>
      <c r="B86" s="180">
        <f>'Données projet'!D89</f>
        <v>27</v>
      </c>
      <c r="C86" s="190">
        <v>15</v>
      </c>
      <c r="D86" s="178">
        <f t="shared" ref="D86:D104" si="6">B86*C86</f>
        <v>405</v>
      </c>
      <c r="E86" s="192"/>
      <c r="F86" s="230"/>
      <c r="G86" s="204"/>
      <c r="H86" s="189"/>
      <c r="I86" s="190"/>
      <c r="J86" s="4"/>
      <c r="K86" s="172"/>
      <c r="L86" s="4"/>
      <c r="M86" s="4"/>
      <c r="N86" s="4"/>
      <c r="O86" s="193" t="e">
        <f>IF(O85+1&lt;=MIN('Données projet'!$E$9:$E$18),O85+1,"STOP")</f>
        <v>#VALUE!</v>
      </c>
      <c r="P86" s="184" t="e">
        <f t="shared" si="5"/>
        <v>#VALUE!</v>
      </c>
    </row>
    <row r="87" spans="1:16" ht="16.5" customHeight="1" x14ac:dyDescent="0.25">
      <c r="A87" s="179">
        <f>'Données projet'!A90</f>
        <v>40</v>
      </c>
      <c r="B87" s="180">
        <f>'Données projet'!D90</f>
        <v>33</v>
      </c>
      <c r="C87" s="190">
        <v>20</v>
      </c>
      <c r="D87" s="178">
        <f t="shared" si="6"/>
        <v>660</v>
      </c>
      <c r="E87" s="192"/>
      <c r="F87" s="230"/>
      <c r="G87" s="204"/>
      <c r="H87" s="189"/>
      <c r="I87" s="190"/>
      <c r="J87" s="4"/>
      <c r="K87" s="172"/>
      <c r="L87" s="4"/>
      <c r="M87" s="4"/>
      <c r="N87" s="4"/>
      <c r="O87" s="193" t="e">
        <f>IF(O86+1&lt;=MIN('Données projet'!$E$9:$E$18),O86+1,"STOP")</f>
        <v>#VALUE!</v>
      </c>
      <c r="P87" s="184" t="e">
        <f t="shared" si="5"/>
        <v>#VALUE!</v>
      </c>
    </row>
    <row r="88" spans="1:16" ht="16.5" customHeight="1" x14ac:dyDescent="0.25">
      <c r="A88" s="179">
        <f>'Données projet'!A91</f>
        <v>50</v>
      </c>
      <c r="B88" s="180">
        <f>'Données projet'!D91</f>
        <v>39</v>
      </c>
      <c r="C88" s="190">
        <v>25</v>
      </c>
      <c r="D88" s="178">
        <f t="shared" si="6"/>
        <v>975</v>
      </c>
      <c r="E88" s="192"/>
      <c r="F88" s="230"/>
      <c r="G88" s="204"/>
      <c r="H88" s="189"/>
      <c r="I88" s="190"/>
      <c r="J88" s="4"/>
      <c r="K88" s="172"/>
      <c r="L88" s="4"/>
      <c r="M88" s="4"/>
      <c r="N88" s="4"/>
      <c r="O88" s="193" t="e">
        <f>IF(O87+1&lt;=MIN('Données projet'!$E$9:$E$18),O87+1,"STOP")</f>
        <v>#VALUE!</v>
      </c>
      <c r="P88" s="184" t="e">
        <f t="shared" si="5"/>
        <v>#VALUE!</v>
      </c>
    </row>
    <row r="89" spans="1:16" ht="16.5" customHeight="1" x14ac:dyDescent="0.25">
      <c r="A89" s="179">
        <f>'Données projet'!A92</f>
        <v>60</v>
      </c>
      <c r="B89" s="180">
        <f>'Données projet'!D92</f>
        <v>45</v>
      </c>
      <c r="C89" s="190">
        <v>30</v>
      </c>
      <c r="D89" s="178">
        <f t="shared" si="6"/>
        <v>1350</v>
      </c>
      <c r="E89" s="192"/>
      <c r="F89" s="230"/>
      <c r="G89" s="204"/>
      <c r="H89" s="189"/>
      <c r="I89" s="190"/>
      <c r="J89" s="4"/>
      <c r="K89" s="172"/>
      <c r="L89" s="4"/>
      <c r="M89" s="4"/>
      <c r="N89" s="4"/>
      <c r="O89" s="193" t="e">
        <f>IF(O88+1&lt;=MIN('Données projet'!$E$9:$E$18),O88+1,"STOP")</f>
        <v>#VALUE!</v>
      </c>
      <c r="P89" s="184" t="e">
        <f t="shared" si="5"/>
        <v>#VALUE!</v>
      </c>
    </row>
    <row r="90" spans="1:16" ht="16.5" customHeight="1" x14ac:dyDescent="0.25">
      <c r="A90" s="179">
        <f>'Données projet'!A93</f>
        <v>70</v>
      </c>
      <c r="B90" s="180">
        <f>'Données projet'!D93</f>
        <v>50</v>
      </c>
      <c r="C90" s="190">
        <v>40</v>
      </c>
      <c r="D90" s="178">
        <f t="shared" si="6"/>
        <v>2000</v>
      </c>
      <c r="E90" s="192"/>
      <c r="F90" s="230"/>
      <c r="G90" s="204"/>
      <c r="H90" s="189"/>
      <c r="I90" s="190"/>
      <c r="J90" s="4"/>
      <c r="K90" s="172"/>
      <c r="L90" s="4"/>
      <c r="M90" s="4"/>
      <c r="N90" s="4"/>
      <c r="O90" s="193" t="e">
        <f>IF(O89+1&lt;=MIN('Données projet'!$E$9:$E$18),O89+1,"STOP")</f>
        <v>#VALUE!</v>
      </c>
      <c r="P90" s="184" t="e">
        <f t="shared" si="5"/>
        <v>#VALUE!</v>
      </c>
    </row>
    <row r="91" spans="1:16" x14ac:dyDescent="0.25">
      <c r="A91" s="179">
        <f>'Données projet'!A94</f>
        <v>80</v>
      </c>
      <c r="B91" s="180">
        <f>'Données projet'!D94</f>
        <v>358</v>
      </c>
      <c r="C91" s="190">
        <v>50</v>
      </c>
      <c r="D91" s="178">
        <f t="shared" si="6"/>
        <v>17900</v>
      </c>
      <c r="E91" s="192"/>
      <c r="F91" s="230"/>
      <c r="G91" s="205"/>
      <c r="H91" s="189"/>
      <c r="I91" s="190"/>
      <c r="J91" s="4"/>
      <c r="K91" s="172"/>
      <c r="L91" s="4"/>
      <c r="M91" s="4"/>
      <c r="N91" s="4"/>
      <c r="O91" s="193" t="e">
        <f>IF(O90+1&lt;=MIN('Données projet'!$E$9:$E$18),O90+1,"STOP")</f>
        <v>#VALUE!</v>
      </c>
      <c r="P91" s="184" t="e">
        <f t="shared" si="5"/>
        <v>#VALUE!</v>
      </c>
    </row>
    <row r="92" spans="1:16" x14ac:dyDescent="0.25">
      <c r="A92" s="179">
        <f>'Données projet'!A95</f>
        <v>0</v>
      </c>
      <c r="B92" s="180">
        <f>'Données projet'!D95</f>
        <v>0</v>
      </c>
      <c r="C92" s="190"/>
      <c r="D92" s="178">
        <f t="shared" si="6"/>
        <v>0</v>
      </c>
      <c r="E92" s="192"/>
      <c r="F92" s="230"/>
      <c r="G92" s="205"/>
      <c r="H92" s="189"/>
      <c r="I92" s="190"/>
      <c r="J92" s="4"/>
      <c r="K92" s="172"/>
      <c r="L92" s="4"/>
      <c r="M92" s="4"/>
      <c r="N92" s="4"/>
      <c r="O92" s="193" t="e">
        <f>IF(O91+1&lt;=MIN('Données projet'!$E$9:$E$18),O91+1,"STOP")</f>
        <v>#VALUE!</v>
      </c>
      <c r="P92" s="184" t="e">
        <f t="shared" si="5"/>
        <v>#VALUE!</v>
      </c>
    </row>
    <row r="93" spans="1:16" x14ac:dyDescent="0.25">
      <c r="A93" s="179">
        <f>'Données projet'!A96</f>
        <v>0</v>
      </c>
      <c r="B93" s="180">
        <f>'Données projet'!D96</f>
        <v>0</v>
      </c>
      <c r="C93" s="190"/>
      <c r="D93" s="178">
        <f t="shared" si="6"/>
        <v>0</v>
      </c>
      <c r="E93" s="192"/>
      <c r="F93" s="230"/>
      <c r="G93" s="205"/>
      <c r="H93" s="189"/>
      <c r="I93" s="190"/>
      <c r="J93" s="4"/>
      <c r="K93" s="172"/>
      <c r="L93" s="4"/>
      <c r="M93" s="4"/>
      <c r="N93" s="4"/>
      <c r="O93" s="193" t="e">
        <f>IF(O92+1&lt;=MIN('Données projet'!$E$9:$E$18),O92+1,"STOP")</f>
        <v>#VALUE!</v>
      </c>
      <c r="P93" s="184" t="e">
        <f t="shared" si="5"/>
        <v>#VALUE!</v>
      </c>
    </row>
    <row r="94" spans="1:16" x14ac:dyDescent="0.25">
      <c r="A94" s="179">
        <f>'Données projet'!A97</f>
        <v>0</v>
      </c>
      <c r="B94" s="180">
        <f>'Données projet'!D97</f>
        <v>0</v>
      </c>
      <c r="C94" s="190"/>
      <c r="D94" s="178">
        <f t="shared" si="6"/>
        <v>0</v>
      </c>
      <c r="E94" s="192"/>
      <c r="F94" s="230"/>
      <c r="G94" s="205"/>
      <c r="H94" s="189"/>
      <c r="I94" s="190"/>
      <c r="J94" s="4"/>
      <c r="K94" s="172"/>
      <c r="L94" s="4"/>
      <c r="M94" s="4"/>
      <c r="N94" s="4"/>
      <c r="O94" s="193" t="e">
        <f>IF(O93+1&lt;=MIN('Données projet'!$E$9:$E$18),O93+1,"STOP")</f>
        <v>#VALUE!</v>
      </c>
      <c r="P94" s="184" t="e">
        <f t="shared" si="5"/>
        <v>#VALUE!</v>
      </c>
    </row>
    <row r="95" spans="1:16" x14ac:dyDescent="0.25">
      <c r="A95" s="179">
        <f>'Données projet'!A98</f>
        <v>0</v>
      </c>
      <c r="B95" s="180">
        <f>'Données projet'!D98</f>
        <v>0</v>
      </c>
      <c r="C95" s="190"/>
      <c r="D95" s="178">
        <f t="shared" si="6"/>
        <v>0</v>
      </c>
      <c r="E95" s="192"/>
      <c r="F95" s="230"/>
      <c r="G95" s="205"/>
      <c r="H95" s="189"/>
      <c r="I95" s="190"/>
      <c r="J95" s="4"/>
      <c r="K95" s="172"/>
      <c r="L95" s="4"/>
      <c r="M95" s="4"/>
      <c r="N95" s="4"/>
      <c r="O95" s="193" t="e">
        <f>IF(O94+1&lt;=MIN('Données projet'!$E$9:$E$18),O94+1,"STOP")</f>
        <v>#VALUE!</v>
      </c>
      <c r="P95" s="184" t="e">
        <f t="shared" si="5"/>
        <v>#VALUE!</v>
      </c>
    </row>
    <row r="96" spans="1:16" x14ac:dyDescent="0.25">
      <c r="A96" s="179">
        <f>'Données projet'!A99</f>
        <v>0</v>
      </c>
      <c r="B96" s="180">
        <f>'Données projet'!D99</f>
        <v>0</v>
      </c>
      <c r="C96" s="190"/>
      <c r="D96" s="178">
        <f t="shared" si="6"/>
        <v>0</v>
      </c>
      <c r="E96" s="192"/>
      <c r="F96" s="230"/>
      <c r="G96" s="205"/>
      <c r="H96" s="189"/>
      <c r="I96" s="190"/>
      <c r="J96" s="4"/>
      <c r="K96" s="172"/>
      <c r="L96" s="4"/>
      <c r="M96" s="4"/>
      <c r="N96" s="4"/>
      <c r="O96" s="193" t="e">
        <f>IF(O95+1&lt;=MIN('Données projet'!$E$9:$E$18),O95+1,"STOP")</f>
        <v>#VALUE!</v>
      </c>
      <c r="P96" s="184" t="e">
        <f t="shared" si="5"/>
        <v>#VALUE!</v>
      </c>
    </row>
    <row r="97" spans="1:16" x14ac:dyDescent="0.25">
      <c r="A97" s="179">
        <f>'Données projet'!A100</f>
        <v>0</v>
      </c>
      <c r="B97" s="180">
        <f>'Données projet'!D100</f>
        <v>0</v>
      </c>
      <c r="C97" s="190"/>
      <c r="D97" s="178">
        <f t="shared" si="6"/>
        <v>0</v>
      </c>
      <c r="E97" s="192"/>
      <c r="F97" s="230"/>
      <c r="G97" s="205"/>
      <c r="H97" s="189"/>
      <c r="I97" s="190"/>
      <c r="J97" s="4"/>
      <c r="K97" s="172"/>
      <c r="L97" s="4"/>
      <c r="M97" s="4"/>
      <c r="N97" s="4"/>
      <c r="O97" s="193" t="e">
        <f>IF(O96+1&lt;=MIN('Données projet'!$E$9:$E$18),O96+1,"STOP")</f>
        <v>#VALUE!</v>
      </c>
      <c r="P97" s="184" t="e">
        <f t="shared" ref="P97:P128" si="7">$P$25/(1+$M$4)^O97</f>
        <v>#VALUE!</v>
      </c>
    </row>
    <row r="98" spans="1:16" x14ac:dyDescent="0.25">
      <c r="A98" s="179">
        <f>'Données projet'!A101</f>
        <v>0</v>
      </c>
      <c r="B98" s="180">
        <f>'Données projet'!D101</f>
        <v>0</v>
      </c>
      <c r="C98" s="190"/>
      <c r="D98" s="178">
        <f t="shared" si="6"/>
        <v>0</v>
      </c>
      <c r="E98" s="192"/>
      <c r="F98" s="230"/>
      <c r="G98" s="205"/>
      <c r="H98" s="189"/>
      <c r="I98" s="190"/>
      <c r="J98" s="4"/>
      <c r="K98" s="172"/>
      <c r="L98" s="4"/>
      <c r="M98" s="4"/>
      <c r="N98" s="4"/>
      <c r="O98" s="193" t="e">
        <f>IF(O97+1&lt;=MIN('Données projet'!$E$9:$E$18),O97+1,"STOP")</f>
        <v>#VALUE!</v>
      </c>
      <c r="P98" s="184" t="e">
        <f t="shared" si="7"/>
        <v>#VALUE!</v>
      </c>
    </row>
    <row r="99" spans="1:16" x14ac:dyDescent="0.25">
      <c r="A99" s="179">
        <f>'Données projet'!A102</f>
        <v>0</v>
      </c>
      <c r="B99" s="180">
        <f>'Données projet'!D102</f>
        <v>0</v>
      </c>
      <c r="C99" s="190"/>
      <c r="D99" s="178">
        <f t="shared" si="6"/>
        <v>0</v>
      </c>
      <c r="E99" s="192"/>
      <c r="F99" s="230"/>
      <c r="G99" s="205"/>
      <c r="H99" s="189"/>
      <c r="I99" s="190"/>
      <c r="J99" s="4"/>
      <c r="K99" s="172"/>
      <c r="L99" s="4"/>
      <c r="M99" s="4"/>
      <c r="N99" s="4"/>
      <c r="O99" s="193" t="e">
        <f>IF(O98+1&lt;=MIN('Données projet'!$E$9:$E$18),O98+1,"STOP")</f>
        <v>#VALUE!</v>
      </c>
      <c r="P99" s="184" t="e">
        <f t="shared" si="7"/>
        <v>#VALUE!</v>
      </c>
    </row>
    <row r="100" spans="1:16" x14ac:dyDescent="0.25">
      <c r="A100" s="179">
        <f>'Données projet'!A103</f>
        <v>0</v>
      </c>
      <c r="B100" s="180">
        <f>'Données projet'!D103</f>
        <v>0</v>
      </c>
      <c r="C100" s="190"/>
      <c r="D100" s="178">
        <f t="shared" si="6"/>
        <v>0</v>
      </c>
      <c r="E100" s="192"/>
      <c r="F100" s="230"/>
      <c r="G100" s="205"/>
      <c r="H100" s="189"/>
      <c r="I100" s="190"/>
      <c r="J100" s="4"/>
      <c r="K100" s="172"/>
      <c r="L100" s="4"/>
      <c r="M100" s="4"/>
      <c r="N100" s="4"/>
      <c r="O100" s="193" t="e">
        <f>IF(O99+1&lt;=MIN('Données projet'!$E$9:$E$18),O99+1,"STOP")</f>
        <v>#VALUE!</v>
      </c>
      <c r="P100" s="184" t="e">
        <f t="shared" si="7"/>
        <v>#VALUE!</v>
      </c>
    </row>
    <row r="101" spans="1:16" x14ac:dyDescent="0.25">
      <c r="A101" s="179">
        <f>'Données projet'!A104</f>
        <v>0</v>
      </c>
      <c r="B101" s="180">
        <f>'Données projet'!D104</f>
        <v>0</v>
      </c>
      <c r="C101" s="190"/>
      <c r="D101" s="178">
        <f t="shared" si="6"/>
        <v>0</v>
      </c>
      <c r="E101" s="192"/>
      <c r="F101" s="230"/>
      <c r="G101" s="205"/>
      <c r="H101" s="189"/>
      <c r="I101" s="190"/>
      <c r="J101" s="4"/>
      <c r="K101" s="172"/>
      <c r="L101" s="4"/>
      <c r="M101" s="4"/>
      <c r="N101" s="4"/>
      <c r="O101" s="193" t="e">
        <f>IF(O100+1&lt;=MIN('Données projet'!$E$9:$E$18),O100+1,"STOP")</f>
        <v>#VALUE!</v>
      </c>
      <c r="P101" s="184" t="e">
        <f t="shared" si="7"/>
        <v>#VALUE!</v>
      </c>
    </row>
    <row r="102" spans="1:16" x14ac:dyDescent="0.25">
      <c r="A102" s="179">
        <f>'Données projet'!A105</f>
        <v>0</v>
      </c>
      <c r="B102" s="180">
        <f>'Données projet'!D105</f>
        <v>0</v>
      </c>
      <c r="C102" s="190"/>
      <c r="D102" s="178">
        <f t="shared" si="6"/>
        <v>0</v>
      </c>
      <c r="E102" s="192"/>
      <c r="F102" s="230"/>
      <c r="G102" s="205"/>
      <c r="H102" s="189"/>
      <c r="I102" s="190"/>
      <c r="J102" s="4"/>
      <c r="K102" s="172"/>
      <c r="L102" s="4"/>
      <c r="M102" s="4"/>
      <c r="N102" s="4"/>
      <c r="O102" s="193" t="e">
        <f>IF(O101+1&lt;=MIN('Données projet'!$E$9:$E$18),O101+1,"STOP")</f>
        <v>#VALUE!</v>
      </c>
      <c r="P102" s="184" t="e">
        <f t="shared" si="7"/>
        <v>#VALUE!</v>
      </c>
    </row>
    <row r="103" spans="1:16" x14ac:dyDescent="0.25">
      <c r="A103" s="179">
        <f>'Données projet'!A106</f>
        <v>0</v>
      </c>
      <c r="B103" s="180">
        <f>'Données projet'!D106</f>
        <v>0</v>
      </c>
      <c r="C103" s="190"/>
      <c r="D103" s="178">
        <f t="shared" si="6"/>
        <v>0</v>
      </c>
      <c r="E103" s="192"/>
      <c r="F103" s="230"/>
      <c r="G103" s="205"/>
      <c r="H103" s="189"/>
      <c r="I103" s="190"/>
      <c r="J103" s="4"/>
      <c r="K103" s="172"/>
      <c r="L103" s="4"/>
      <c r="M103" s="4"/>
      <c r="N103" s="4"/>
      <c r="O103" s="193" t="e">
        <f>IF(O102+1&lt;=MIN('Données projet'!$E$9:$E$18),O102+1,"STOP")</f>
        <v>#VALUE!</v>
      </c>
      <c r="P103" s="184" t="e">
        <f t="shared" si="7"/>
        <v>#VALUE!</v>
      </c>
    </row>
    <row r="104" spans="1:16" x14ac:dyDescent="0.25">
      <c r="A104" s="179">
        <f>'Données projet'!A107</f>
        <v>0</v>
      </c>
      <c r="B104" s="180">
        <f>'Données projet'!D107</f>
        <v>0</v>
      </c>
      <c r="C104" s="190"/>
      <c r="D104" s="178">
        <f t="shared" si="6"/>
        <v>0</v>
      </c>
      <c r="E104" s="192"/>
      <c r="F104" s="230"/>
      <c r="G104" s="205"/>
      <c r="H104" s="189"/>
      <c r="I104" s="190"/>
      <c r="J104" s="4"/>
      <c r="K104" s="172"/>
      <c r="L104" s="4"/>
      <c r="M104" s="4"/>
      <c r="N104" s="4"/>
      <c r="O104" s="193" t="e">
        <f>IF(O103+1&lt;=MIN('Données projet'!$E$9:$E$18),O103+1,"STOP")</f>
        <v>#VALUE!</v>
      </c>
      <c r="P104" s="184" t="e">
        <f t="shared" si="7"/>
        <v>#VALUE!</v>
      </c>
    </row>
    <row r="105" spans="1:16" x14ac:dyDescent="0.25">
      <c r="A105" s="4"/>
      <c r="B105" s="4"/>
      <c r="C105" s="4"/>
      <c r="D105" s="4"/>
      <c r="E105" s="4"/>
      <c r="F105" s="228"/>
      <c r="G105" s="205"/>
      <c r="H105" s="189"/>
      <c r="I105" s="190"/>
      <c r="J105" s="4"/>
      <c r="K105" s="172"/>
      <c r="L105" s="4"/>
      <c r="M105" s="4"/>
      <c r="N105" s="4"/>
      <c r="O105" s="193" t="e">
        <f>IF(O104+1&lt;=MIN('Données projet'!$E$9:$E$18),O104+1,"STOP")</f>
        <v>#VALUE!</v>
      </c>
      <c r="P105" s="184" t="e">
        <f t="shared" si="7"/>
        <v>#VALUE!</v>
      </c>
    </row>
    <row r="106" spans="1:16" x14ac:dyDescent="0.25">
      <c r="A106" s="4"/>
      <c r="B106" s="4"/>
      <c r="C106" s="4"/>
      <c r="D106" s="4"/>
      <c r="E106" s="4"/>
      <c r="F106" s="228"/>
      <c r="G106" s="205"/>
      <c r="H106" s="189"/>
      <c r="I106" s="190"/>
      <c r="J106" s="4"/>
      <c r="K106" s="172"/>
      <c r="L106" s="4"/>
      <c r="M106" s="4"/>
      <c r="N106" s="4"/>
      <c r="O106" s="193" t="e">
        <f>IF(O105+1&lt;=MIN('Données projet'!$E$9:$E$18),O105+1,"STOP")</f>
        <v>#VALUE!</v>
      </c>
      <c r="P106" s="184" t="e">
        <f t="shared" si="7"/>
        <v>#VALUE!</v>
      </c>
    </row>
    <row r="107" spans="1:16" x14ac:dyDescent="0.25">
      <c r="A107" s="46" t="s">
        <v>22</v>
      </c>
      <c r="B107" s="173" t="str">
        <f>IF('Données projet'!B12="","",'Données projet'!B12)</f>
        <v/>
      </c>
      <c r="C107" s="4"/>
      <c r="D107" s="4"/>
      <c r="E107" s="4"/>
      <c r="F107" s="228"/>
      <c r="G107" s="205"/>
      <c r="H107" s="189"/>
      <c r="I107" s="190"/>
      <c r="J107" s="4"/>
      <c r="K107" s="172"/>
      <c r="L107" s="4"/>
      <c r="M107" s="4"/>
      <c r="N107" s="4"/>
      <c r="O107" s="193" t="e">
        <f>IF(O106+1&lt;=MIN('Données projet'!$E$9:$E$18),O106+1,"STOP")</f>
        <v>#VALUE!</v>
      </c>
      <c r="P107" s="184" t="e">
        <f t="shared" si="7"/>
        <v>#VALUE!</v>
      </c>
    </row>
    <row r="108" spans="1:16" x14ac:dyDescent="0.25">
      <c r="A108" s="4"/>
      <c r="B108" s="4"/>
      <c r="C108" s="4"/>
      <c r="D108" s="4"/>
      <c r="E108" s="4"/>
      <c r="F108" s="228"/>
      <c r="G108" s="205"/>
      <c r="H108" s="189"/>
      <c r="I108" s="190"/>
      <c r="J108" s="4"/>
      <c r="K108" s="172"/>
      <c r="L108" s="4"/>
      <c r="M108" s="4"/>
      <c r="N108" s="4"/>
      <c r="O108" s="193" t="e">
        <f>IF(O107+1&lt;=MIN('Données projet'!$E$9:$E$18),O107+1,"STOP")</f>
        <v>#VALUE!</v>
      </c>
      <c r="P108" s="184" t="e">
        <f t="shared" si="7"/>
        <v>#VALUE!</v>
      </c>
    </row>
    <row r="109" spans="1:16" x14ac:dyDescent="0.25">
      <c r="A109" s="36" t="s">
        <v>47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29"/>
      <c r="G109" s="205"/>
      <c r="H109" s="189"/>
      <c r="I109" s="190"/>
      <c r="J109" s="4"/>
      <c r="K109" s="172"/>
      <c r="L109" s="4"/>
      <c r="M109" s="4"/>
      <c r="N109" s="4"/>
      <c r="O109" s="193" t="e">
        <f>IF(O108+1&lt;=MIN('Données projet'!$E$9:$E$18),O108+1,"STOP")</f>
        <v>#VALUE!</v>
      </c>
      <c r="P109" s="184" t="e">
        <f t="shared" si="7"/>
        <v>#VALUE!</v>
      </c>
    </row>
    <row r="110" spans="1:16" x14ac:dyDescent="0.25">
      <c r="A110" s="49">
        <v>0</v>
      </c>
      <c r="B110" s="198" t="s">
        <v>195</v>
      </c>
      <c r="C110" s="197" t="s">
        <v>195</v>
      </c>
      <c r="D110" s="196" t="s">
        <v>195</v>
      </c>
      <c r="E110" s="192"/>
      <c r="F110" s="229"/>
      <c r="G110" s="205"/>
      <c r="H110" s="189"/>
      <c r="I110" s="190"/>
      <c r="J110" s="4"/>
      <c r="K110" s="172"/>
      <c r="L110" s="4"/>
      <c r="M110" s="4"/>
      <c r="N110" s="4"/>
      <c r="O110" s="193" t="e">
        <f>IF(O109+1&lt;=MIN('Données projet'!$E$9:$E$18),O109+1,"STOP")</f>
        <v>#VALUE!</v>
      </c>
      <c r="P110" s="184" t="e">
        <f t="shared" si="7"/>
        <v>#VALUE!</v>
      </c>
    </row>
    <row r="111" spans="1:16" x14ac:dyDescent="0.25">
      <c r="A111" s="49">
        <v>1</v>
      </c>
      <c r="B111" s="198" t="s">
        <v>195</v>
      </c>
      <c r="C111" s="197" t="s">
        <v>195</v>
      </c>
      <c r="D111" s="196" t="s">
        <v>195</v>
      </c>
      <c r="E111" s="192"/>
      <c r="F111" s="229"/>
      <c r="G111" s="23"/>
      <c r="H111" s="189"/>
      <c r="I111" s="190"/>
      <c r="J111" s="4"/>
      <c r="K111" s="172"/>
      <c r="L111" s="4"/>
      <c r="M111" s="4"/>
      <c r="N111" s="4"/>
      <c r="O111" s="193" t="e">
        <f>IF(O110+1&lt;=MIN('Données projet'!$E$9:$E$18),O110+1,"STOP")</f>
        <v>#VALUE!</v>
      </c>
      <c r="P111" s="184" t="e">
        <f t="shared" si="7"/>
        <v>#VALUE!</v>
      </c>
    </row>
    <row r="112" spans="1:16" x14ac:dyDescent="0.25">
      <c r="A112" s="49">
        <v>2</v>
      </c>
      <c r="B112" s="198" t="s">
        <v>195</v>
      </c>
      <c r="C112" s="197" t="s">
        <v>195</v>
      </c>
      <c r="D112" s="196" t="s">
        <v>195</v>
      </c>
      <c r="E112" s="192"/>
      <c r="F112" s="229"/>
      <c r="G112" s="23"/>
      <c r="H112" s="189"/>
      <c r="I112" s="190"/>
      <c r="J112" s="4"/>
      <c r="K112" s="172"/>
      <c r="L112" s="4"/>
      <c r="M112" s="4"/>
      <c r="N112" s="4"/>
      <c r="O112" s="193" t="e">
        <f>IF(O111+1&lt;=MIN('Données projet'!$E$9:$E$18),O111+1,"STOP")</f>
        <v>#VALUE!</v>
      </c>
      <c r="P112" s="184" t="e">
        <f t="shared" si="7"/>
        <v>#VALUE!</v>
      </c>
    </row>
    <row r="113" spans="1:16" x14ac:dyDescent="0.25">
      <c r="A113" s="49">
        <v>3</v>
      </c>
      <c r="B113" s="198" t="s">
        <v>195</v>
      </c>
      <c r="C113" s="197" t="s">
        <v>195</v>
      </c>
      <c r="D113" s="196" t="s">
        <v>195</v>
      </c>
      <c r="E113" s="192"/>
      <c r="F113" s="229"/>
      <c r="G113" s="23"/>
      <c r="H113" s="189"/>
      <c r="I113" s="190"/>
      <c r="J113" s="4"/>
      <c r="K113" s="172"/>
      <c r="L113" s="4"/>
      <c r="M113" s="4"/>
      <c r="N113" s="4"/>
      <c r="O113" s="193" t="e">
        <f>IF(O112+1&lt;=MIN('Données projet'!$E$9:$E$18),O112+1,"STOP")</f>
        <v>#VALUE!</v>
      </c>
      <c r="P113" s="184" t="e">
        <f t="shared" si="7"/>
        <v>#VALUE!</v>
      </c>
    </row>
    <row r="114" spans="1:16" x14ac:dyDescent="0.25">
      <c r="A114" s="49">
        <v>4</v>
      </c>
      <c r="B114" s="198" t="s">
        <v>195</v>
      </c>
      <c r="C114" s="197" t="s">
        <v>195</v>
      </c>
      <c r="D114" s="196" t="s">
        <v>195</v>
      </c>
      <c r="E114" s="192"/>
      <c r="F114" s="229"/>
      <c r="G114" s="23"/>
      <c r="H114" s="189"/>
      <c r="I114" s="190"/>
      <c r="J114" s="4"/>
      <c r="K114" s="172"/>
      <c r="L114" s="4"/>
      <c r="M114" s="4"/>
      <c r="N114" s="4"/>
      <c r="O114" s="193" t="e">
        <f>IF(O113+1&lt;=MIN('Données projet'!$E$9:$E$18),O113+1,"STOP")</f>
        <v>#VALUE!</v>
      </c>
      <c r="P114" s="184" t="e">
        <f t="shared" si="7"/>
        <v>#VALUE!</v>
      </c>
    </row>
    <row r="115" spans="1:16" ht="16.5" customHeight="1" x14ac:dyDescent="0.25">
      <c r="A115" s="49">
        <v>5</v>
      </c>
      <c r="B115" s="198" t="s">
        <v>195</v>
      </c>
      <c r="C115" s="197" t="s">
        <v>195</v>
      </c>
      <c r="D115" s="196" t="s">
        <v>195</v>
      </c>
      <c r="E115" s="192"/>
      <c r="F115" s="229"/>
      <c r="G115" s="204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</row>
    <row r="116" spans="1:16" ht="16.5" customHeight="1" x14ac:dyDescent="0.25">
      <c r="A116" s="179">
        <f>'Données projet'!A114</f>
        <v>0</v>
      </c>
      <c r="B116" s="180">
        <f>'Données projet'!D114</f>
        <v>0</v>
      </c>
      <c r="C116" s="190"/>
      <c r="D116" s="178">
        <f>B116*C116</f>
        <v>0</v>
      </c>
      <c r="E116" s="192"/>
      <c r="F116" s="230"/>
      <c r="G116" s="204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</row>
    <row r="117" spans="1:16" ht="16.5" customHeight="1" x14ac:dyDescent="0.25">
      <c r="A117" s="179">
        <f>'Données projet'!A115</f>
        <v>0</v>
      </c>
      <c r="B117" s="180">
        <f>'Données projet'!D115</f>
        <v>0</v>
      </c>
      <c r="C117" s="190"/>
      <c r="D117" s="178">
        <f t="shared" ref="D117:D135" si="8">B117*C117</f>
        <v>0</v>
      </c>
      <c r="E117" s="192"/>
      <c r="F117" s="230"/>
      <c r="G117" s="204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</row>
    <row r="118" spans="1:16" ht="16.5" customHeight="1" x14ac:dyDescent="0.25">
      <c r="A118" s="179">
        <f>'Données projet'!A116</f>
        <v>0</v>
      </c>
      <c r="B118" s="180">
        <f>'Données projet'!D116</f>
        <v>0</v>
      </c>
      <c r="C118" s="190"/>
      <c r="D118" s="178">
        <f t="shared" si="8"/>
        <v>0</v>
      </c>
      <c r="E118" s="192"/>
      <c r="F118" s="230"/>
      <c r="G118" s="204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</row>
    <row r="119" spans="1:16" ht="16.5" customHeight="1" x14ac:dyDescent="0.25">
      <c r="A119" s="179">
        <f>'Données projet'!A117</f>
        <v>0</v>
      </c>
      <c r="B119" s="180">
        <f>'Données projet'!D117</f>
        <v>0</v>
      </c>
      <c r="C119" s="190"/>
      <c r="D119" s="178">
        <f t="shared" si="8"/>
        <v>0</v>
      </c>
      <c r="E119" s="192"/>
      <c r="F119" s="230"/>
      <c r="G119" s="204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</row>
    <row r="120" spans="1:16" ht="16.5" customHeight="1" x14ac:dyDescent="0.25">
      <c r="A120" s="179">
        <f>'Données projet'!A118</f>
        <v>0</v>
      </c>
      <c r="B120" s="180">
        <f>'Données projet'!D118</f>
        <v>0</v>
      </c>
      <c r="C120" s="190"/>
      <c r="D120" s="178">
        <f t="shared" si="8"/>
        <v>0</v>
      </c>
      <c r="E120" s="192"/>
      <c r="F120" s="230"/>
      <c r="G120" s="204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</row>
    <row r="121" spans="1:16" ht="16.5" customHeight="1" x14ac:dyDescent="0.25">
      <c r="A121" s="179">
        <f>'Données projet'!A119</f>
        <v>0</v>
      </c>
      <c r="B121" s="180">
        <f>'Données projet'!D119</f>
        <v>0</v>
      </c>
      <c r="C121" s="190"/>
      <c r="D121" s="178">
        <f t="shared" si="8"/>
        <v>0</v>
      </c>
      <c r="E121" s="192"/>
      <c r="F121" s="230"/>
      <c r="G121" s="204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</row>
    <row r="122" spans="1:16" x14ac:dyDescent="0.25">
      <c r="A122" s="179">
        <f>'Données projet'!A120</f>
        <v>0</v>
      </c>
      <c r="B122" s="180">
        <f>'Données projet'!D120</f>
        <v>0</v>
      </c>
      <c r="C122" s="190"/>
      <c r="D122" s="178">
        <f t="shared" si="8"/>
        <v>0</v>
      </c>
      <c r="E122" s="192"/>
      <c r="F122" s="230"/>
      <c r="G122" s="205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</row>
    <row r="123" spans="1:16" x14ac:dyDescent="0.25">
      <c r="A123" s="179">
        <f>'Données projet'!A121</f>
        <v>0</v>
      </c>
      <c r="B123" s="180">
        <f>'Données projet'!D121</f>
        <v>0</v>
      </c>
      <c r="C123" s="190"/>
      <c r="D123" s="178">
        <f t="shared" si="8"/>
        <v>0</v>
      </c>
      <c r="E123" s="192"/>
      <c r="F123" s="230"/>
      <c r="G123" s="205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</row>
    <row r="124" spans="1:16" x14ac:dyDescent="0.25">
      <c r="A124" s="179">
        <f>'Données projet'!A122</f>
        <v>0</v>
      </c>
      <c r="B124" s="180">
        <f>'Données projet'!D122</f>
        <v>0</v>
      </c>
      <c r="C124" s="190"/>
      <c r="D124" s="178">
        <f t="shared" si="8"/>
        <v>0</v>
      </c>
      <c r="E124" s="192"/>
      <c r="F124" s="230"/>
      <c r="G124" s="205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</row>
    <row r="125" spans="1:16" x14ac:dyDescent="0.25">
      <c r="A125" s="179">
        <f>'Données projet'!A123</f>
        <v>0</v>
      </c>
      <c r="B125" s="180">
        <f>'Données projet'!D123</f>
        <v>0</v>
      </c>
      <c r="C125" s="190"/>
      <c r="D125" s="178">
        <f t="shared" si="8"/>
        <v>0</v>
      </c>
      <c r="E125" s="192"/>
      <c r="F125" s="230"/>
      <c r="G125" s="205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</row>
    <row r="126" spans="1:16" x14ac:dyDescent="0.25">
      <c r="A126" s="179">
        <f>'Données projet'!A124</f>
        <v>0</v>
      </c>
      <c r="B126" s="180">
        <f>'Données projet'!D124</f>
        <v>0</v>
      </c>
      <c r="C126" s="190"/>
      <c r="D126" s="178">
        <f t="shared" si="8"/>
        <v>0</v>
      </c>
      <c r="E126" s="192"/>
      <c r="F126" s="230"/>
      <c r="G126" s="205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</row>
    <row r="127" spans="1:16" x14ac:dyDescent="0.25">
      <c r="A127" s="179">
        <f>'Données projet'!A125</f>
        <v>0</v>
      </c>
      <c r="B127" s="180">
        <f>'Données projet'!D125</f>
        <v>0</v>
      </c>
      <c r="C127" s="190"/>
      <c r="D127" s="178">
        <f t="shared" si="8"/>
        <v>0</v>
      </c>
      <c r="E127" s="192"/>
      <c r="F127" s="230"/>
      <c r="G127" s="205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</row>
    <row r="128" spans="1:16" x14ac:dyDescent="0.25">
      <c r="A128" s="179">
        <f>'Données projet'!A126</f>
        <v>0</v>
      </c>
      <c r="B128" s="180">
        <f>'Données projet'!D126</f>
        <v>0</v>
      </c>
      <c r="C128" s="190"/>
      <c r="D128" s="178">
        <f t="shared" si="8"/>
        <v>0</v>
      </c>
      <c r="E128" s="192"/>
      <c r="F128" s="230"/>
      <c r="G128" s="205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</row>
    <row r="129" spans="1:16" x14ac:dyDescent="0.25">
      <c r="A129" s="179">
        <f>'Données projet'!A127</f>
        <v>0</v>
      </c>
      <c r="B129" s="180">
        <f>'Données projet'!D127</f>
        <v>0</v>
      </c>
      <c r="C129" s="190"/>
      <c r="D129" s="178">
        <f t="shared" si="8"/>
        <v>0</v>
      </c>
      <c r="E129" s="192"/>
      <c r="F129" s="230"/>
      <c r="G129" s="205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</row>
    <row r="130" spans="1:16" x14ac:dyDescent="0.25">
      <c r="A130" s="179">
        <f>'Données projet'!A128</f>
        <v>0</v>
      </c>
      <c r="B130" s="180">
        <f>'Données projet'!D128</f>
        <v>0</v>
      </c>
      <c r="C130" s="190"/>
      <c r="D130" s="178">
        <f t="shared" si="8"/>
        <v>0</v>
      </c>
      <c r="E130" s="192"/>
      <c r="F130" s="230"/>
      <c r="G130" s="205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</row>
    <row r="131" spans="1:16" x14ac:dyDescent="0.25">
      <c r="A131" s="179">
        <f>'Données projet'!A129</f>
        <v>0</v>
      </c>
      <c r="B131" s="180">
        <f>'Données projet'!D129</f>
        <v>0</v>
      </c>
      <c r="C131" s="190"/>
      <c r="D131" s="178">
        <f t="shared" si="8"/>
        <v>0</v>
      </c>
      <c r="E131" s="192"/>
      <c r="F131" s="230"/>
      <c r="G131" s="205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</row>
    <row r="132" spans="1:16" x14ac:dyDescent="0.25">
      <c r="A132" s="179">
        <f>'Données projet'!A130</f>
        <v>0</v>
      </c>
      <c r="B132" s="180">
        <f>'Données projet'!D130</f>
        <v>0</v>
      </c>
      <c r="C132" s="190"/>
      <c r="D132" s="178">
        <f t="shared" si="8"/>
        <v>0</v>
      </c>
      <c r="E132" s="192"/>
      <c r="F132" s="230"/>
      <c r="G132" s="205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</row>
    <row r="133" spans="1:16" x14ac:dyDescent="0.25">
      <c r="A133" s="179">
        <f>'Données projet'!A131</f>
        <v>0</v>
      </c>
      <c r="B133" s="180">
        <f>'Données projet'!D131</f>
        <v>0</v>
      </c>
      <c r="C133" s="190"/>
      <c r="D133" s="178">
        <f t="shared" si="8"/>
        <v>0</v>
      </c>
      <c r="E133" s="192"/>
      <c r="F133" s="230"/>
      <c r="G133" s="205"/>
      <c r="H133" s="189"/>
      <c r="I133" s="190"/>
      <c r="J133" s="4"/>
      <c r="K133" s="172"/>
    </row>
    <row r="134" spans="1:16" x14ac:dyDescent="0.25">
      <c r="A134" s="179">
        <f>'Données projet'!A132</f>
        <v>0</v>
      </c>
      <c r="B134" s="180">
        <f>'Données projet'!D132</f>
        <v>0</v>
      </c>
      <c r="C134" s="190"/>
      <c r="D134" s="178">
        <f t="shared" si="8"/>
        <v>0</v>
      </c>
      <c r="E134" s="192"/>
      <c r="F134" s="230"/>
      <c r="G134" s="205"/>
      <c r="H134" s="189"/>
      <c r="I134" s="190"/>
      <c r="J134" s="4"/>
      <c r="K134" s="172"/>
    </row>
    <row r="135" spans="1:16" x14ac:dyDescent="0.25">
      <c r="A135" s="179">
        <f>'Données projet'!A133</f>
        <v>0</v>
      </c>
      <c r="B135" s="180">
        <f>'Données projet'!D133</f>
        <v>0</v>
      </c>
      <c r="C135" s="190"/>
      <c r="D135" s="178">
        <f t="shared" si="8"/>
        <v>0</v>
      </c>
      <c r="E135" s="192"/>
      <c r="F135" s="230"/>
      <c r="G135" s="205"/>
      <c r="H135" s="189"/>
      <c r="I135" s="190"/>
      <c r="J135" s="4"/>
      <c r="K135" s="172"/>
    </row>
    <row r="136" spans="1:16" x14ac:dyDescent="0.25">
      <c r="A136" s="4"/>
      <c r="B136" s="4"/>
      <c r="C136" s="4"/>
      <c r="D136" s="4"/>
      <c r="E136" s="4"/>
      <c r="F136" s="228"/>
      <c r="G136" s="205"/>
      <c r="H136" s="189"/>
      <c r="I136" s="190"/>
      <c r="J136" s="4"/>
      <c r="K136" s="172"/>
      <c r="L136" s="4"/>
      <c r="M136" s="4"/>
      <c r="N136" s="4"/>
    </row>
    <row r="137" spans="1:16" x14ac:dyDescent="0.25">
      <c r="A137" s="4"/>
      <c r="B137" s="4"/>
      <c r="C137" s="4"/>
      <c r="D137" s="4"/>
      <c r="E137" s="4"/>
      <c r="F137" s="228"/>
      <c r="G137" s="205"/>
      <c r="H137" s="189"/>
      <c r="I137" s="190"/>
      <c r="J137" s="4"/>
      <c r="K137" s="172"/>
      <c r="L137" s="4"/>
      <c r="M137" s="4"/>
      <c r="N137" s="4"/>
    </row>
    <row r="138" spans="1:16" x14ac:dyDescent="0.25">
      <c r="A138" s="46" t="s">
        <v>23</v>
      </c>
      <c r="B138" s="173" t="str">
        <f>IF('Données projet'!B13="","",'Données projet'!B13)</f>
        <v/>
      </c>
      <c r="C138" s="4"/>
      <c r="D138" s="4"/>
      <c r="E138" s="4"/>
      <c r="F138" s="228"/>
      <c r="G138" s="205"/>
      <c r="H138" s="189"/>
      <c r="I138" s="190"/>
      <c r="J138" s="4"/>
      <c r="K138" s="172"/>
      <c r="L138" s="4"/>
      <c r="M138" s="4"/>
      <c r="N138" s="4"/>
    </row>
    <row r="139" spans="1:16" x14ac:dyDescent="0.25">
      <c r="A139" s="4"/>
      <c r="B139" s="4"/>
      <c r="C139" s="4"/>
      <c r="D139" s="4"/>
      <c r="E139" s="4"/>
      <c r="F139" s="228"/>
      <c r="G139" s="205"/>
      <c r="H139" s="189"/>
      <c r="I139" s="190"/>
      <c r="J139" s="4"/>
      <c r="K139" s="172"/>
      <c r="L139" s="4"/>
      <c r="M139" s="4"/>
      <c r="N139" s="4"/>
    </row>
    <row r="140" spans="1:16" x14ac:dyDescent="0.25">
      <c r="A140" s="36" t="s">
        <v>47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29"/>
      <c r="G140" s="205"/>
      <c r="H140" s="189"/>
      <c r="I140" s="190"/>
      <c r="J140" s="4"/>
      <c r="K140" s="172"/>
      <c r="L140" s="4"/>
      <c r="M140" s="4"/>
      <c r="N140" s="4"/>
    </row>
    <row r="141" spans="1:16" x14ac:dyDescent="0.25">
      <c r="A141" s="49">
        <v>0</v>
      </c>
      <c r="B141" s="198" t="s">
        <v>195</v>
      </c>
      <c r="C141" s="197" t="s">
        <v>195</v>
      </c>
      <c r="D141" s="196" t="s">
        <v>195</v>
      </c>
      <c r="E141" s="192"/>
      <c r="F141" s="229"/>
      <c r="G141" s="205"/>
      <c r="H141" s="189"/>
      <c r="I141" s="190"/>
      <c r="J141" s="4"/>
      <c r="K141" s="172"/>
      <c r="L141" s="4"/>
      <c r="M141" s="4"/>
      <c r="N141" s="4"/>
    </row>
    <row r="142" spans="1:16" x14ac:dyDescent="0.25">
      <c r="A142" s="49">
        <v>1</v>
      </c>
      <c r="B142" s="198" t="s">
        <v>195</v>
      </c>
      <c r="C142" s="197" t="s">
        <v>195</v>
      </c>
      <c r="D142" s="196" t="s">
        <v>195</v>
      </c>
      <c r="E142" s="192"/>
      <c r="F142" s="229"/>
      <c r="G142" s="23"/>
      <c r="H142" s="189"/>
      <c r="I142" s="190"/>
      <c r="J142" s="4"/>
      <c r="K142" s="172"/>
      <c r="L142" s="4"/>
      <c r="M142" s="4"/>
      <c r="N142" s="4"/>
    </row>
    <row r="143" spans="1:16" x14ac:dyDescent="0.25">
      <c r="A143" s="49">
        <v>2</v>
      </c>
      <c r="B143" s="198" t="s">
        <v>195</v>
      </c>
      <c r="C143" s="197" t="s">
        <v>195</v>
      </c>
      <c r="D143" s="196" t="s">
        <v>195</v>
      </c>
      <c r="E143" s="192"/>
      <c r="F143" s="229"/>
      <c r="G143" s="23"/>
      <c r="H143" s="189"/>
      <c r="I143" s="190"/>
      <c r="J143" s="4"/>
      <c r="K143" s="172"/>
      <c r="L143" s="4"/>
      <c r="M143" s="4"/>
      <c r="N143" s="4"/>
    </row>
    <row r="144" spans="1:16" x14ac:dyDescent="0.25">
      <c r="A144" s="49">
        <v>3</v>
      </c>
      <c r="B144" s="198" t="s">
        <v>195</v>
      </c>
      <c r="C144" s="197" t="s">
        <v>195</v>
      </c>
      <c r="D144" s="196" t="s">
        <v>195</v>
      </c>
      <c r="E144" s="192"/>
      <c r="F144" s="229"/>
      <c r="G144" s="23"/>
      <c r="H144" s="189"/>
      <c r="I144" s="190"/>
      <c r="J144" s="4"/>
      <c r="K144" s="172"/>
      <c r="L144" s="4"/>
      <c r="M144" s="4"/>
      <c r="N144" s="4"/>
    </row>
    <row r="145" spans="1:5" x14ac:dyDescent="0.25">
      <c r="A145" s="49">
        <v>4</v>
      </c>
      <c r="B145" s="198" t="s">
        <v>195</v>
      </c>
      <c r="C145" s="197" t="s">
        <v>195</v>
      </c>
      <c r="D145" s="196" t="s">
        <v>195</v>
      </c>
      <c r="E145" s="192"/>
    </row>
    <row r="146" spans="1:5" ht="15.75" customHeight="1" x14ac:dyDescent="0.25">
      <c r="A146" s="49">
        <v>5</v>
      </c>
      <c r="B146" s="198" t="s">
        <v>195</v>
      </c>
      <c r="C146" s="197" t="s">
        <v>195</v>
      </c>
      <c r="D146" s="196" t="s">
        <v>195</v>
      </c>
      <c r="E146" s="192"/>
    </row>
    <row r="147" spans="1:5" ht="15.75" customHeight="1" x14ac:dyDescent="0.25">
      <c r="A147" s="42">
        <f>'Données projet'!A140</f>
        <v>0</v>
      </c>
      <c r="B147" s="174">
        <f>'Données projet'!D140</f>
        <v>0</v>
      </c>
      <c r="C147" s="190"/>
      <c r="D147" s="181">
        <f>B147*C147</f>
        <v>0</v>
      </c>
      <c r="E147" s="192"/>
    </row>
    <row r="148" spans="1:5" ht="15.75" customHeight="1" x14ac:dyDescent="0.25">
      <c r="A148" s="42">
        <f>'Données projet'!A141</f>
        <v>0</v>
      </c>
      <c r="B148" s="174">
        <f>'Données projet'!D141</f>
        <v>0</v>
      </c>
      <c r="C148" s="190"/>
      <c r="D148" s="181">
        <f t="shared" ref="D148:D166" si="10">B148*C148</f>
        <v>0</v>
      </c>
      <c r="E148" s="192"/>
    </row>
    <row r="149" spans="1:5" ht="15.75" customHeight="1" x14ac:dyDescent="0.25">
      <c r="A149" s="42">
        <f>'Données projet'!A142</f>
        <v>0</v>
      </c>
      <c r="B149" s="174">
        <f>'Données projet'!D142</f>
        <v>0</v>
      </c>
      <c r="C149" s="190"/>
      <c r="D149" s="181">
        <f t="shared" si="10"/>
        <v>0</v>
      </c>
      <c r="E149" s="192"/>
    </row>
    <row r="150" spans="1:5" ht="15.75" customHeight="1" x14ac:dyDescent="0.25">
      <c r="A150" s="42">
        <f>'Données projet'!A143</f>
        <v>0</v>
      </c>
      <c r="B150" s="174">
        <f>'Données projet'!D143</f>
        <v>0</v>
      </c>
      <c r="C150" s="190"/>
      <c r="D150" s="181">
        <f t="shared" si="10"/>
        <v>0</v>
      </c>
      <c r="E150" s="192"/>
    </row>
    <row r="151" spans="1:5" ht="15.75" customHeight="1" x14ac:dyDescent="0.25">
      <c r="A151" s="42">
        <f>'Données projet'!A144</f>
        <v>0</v>
      </c>
      <c r="B151" s="174">
        <f>'Données projet'!D144</f>
        <v>0</v>
      </c>
      <c r="C151" s="190"/>
      <c r="D151" s="181">
        <f t="shared" si="10"/>
        <v>0</v>
      </c>
      <c r="E151" s="192"/>
    </row>
    <row r="152" spans="1:5" ht="15.75" customHeight="1" x14ac:dyDescent="0.25">
      <c r="A152" s="42">
        <f>'Données projet'!A145</f>
        <v>0</v>
      </c>
      <c r="B152" s="174">
        <f>'Données projet'!D145</f>
        <v>0</v>
      </c>
      <c r="C152" s="190"/>
      <c r="D152" s="181">
        <f t="shared" si="10"/>
        <v>0</v>
      </c>
      <c r="E152" s="192"/>
    </row>
    <row r="153" spans="1:5" x14ac:dyDescent="0.25">
      <c r="A153" s="42">
        <f>'Données projet'!A146</f>
        <v>0</v>
      </c>
      <c r="B153" s="174">
        <f>'Données projet'!D146</f>
        <v>0</v>
      </c>
      <c r="C153" s="190"/>
      <c r="D153" s="181">
        <f t="shared" si="10"/>
        <v>0</v>
      </c>
      <c r="E153" s="192"/>
    </row>
    <row r="154" spans="1:5" x14ac:dyDescent="0.25">
      <c r="A154" s="42">
        <f>'Données projet'!A147</f>
        <v>0</v>
      </c>
      <c r="B154" s="174">
        <f>'Données projet'!D147</f>
        <v>0</v>
      </c>
      <c r="C154" s="190"/>
      <c r="D154" s="181">
        <f t="shared" si="10"/>
        <v>0</v>
      </c>
      <c r="E154" s="192"/>
    </row>
    <row r="155" spans="1:5" x14ac:dyDescent="0.25">
      <c r="A155" s="42">
        <f>'Données projet'!A148</f>
        <v>0</v>
      </c>
      <c r="B155" s="174">
        <f>'Données projet'!D148</f>
        <v>0</v>
      </c>
      <c r="C155" s="190"/>
      <c r="D155" s="181">
        <f t="shared" si="10"/>
        <v>0</v>
      </c>
      <c r="E155" s="192"/>
    </row>
    <row r="156" spans="1:5" x14ac:dyDescent="0.25">
      <c r="A156" s="42">
        <f>'Données projet'!A149</f>
        <v>0</v>
      </c>
      <c r="B156" s="174">
        <f>'Données projet'!D149</f>
        <v>0</v>
      </c>
      <c r="C156" s="190"/>
      <c r="D156" s="181">
        <f t="shared" si="10"/>
        <v>0</v>
      </c>
      <c r="E156" s="192"/>
    </row>
    <row r="157" spans="1:5" x14ac:dyDescent="0.25">
      <c r="A157" s="42">
        <f>'Données projet'!A150</f>
        <v>0</v>
      </c>
      <c r="B157" s="174">
        <f>'Données projet'!D150</f>
        <v>0</v>
      </c>
      <c r="C157" s="190"/>
      <c r="D157" s="181">
        <f t="shared" si="10"/>
        <v>0</v>
      </c>
      <c r="E157" s="192"/>
    </row>
    <row r="158" spans="1:5" x14ac:dyDescent="0.25">
      <c r="A158" s="42">
        <f>'Données projet'!A151</f>
        <v>0</v>
      </c>
      <c r="B158" s="174">
        <f>'Données projet'!D151</f>
        <v>0</v>
      </c>
      <c r="C158" s="190"/>
      <c r="D158" s="181">
        <f t="shared" si="10"/>
        <v>0</v>
      </c>
      <c r="E158" s="192"/>
    </row>
    <row r="159" spans="1:5" x14ac:dyDescent="0.25">
      <c r="A159" s="42">
        <f>'Données projet'!A152</f>
        <v>0</v>
      </c>
      <c r="B159" s="174">
        <f>'Données projet'!D152</f>
        <v>0</v>
      </c>
      <c r="C159" s="190"/>
      <c r="D159" s="181">
        <f t="shared" si="10"/>
        <v>0</v>
      </c>
      <c r="E159" s="192"/>
    </row>
    <row r="160" spans="1:5" x14ac:dyDescent="0.25">
      <c r="A160" s="42">
        <f>'Données projet'!A153</f>
        <v>0</v>
      </c>
      <c r="B160" s="174">
        <f>'Données projet'!D153</f>
        <v>0</v>
      </c>
      <c r="C160" s="190"/>
      <c r="D160" s="181">
        <f t="shared" si="10"/>
        <v>0</v>
      </c>
      <c r="E160" s="192"/>
    </row>
    <row r="161" spans="1:5" x14ac:dyDescent="0.25">
      <c r="A161" s="42">
        <f>'Données projet'!A154</f>
        <v>0</v>
      </c>
      <c r="B161" s="174">
        <f>'Données projet'!D154</f>
        <v>0</v>
      </c>
      <c r="C161" s="190"/>
      <c r="D161" s="181">
        <f t="shared" si="10"/>
        <v>0</v>
      </c>
      <c r="E161" s="192"/>
    </row>
    <row r="162" spans="1:5" x14ac:dyDescent="0.25">
      <c r="A162" s="42">
        <f>'Données projet'!A155</f>
        <v>0</v>
      </c>
      <c r="B162" s="174">
        <f>'Données projet'!D155</f>
        <v>0</v>
      </c>
      <c r="C162" s="190"/>
      <c r="D162" s="181">
        <f t="shared" si="10"/>
        <v>0</v>
      </c>
      <c r="E162" s="192"/>
    </row>
    <row r="163" spans="1:5" x14ac:dyDescent="0.25">
      <c r="A163" s="42">
        <f>'Données projet'!A156</f>
        <v>0</v>
      </c>
      <c r="B163" s="174">
        <f>'Données projet'!D156</f>
        <v>0</v>
      </c>
      <c r="C163" s="190"/>
      <c r="D163" s="181">
        <f t="shared" si="10"/>
        <v>0</v>
      </c>
      <c r="E163" s="192"/>
    </row>
    <row r="164" spans="1:5" x14ac:dyDescent="0.25">
      <c r="A164" s="42">
        <f>'Données projet'!A157</f>
        <v>0</v>
      </c>
      <c r="B164" s="174">
        <f>'Données projet'!D157</f>
        <v>0</v>
      </c>
      <c r="C164" s="190"/>
      <c r="D164" s="181">
        <f t="shared" si="10"/>
        <v>0</v>
      </c>
      <c r="E164" s="192"/>
    </row>
    <row r="165" spans="1:5" x14ac:dyDescent="0.25">
      <c r="A165" s="42">
        <f>'Données projet'!A158</f>
        <v>0</v>
      </c>
      <c r="B165" s="174">
        <f>'Données projet'!D158</f>
        <v>0</v>
      </c>
      <c r="C165" s="190"/>
      <c r="D165" s="181">
        <f t="shared" si="10"/>
        <v>0</v>
      </c>
      <c r="E165" s="192"/>
    </row>
    <row r="166" spans="1:5" x14ac:dyDescent="0.25">
      <c r="A166" s="42">
        <f>'Données projet'!A159</f>
        <v>0</v>
      </c>
      <c r="B166" s="174">
        <f>'Données projet'!D159</f>
        <v>0</v>
      </c>
      <c r="C166" s="190"/>
      <c r="D166" s="181">
        <f t="shared" si="10"/>
        <v>0</v>
      </c>
      <c r="E166" s="192"/>
    </row>
    <row r="167" spans="1:5" x14ac:dyDescent="0.25">
      <c r="A167" s="4"/>
      <c r="B167" s="4"/>
      <c r="C167" s="4"/>
      <c r="D167" s="4"/>
      <c r="E167" s="4"/>
    </row>
    <row r="168" spans="1:5" x14ac:dyDescent="0.25">
      <c r="A168" s="4"/>
      <c r="B168" s="4"/>
      <c r="C168" s="4"/>
      <c r="D168" s="4"/>
      <c r="E168" s="4"/>
    </row>
    <row r="169" spans="1:5" x14ac:dyDescent="0.25">
      <c r="A169" s="46" t="s">
        <v>24</v>
      </c>
      <c r="B169" s="173" t="str">
        <f>IF('Données projet'!B14="","",'Données projet'!B14)</f>
        <v/>
      </c>
      <c r="C169" s="4"/>
      <c r="D169" s="4"/>
      <c r="E169" s="4"/>
    </row>
    <row r="170" spans="1:5" x14ac:dyDescent="0.25">
      <c r="A170" s="4"/>
      <c r="B170" s="4"/>
      <c r="C170" s="4"/>
      <c r="D170" s="4"/>
      <c r="E170" s="4"/>
    </row>
    <row r="171" spans="1:5" x14ac:dyDescent="0.25">
      <c r="A171" s="36" t="s">
        <v>47</v>
      </c>
      <c r="B171" s="48" t="s">
        <v>307</v>
      </c>
      <c r="C171" s="48" t="s">
        <v>308</v>
      </c>
      <c r="D171" s="36" t="s">
        <v>309</v>
      </c>
      <c r="E171" s="36" t="s">
        <v>310</v>
      </c>
    </row>
    <row r="172" spans="1:5" x14ac:dyDescent="0.25">
      <c r="A172" s="49">
        <v>0</v>
      </c>
      <c r="B172" s="198" t="s">
        <v>195</v>
      </c>
      <c r="C172" s="197" t="s">
        <v>195</v>
      </c>
      <c r="D172" s="196" t="s">
        <v>195</v>
      </c>
      <c r="E172" s="192"/>
    </row>
    <row r="173" spans="1:5" x14ac:dyDescent="0.25">
      <c r="A173" s="49">
        <v>1</v>
      </c>
      <c r="B173" s="198" t="s">
        <v>195</v>
      </c>
      <c r="C173" s="197" t="s">
        <v>195</v>
      </c>
      <c r="D173" s="196" t="s">
        <v>195</v>
      </c>
      <c r="E173" s="192"/>
    </row>
    <row r="174" spans="1:5" x14ac:dyDescent="0.25">
      <c r="A174" s="49">
        <v>2</v>
      </c>
      <c r="B174" s="198" t="s">
        <v>195</v>
      </c>
      <c r="C174" s="197" t="s">
        <v>195</v>
      </c>
      <c r="D174" s="196" t="s">
        <v>195</v>
      </c>
      <c r="E174" s="192"/>
    </row>
    <row r="175" spans="1:5" x14ac:dyDescent="0.25">
      <c r="A175" s="49">
        <v>3</v>
      </c>
      <c r="B175" s="198" t="s">
        <v>195</v>
      </c>
      <c r="C175" s="197" t="s">
        <v>195</v>
      </c>
      <c r="D175" s="196" t="s">
        <v>195</v>
      </c>
      <c r="E175" s="192"/>
    </row>
    <row r="176" spans="1:5" x14ac:dyDescent="0.25">
      <c r="A176" s="49">
        <v>4</v>
      </c>
      <c r="B176" s="198" t="s">
        <v>195</v>
      </c>
      <c r="C176" s="197" t="s">
        <v>195</v>
      </c>
      <c r="D176" s="196" t="s">
        <v>195</v>
      </c>
      <c r="E176" s="192"/>
    </row>
    <row r="177" spans="1:5" ht="15" customHeight="1" x14ac:dyDescent="0.25">
      <c r="A177" s="49">
        <v>5</v>
      </c>
      <c r="B177" s="198" t="s">
        <v>195</v>
      </c>
      <c r="C177" s="197" t="s">
        <v>195</v>
      </c>
      <c r="D177" s="196" t="s">
        <v>195</v>
      </c>
      <c r="E177" s="192"/>
    </row>
    <row r="178" spans="1:5" x14ac:dyDescent="0.25">
      <c r="A178" s="179">
        <f>'Données projet'!A166</f>
        <v>0</v>
      </c>
      <c r="B178" s="180">
        <f>'Données projet'!D166</f>
        <v>0</v>
      </c>
      <c r="C178" s="192"/>
      <c r="D178" s="178">
        <f>B178*C178</f>
        <v>0</v>
      </c>
      <c r="E178" s="192"/>
    </row>
    <row r="179" spans="1:5" x14ac:dyDescent="0.25">
      <c r="A179" s="179">
        <f>'Données projet'!A167</f>
        <v>0</v>
      </c>
      <c r="B179" s="180">
        <f>'Données projet'!D167</f>
        <v>0</v>
      </c>
      <c r="C179" s="192"/>
      <c r="D179" s="178">
        <f t="shared" ref="D179:D197" si="11">B179*C179</f>
        <v>0</v>
      </c>
      <c r="E179" s="192"/>
    </row>
    <row r="180" spans="1:5" x14ac:dyDescent="0.25">
      <c r="A180" s="179">
        <f>'Données projet'!A168</f>
        <v>0</v>
      </c>
      <c r="B180" s="180">
        <f>'Données projet'!D168</f>
        <v>0</v>
      </c>
      <c r="C180" s="192"/>
      <c r="D180" s="178">
        <f t="shared" si="11"/>
        <v>0</v>
      </c>
      <c r="E180" s="192"/>
    </row>
    <row r="181" spans="1:5" x14ac:dyDescent="0.25">
      <c r="A181" s="179">
        <f>'Données projet'!A169</f>
        <v>0</v>
      </c>
      <c r="B181" s="180">
        <f>'Données projet'!D169</f>
        <v>0</v>
      </c>
      <c r="C181" s="192"/>
      <c r="D181" s="178">
        <f t="shared" si="11"/>
        <v>0</v>
      </c>
      <c r="E181" s="192"/>
    </row>
    <row r="182" spans="1:5" x14ac:dyDescent="0.25">
      <c r="A182" s="179">
        <f>'Données projet'!A170</f>
        <v>0</v>
      </c>
      <c r="B182" s="180">
        <f>'Données projet'!D170</f>
        <v>0</v>
      </c>
      <c r="C182" s="192"/>
      <c r="D182" s="178">
        <f t="shared" si="11"/>
        <v>0</v>
      </c>
      <c r="E182" s="192"/>
    </row>
    <row r="183" spans="1:5" x14ac:dyDescent="0.25">
      <c r="A183" s="179">
        <f>'Données projet'!A171</f>
        <v>0</v>
      </c>
      <c r="B183" s="180">
        <f>'Données projet'!D171</f>
        <v>0</v>
      </c>
      <c r="C183" s="192"/>
      <c r="D183" s="178">
        <f t="shared" si="11"/>
        <v>0</v>
      </c>
      <c r="E183" s="192"/>
    </row>
    <row r="184" spans="1:5" x14ac:dyDescent="0.25">
      <c r="A184" s="179">
        <f>'Données projet'!A172</f>
        <v>0</v>
      </c>
      <c r="B184" s="180">
        <f>'Données projet'!D172</f>
        <v>0</v>
      </c>
      <c r="C184" s="192"/>
      <c r="D184" s="178">
        <f t="shared" si="11"/>
        <v>0</v>
      </c>
      <c r="E184" s="192"/>
    </row>
    <row r="185" spans="1:5" x14ac:dyDescent="0.25">
      <c r="A185" s="179">
        <f>'Données projet'!A173</f>
        <v>0</v>
      </c>
      <c r="B185" s="180">
        <f>'Données projet'!D173</f>
        <v>0</v>
      </c>
      <c r="C185" s="192"/>
      <c r="D185" s="178">
        <f t="shared" si="11"/>
        <v>0</v>
      </c>
      <c r="E185" s="192"/>
    </row>
    <row r="186" spans="1:5" x14ac:dyDescent="0.25">
      <c r="A186" s="179">
        <f>'Données projet'!A174</f>
        <v>0</v>
      </c>
      <c r="B186" s="180">
        <f>'Données projet'!D174</f>
        <v>0</v>
      </c>
      <c r="C186" s="192"/>
      <c r="D186" s="178">
        <f t="shared" si="11"/>
        <v>0</v>
      </c>
      <c r="E186" s="192"/>
    </row>
    <row r="187" spans="1:5" x14ac:dyDescent="0.25">
      <c r="A187" s="179">
        <f>'Données projet'!A175</f>
        <v>0</v>
      </c>
      <c r="B187" s="180">
        <f>'Données projet'!D175</f>
        <v>0</v>
      </c>
      <c r="C187" s="192"/>
      <c r="D187" s="178">
        <f t="shared" si="11"/>
        <v>0</v>
      </c>
      <c r="E187" s="192"/>
    </row>
    <row r="188" spans="1:5" x14ac:dyDescent="0.25">
      <c r="A188" s="179">
        <f>'Données projet'!A176</f>
        <v>0</v>
      </c>
      <c r="B188" s="180">
        <f>'Données projet'!D176</f>
        <v>0</v>
      </c>
      <c r="C188" s="192"/>
      <c r="D188" s="178">
        <f t="shared" si="11"/>
        <v>0</v>
      </c>
      <c r="E188" s="192"/>
    </row>
    <row r="189" spans="1:5" x14ac:dyDescent="0.25">
      <c r="A189" s="179">
        <f>'Données projet'!A177</f>
        <v>0</v>
      </c>
      <c r="B189" s="180">
        <f>'Données projet'!D177</f>
        <v>0</v>
      </c>
      <c r="C189" s="192"/>
      <c r="D189" s="178">
        <f t="shared" si="11"/>
        <v>0</v>
      </c>
      <c r="E189" s="192"/>
    </row>
    <row r="190" spans="1:5" x14ac:dyDescent="0.25">
      <c r="A190" s="179">
        <f>'Données projet'!A178</f>
        <v>0</v>
      </c>
      <c r="B190" s="180">
        <f>'Données projet'!D178</f>
        <v>0</v>
      </c>
      <c r="C190" s="192"/>
      <c r="D190" s="178">
        <f t="shared" si="11"/>
        <v>0</v>
      </c>
      <c r="E190" s="192"/>
    </row>
    <row r="191" spans="1:5" x14ac:dyDescent="0.25">
      <c r="A191" s="179">
        <f>'Données projet'!A179</f>
        <v>0</v>
      </c>
      <c r="B191" s="180">
        <f>'Données projet'!D179</f>
        <v>0</v>
      </c>
      <c r="C191" s="192"/>
      <c r="D191" s="178">
        <f t="shared" si="11"/>
        <v>0</v>
      </c>
      <c r="E191" s="192"/>
    </row>
    <row r="192" spans="1:5" x14ac:dyDescent="0.25">
      <c r="A192" s="179">
        <f>'Données projet'!A180</f>
        <v>0</v>
      </c>
      <c r="B192" s="180">
        <f>'Données projet'!D180</f>
        <v>0</v>
      </c>
      <c r="C192" s="192"/>
      <c r="D192" s="178">
        <f t="shared" si="11"/>
        <v>0</v>
      </c>
      <c r="E192" s="192"/>
    </row>
    <row r="193" spans="1:5" x14ac:dyDescent="0.25">
      <c r="A193" s="179">
        <f>'Données projet'!A181</f>
        <v>0</v>
      </c>
      <c r="B193" s="180">
        <f>'Données projet'!D181</f>
        <v>0</v>
      </c>
      <c r="C193" s="192"/>
      <c r="D193" s="178">
        <f t="shared" si="11"/>
        <v>0</v>
      </c>
      <c r="E193" s="192"/>
    </row>
    <row r="194" spans="1:5" x14ac:dyDescent="0.25">
      <c r="A194" s="179">
        <f>'Données projet'!A182</f>
        <v>0</v>
      </c>
      <c r="B194" s="180">
        <f>'Données projet'!D182</f>
        <v>0</v>
      </c>
      <c r="C194" s="192"/>
      <c r="D194" s="178">
        <f t="shared" si="11"/>
        <v>0</v>
      </c>
      <c r="E194" s="192"/>
    </row>
    <row r="195" spans="1:5" x14ac:dyDescent="0.25">
      <c r="A195" s="179">
        <f>'Données projet'!A183</f>
        <v>0</v>
      </c>
      <c r="B195" s="180">
        <f>'Données projet'!D183</f>
        <v>0</v>
      </c>
      <c r="C195" s="192"/>
      <c r="D195" s="178">
        <f t="shared" si="11"/>
        <v>0</v>
      </c>
      <c r="E195" s="192"/>
    </row>
    <row r="196" spans="1:5" x14ac:dyDescent="0.25">
      <c r="A196" s="179">
        <f>'Données projet'!A184</f>
        <v>0</v>
      </c>
      <c r="B196" s="180">
        <f>'Données projet'!D184</f>
        <v>0</v>
      </c>
      <c r="C196" s="192"/>
      <c r="D196" s="178">
        <f t="shared" si="11"/>
        <v>0</v>
      </c>
      <c r="E196" s="192"/>
    </row>
    <row r="197" spans="1:5" x14ac:dyDescent="0.25">
      <c r="A197" s="179">
        <f>'Données projet'!A185</f>
        <v>0</v>
      </c>
      <c r="B197" s="180">
        <f>'Données projet'!D185</f>
        <v>0</v>
      </c>
      <c r="C197" s="192"/>
      <c r="D197" s="178">
        <f t="shared" si="11"/>
        <v>0</v>
      </c>
      <c r="E197" s="192"/>
    </row>
    <row r="198" spans="1:5" x14ac:dyDescent="0.25">
      <c r="A198" s="4"/>
      <c r="B198" s="4"/>
      <c r="C198" s="4"/>
      <c r="D198" s="4"/>
      <c r="E198" s="4"/>
    </row>
    <row r="199" spans="1:5" x14ac:dyDescent="0.25">
      <c r="A199" s="4"/>
      <c r="B199" s="4"/>
      <c r="C199" s="4"/>
      <c r="D199" s="4"/>
      <c r="E199" s="4"/>
    </row>
    <row r="200" spans="1:5" x14ac:dyDescent="0.25">
      <c r="A200" s="46" t="s">
        <v>25</v>
      </c>
      <c r="B200" s="173" t="str">
        <f>IF('Données projet'!$B$15="","",'Données projet'!$B$15)</f>
        <v/>
      </c>
      <c r="C200" s="4"/>
      <c r="D200" s="4"/>
      <c r="E200" s="4"/>
    </row>
    <row r="201" spans="1:5" x14ac:dyDescent="0.25">
      <c r="A201" s="46"/>
      <c r="B201" s="4"/>
      <c r="C201" s="4"/>
      <c r="D201" s="4"/>
      <c r="E201" s="4"/>
    </row>
    <row r="202" spans="1:5" x14ac:dyDescent="0.25">
      <c r="A202" s="36" t="s">
        <v>47</v>
      </c>
      <c r="B202" s="48" t="s">
        <v>307</v>
      </c>
      <c r="C202" s="48" t="s">
        <v>308</v>
      </c>
      <c r="D202" s="36" t="s">
        <v>309</v>
      </c>
      <c r="E202" s="36" t="s">
        <v>310</v>
      </c>
    </row>
    <row r="203" spans="1:5" x14ac:dyDescent="0.25">
      <c r="A203" s="49">
        <v>0</v>
      </c>
      <c r="B203" s="198" t="s">
        <v>195</v>
      </c>
      <c r="C203" s="197" t="s">
        <v>195</v>
      </c>
      <c r="D203" s="196" t="s">
        <v>195</v>
      </c>
      <c r="E203" s="192"/>
    </row>
    <row r="204" spans="1:5" x14ac:dyDescent="0.25">
      <c r="A204" s="49">
        <v>1</v>
      </c>
      <c r="B204" s="198" t="s">
        <v>195</v>
      </c>
      <c r="C204" s="197" t="s">
        <v>195</v>
      </c>
      <c r="D204" s="196" t="s">
        <v>195</v>
      </c>
      <c r="E204" s="192"/>
    </row>
    <row r="205" spans="1:5" x14ac:dyDescent="0.25">
      <c r="A205" s="49">
        <v>2</v>
      </c>
      <c r="B205" s="198" t="s">
        <v>195</v>
      </c>
      <c r="C205" s="197" t="s">
        <v>195</v>
      </c>
      <c r="D205" s="196" t="s">
        <v>195</v>
      </c>
      <c r="E205" s="192"/>
    </row>
    <row r="206" spans="1:5" x14ac:dyDescent="0.25">
      <c r="A206" s="49">
        <v>3</v>
      </c>
      <c r="B206" s="198" t="s">
        <v>195</v>
      </c>
      <c r="C206" s="197" t="s">
        <v>195</v>
      </c>
      <c r="D206" s="196" t="s">
        <v>195</v>
      </c>
      <c r="E206" s="192"/>
    </row>
    <row r="207" spans="1:5" x14ac:dyDescent="0.25">
      <c r="A207" s="49">
        <v>4</v>
      </c>
      <c r="B207" s="198" t="s">
        <v>195</v>
      </c>
      <c r="C207" s="197" t="s">
        <v>195</v>
      </c>
      <c r="D207" s="196" t="s">
        <v>195</v>
      </c>
      <c r="E207" s="192"/>
    </row>
    <row r="208" spans="1:5" x14ac:dyDescent="0.25">
      <c r="A208" s="49">
        <v>5</v>
      </c>
      <c r="B208" s="198" t="s">
        <v>195</v>
      </c>
      <c r="C208" s="197" t="s">
        <v>195</v>
      </c>
      <c r="D208" s="196" t="s">
        <v>195</v>
      </c>
      <c r="E208" s="192"/>
    </row>
    <row r="209" spans="1:5" x14ac:dyDescent="0.25">
      <c r="A209" s="179">
        <f>'Données projet'!A192</f>
        <v>0</v>
      </c>
      <c r="B209" s="180">
        <f>'Données projet'!D192</f>
        <v>0</v>
      </c>
      <c r="C209" s="192"/>
      <c r="D209" s="178">
        <f>B209*C209</f>
        <v>0</v>
      </c>
      <c r="E209" s="192"/>
    </row>
    <row r="210" spans="1:5" x14ac:dyDescent="0.25">
      <c r="A210" s="179">
        <f>'Données projet'!A193</f>
        <v>0</v>
      </c>
      <c r="B210" s="180">
        <f>'Données projet'!D193</f>
        <v>0</v>
      </c>
      <c r="C210" s="192"/>
      <c r="D210" s="178">
        <f t="shared" ref="D210:D228" si="12">B210*C210</f>
        <v>0</v>
      </c>
      <c r="E210" s="192"/>
    </row>
    <row r="211" spans="1:5" x14ac:dyDescent="0.25">
      <c r="A211" s="179">
        <f>'Données projet'!A194</f>
        <v>0</v>
      </c>
      <c r="B211" s="180">
        <f>'Données projet'!D194</f>
        <v>0</v>
      </c>
      <c r="C211" s="192"/>
      <c r="D211" s="178">
        <f t="shared" si="12"/>
        <v>0</v>
      </c>
      <c r="E211" s="192"/>
    </row>
    <row r="212" spans="1:5" x14ac:dyDescent="0.25">
      <c r="A212" s="179">
        <f>'Données projet'!A195</f>
        <v>0</v>
      </c>
      <c r="B212" s="180">
        <f>'Données projet'!D195</f>
        <v>0</v>
      </c>
      <c r="C212" s="192"/>
      <c r="D212" s="178">
        <f t="shared" si="12"/>
        <v>0</v>
      </c>
      <c r="E212" s="192"/>
    </row>
    <row r="213" spans="1:5" x14ac:dyDescent="0.25">
      <c r="A213" s="179">
        <f>'Données projet'!A196</f>
        <v>0</v>
      </c>
      <c r="B213" s="180">
        <f>'Données projet'!D196</f>
        <v>0</v>
      </c>
      <c r="C213" s="192"/>
      <c r="D213" s="178">
        <f t="shared" si="12"/>
        <v>0</v>
      </c>
      <c r="E213" s="192"/>
    </row>
    <row r="214" spans="1:5" x14ac:dyDescent="0.25">
      <c r="A214" s="179">
        <f>'Données projet'!A197</f>
        <v>0</v>
      </c>
      <c r="B214" s="180">
        <f>'Données projet'!D197</f>
        <v>0</v>
      </c>
      <c r="C214" s="192"/>
      <c r="D214" s="178">
        <f t="shared" si="12"/>
        <v>0</v>
      </c>
      <c r="E214" s="192"/>
    </row>
    <row r="215" spans="1:5" x14ac:dyDescent="0.25">
      <c r="A215" s="179">
        <f>'Données projet'!A198</f>
        <v>0</v>
      </c>
      <c r="B215" s="180">
        <f>'Données projet'!D198</f>
        <v>0</v>
      </c>
      <c r="C215" s="192"/>
      <c r="D215" s="178">
        <f t="shared" si="12"/>
        <v>0</v>
      </c>
      <c r="E215" s="192"/>
    </row>
    <row r="216" spans="1:5" x14ac:dyDescent="0.25">
      <c r="A216" s="179">
        <f>'Données projet'!A199</f>
        <v>0</v>
      </c>
      <c r="B216" s="180">
        <f>'Données projet'!D199</f>
        <v>0</v>
      </c>
      <c r="C216" s="192"/>
      <c r="D216" s="178">
        <f t="shared" si="12"/>
        <v>0</v>
      </c>
      <c r="E216" s="192"/>
    </row>
    <row r="217" spans="1:5" x14ac:dyDescent="0.25">
      <c r="A217" s="179">
        <f>'Données projet'!A200</f>
        <v>0</v>
      </c>
      <c r="B217" s="180">
        <f>'Données projet'!D200</f>
        <v>0</v>
      </c>
      <c r="C217" s="192"/>
      <c r="D217" s="178">
        <f t="shared" si="12"/>
        <v>0</v>
      </c>
      <c r="E217" s="192"/>
    </row>
    <row r="218" spans="1:5" x14ac:dyDescent="0.25">
      <c r="A218" s="179">
        <f>'Données projet'!A201</f>
        <v>0</v>
      </c>
      <c r="B218" s="180">
        <f>'Données projet'!D201</f>
        <v>0</v>
      </c>
      <c r="C218" s="192"/>
      <c r="D218" s="178">
        <f t="shared" si="12"/>
        <v>0</v>
      </c>
      <c r="E218" s="192"/>
    </row>
    <row r="219" spans="1:5" x14ac:dyDescent="0.25">
      <c r="A219" s="179">
        <f>'Données projet'!A202</f>
        <v>0</v>
      </c>
      <c r="B219" s="180">
        <f>'Données projet'!D202</f>
        <v>0</v>
      </c>
      <c r="C219" s="192"/>
      <c r="D219" s="178">
        <f t="shared" si="12"/>
        <v>0</v>
      </c>
      <c r="E219" s="192"/>
    </row>
    <row r="220" spans="1:5" x14ac:dyDescent="0.25">
      <c r="A220" s="179">
        <f>'Données projet'!A203</f>
        <v>0</v>
      </c>
      <c r="B220" s="180">
        <f>'Données projet'!D203</f>
        <v>0</v>
      </c>
      <c r="C220" s="192"/>
      <c r="D220" s="178">
        <f t="shared" si="12"/>
        <v>0</v>
      </c>
      <c r="E220" s="192"/>
    </row>
    <row r="221" spans="1:5" x14ac:dyDescent="0.25">
      <c r="A221" s="179">
        <f>'Données projet'!A204</f>
        <v>0</v>
      </c>
      <c r="B221" s="180">
        <f>'Données projet'!D204</f>
        <v>0</v>
      </c>
      <c r="C221" s="192"/>
      <c r="D221" s="178">
        <f t="shared" si="12"/>
        <v>0</v>
      </c>
      <c r="E221" s="192"/>
    </row>
    <row r="222" spans="1:5" x14ac:dyDescent="0.25">
      <c r="A222" s="179">
        <f>'Données projet'!A205</f>
        <v>0</v>
      </c>
      <c r="B222" s="180">
        <f>'Données projet'!D205</f>
        <v>0</v>
      </c>
      <c r="C222" s="192"/>
      <c r="D222" s="178">
        <f t="shared" si="12"/>
        <v>0</v>
      </c>
      <c r="E222" s="192"/>
    </row>
    <row r="223" spans="1:5" x14ac:dyDescent="0.25">
      <c r="A223" s="179">
        <f>'Données projet'!A206</f>
        <v>0</v>
      </c>
      <c r="B223" s="180">
        <f>'Données projet'!D206</f>
        <v>0</v>
      </c>
      <c r="C223" s="192"/>
      <c r="D223" s="178">
        <f t="shared" si="12"/>
        <v>0</v>
      </c>
      <c r="E223" s="192"/>
    </row>
    <row r="224" spans="1:5" x14ac:dyDescent="0.25">
      <c r="A224" s="179">
        <f>'Données projet'!A207</f>
        <v>0</v>
      </c>
      <c r="B224" s="180">
        <f>'Données projet'!D207</f>
        <v>0</v>
      </c>
      <c r="C224" s="192"/>
      <c r="D224" s="178">
        <f t="shared" si="12"/>
        <v>0</v>
      </c>
      <c r="E224" s="192"/>
    </row>
    <row r="225" spans="1:5" x14ac:dyDescent="0.25">
      <c r="A225" s="179">
        <f>'Données projet'!A208</f>
        <v>0</v>
      </c>
      <c r="B225" s="180">
        <f>'Données projet'!D208</f>
        <v>0</v>
      </c>
      <c r="C225" s="192"/>
      <c r="D225" s="178">
        <f t="shared" si="12"/>
        <v>0</v>
      </c>
      <c r="E225" s="192"/>
    </row>
    <row r="226" spans="1:5" x14ac:dyDescent="0.25">
      <c r="A226" s="179">
        <f>'Données projet'!A209</f>
        <v>0</v>
      </c>
      <c r="B226" s="180">
        <f>'Données projet'!D209</f>
        <v>0</v>
      </c>
      <c r="C226" s="192"/>
      <c r="D226" s="178">
        <f t="shared" si="12"/>
        <v>0</v>
      </c>
      <c r="E226" s="192"/>
    </row>
    <row r="227" spans="1:5" x14ac:dyDescent="0.25">
      <c r="A227" s="179">
        <f>'Données projet'!A210</f>
        <v>0</v>
      </c>
      <c r="B227" s="180">
        <f>'Données projet'!D210</f>
        <v>0</v>
      </c>
      <c r="C227" s="192"/>
      <c r="D227" s="178">
        <f t="shared" si="12"/>
        <v>0</v>
      </c>
      <c r="E227" s="192"/>
    </row>
    <row r="228" spans="1:5" x14ac:dyDescent="0.25">
      <c r="A228" s="179">
        <f>'Données projet'!A211</f>
        <v>0</v>
      </c>
      <c r="B228" s="180">
        <f>'Données projet'!D211</f>
        <v>0</v>
      </c>
      <c r="C228" s="192"/>
      <c r="D228" s="178">
        <f t="shared" si="12"/>
        <v>0</v>
      </c>
      <c r="E228" s="192"/>
    </row>
    <row r="229" spans="1:5" x14ac:dyDescent="0.25">
      <c r="A229" s="4"/>
      <c r="B229" s="4"/>
      <c r="C229" s="4"/>
      <c r="D229" s="4"/>
      <c r="E229" s="4"/>
    </row>
    <row r="230" spans="1:5" x14ac:dyDescent="0.25">
      <c r="A230" s="4"/>
      <c r="B230" s="4"/>
      <c r="C230" s="4"/>
      <c r="D230" s="4"/>
      <c r="E230" s="4"/>
    </row>
    <row r="231" spans="1:5" x14ac:dyDescent="0.25">
      <c r="A231" s="46" t="s">
        <v>26</v>
      </c>
      <c r="B231" s="173" t="str">
        <f>IF('Données projet'!$B$16="","",'Données projet'!$B$16)</f>
        <v/>
      </c>
      <c r="C231" s="4"/>
      <c r="D231" s="4"/>
      <c r="E231" s="4"/>
    </row>
    <row r="232" spans="1:5" x14ac:dyDescent="0.25">
      <c r="A232" s="46"/>
      <c r="B232" s="4"/>
      <c r="C232" s="4"/>
      <c r="D232" s="4"/>
      <c r="E232" s="4"/>
    </row>
    <row r="233" spans="1:5" x14ac:dyDescent="0.25">
      <c r="A233" s="36" t="s">
        <v>47</v>
      </c>
      <c r="B233" s="48" t="s">
        <v>307</v>
      </c>
      <c r="C233" s="48" t="s">
        <v>308</v>
      </c>
      <c r="D233" s="36" t="s">
        <v>309</v>
      </c>
      <c r="E233" s="36" t="s">
        <v>310</v>
      </c>
    </row>
    <row r="234" spans="1:5" x14ac:dyDescent="0.25">
      <c r="A234" s="49">
        <v>0</v>
      </c>
      <c r="B234" s="198" t="s">
        <v>195</v>
      </c>
      <c r="C234" s="197" t="s">
        <v>195</v>
      </c>
      <c r="D234" s="196" t="s">
        <v>195</v>
      </c>
      <c r="E234" s="192"/>
    </row>
    <row r="235" spans="1:5" x14ac:dyDescent="0.25">
      <c r="A235" s="49">
        <v>1</v>
      </c>
      <c r="B235" s="198" t="s">
        <v>195</v>
      </c>
      <c r="C235" s="197" t="s">
        <v>195</v>
      </c>
      <c r="D235" s="196" t="s">
        <v>195</v>
      </c>
      <c r="E235" s="192"/>
    </row>
    <row r="236" spans="1:5" x14ac:dyDescent="0.25">
      <c r="A236" s="49">
        <v>2</v>
      </c>
      <c r="B236" s="198" t="s">
        <v>195</v>
      </c>
      <c r="C236" s="197" t="s">
        <v>195</v>
      </c>
      <c r="D236" s="196" t="s">
        <v>195</v>
      </c>
      <c r="E236" s="192"/>
    </row>
    <row r="237" spans="1:5" x14ac:dyDescent="0.25">
      <c r="A237" s="49">
        <v>3</v>
      </c>
      <c r="B237" s="198" t="s">
        <v>195</v>
      </c>
      <c r="C237" s="197" t="s">
        <v>195</v>
      </c>
      <c r="D237" s="196" t="s">
        <v>195</v>
      </c>
      <c r="E237" s="192"/>
    </row>
    <row r="238" spans="1:5" x14ac:dyDescent="0.25">
      <c r="A238" s="49">
        <v>4</v>
      </c>
      <c r="B238" s="198" t="s">
        <v>195</v>
      </c>
      <c r="C238" s="197" t="s">
        <v>195</v>
      </c>
      <c r="D238" s="196" t="s">
        <v>195</v>
      </c>
      <c r="E238" s="192"/>
    </row>
    <row r="239" spans="1:5" x14ac:dyDescent="0.25">
      <c r="A239" s="49">
        <v>5</v>
      </c>
      <c r="B239" s="198" t="s">
        <v>195</v>
      </c>
      <c r="C239" s="197" t="s">
        <v>195</v>
      </c>
      <c r="D239" s="196" t="s">
        <v>195</v>
      </c>
      <c r="E239" s="192"/>
    </row>
    <row r="240" spans="1:5" x14ac:dyDescent="0.25">
      <c r="A240" s="179">
        <f>'Données projet'!A218</f>
        <v>0</v>
      </c>
      <c r="B240" s="180">
        <f>'Données projet'!D218</f>
        <v>0</v>
      </c>
      <c r="C240" s="192"/>
      <c r="D240" s="178">
        <f>B240*C240</f>
        <v>0</v>
      </c>
      <c r="E240" s="192"/>
    </row>
    <row r="241" spans="1:5" x14ac:dyDescent="0.25">
      <c r="A241" s="179">
        <f>'Données projet'!A219</f>
        <v>0</v>
      </c>
      <c r="B241" s="180">
        <f>'Données projet'!D219</f>
        <v>0</v>
      </c>
      <c r="C241" s="192"/>
      <c r="D241" s="178">
        <f t="shared" ref="D241:D259" si="13">B241*C241</f>
        <v>0</v>
      </c>
      <c r="E241" s="192"/>
    </row>
    <row r="242" spans="1:5" x14ac:dyDescent="0.25">
      <c r="A242" s="179">
        <f>'Données projet'!A220</f>
        <v>0</v>
      </c>
      <c r="B242" s="180">
        <f>'Données projet'!D220</f>
        <v>0</v>
      </c>
      <c r="C242" s="192"/>
      <c r="D242" s="178">
        <f t="shared" si="13"/>
        <v>0</v>
      </c>
      <c r="E242" s="192"/>
    </row>
    <row r="243" spans="1:5" x14ac:dyDescent="0.25">
      <c r="A243" s="179">
        <f>'Données projet'!A221</f>
        <v>0</v>
      </c>
      <c r="B243" s="180">
        <f>'Données projet'!D221</f>
        <v>0</v>
      </c>
      <c r="C243" s="192"/>
      <c r="D243" s="178">
        <f t="shared" si="13"/>
        <v>0</v>
      </c>
      <c r="E243" s="192"/>
    </row>
    <row r="244" spans="1:5" x14ac:dyDescent="0.25">
      <c r="A244" s="179">
        <f>'Données projet'!A222</f>
        <v>0</v>
      </c>
      <c r="B244" s="180">
        <f>'Données projet'!D222</f>
        <v>0</v>
      </c>
      <c r="C244" s="192"/>
      <c r="D244" s="178">
        <f t="shared" si="13"/>
        <v>0</v>
      </c>
      <c r="E244" s="192"/>
    </row>
    <row r="245" spans="1:5" x14ac:dyDescent="0.25">
      <c r="A245" s="179">
        <f>'Données projet'!A223</f>
        <v>0</v>
      </c>
      <c r="B245" s="180">
        <f>'Données projet'!D223</f>
        <v>0</v>
      </c>
      <c r="C245" s="192"/>
      <c r="D245" s="178">
        <f t="shared" si="13"/>
        <v>0</v>
      </c>
      <c r="E245" s="192"/>
    </row>
    <row r="246" spans="1:5" x14ac:dyDescent="0.25">
      <c r="A246" s="179">
        <f>'Données projet'!A224</f>
        <v>0</v>
      </c>
      <c r="B246" s="180">
        <f>'Données projet'!D224</f>
        <v>0</v>
      </c>
      <c r="C246" s="192"/>
      <c r="D246" s="178">
        <f t="shared" si="13"/>
        <v>0</v>
      </c>
      <c r="E246" s="192"/>
    </row>
    <row r="247" spans="1:5" x14ac:dyDescent="0.25">
      <c r="A247" s="179">
        <f>'Données projet'!A225</f>
        <v>0</v>
      </c>
      <c r="B247" s="180">
        <f>'Données projet'!D225</f>
        <v>0</v>
      </c>
      <c r="C247" s="192"/>
      <c r="D247" s="178">
        <f t="shared" si="13"/>
        <v>0</v>
      </c>
      <c r="E247" s="192"/>
    </row>
    <row r="248" spans="1:5" x14ac:dyDescent="0.25">
      <c r="A248" s="179">
        <f>'Données projet'!A226</f>
        <v>0</v>
      </c>
      <c r="B248" s="180">
        <f>'Données projet'!D226</f>
        <v>0</v>
      </c>
      <c r="C248" s="192"/>
      <c r="D248" s="178">
        <f t="shared" si="13"/>
        <v>0</v>
      </c>
      <c r="E248" s="192"/>
    </row>
    <row r="249" spans="1:5" x14ac:dyDescent="0.25">
      <c r="A249" s="179">
        <f>'Données projet'!A227</f>
        <v>0</v>
      </c>
      <c r="B249" s="180">
        <f>'Données projet'!D227</f>
        <v>0</v>
      </c>
      <c r="C249" s="192"/>
      <c r="D249" s="178">
        <f t="shared" si="13"/>
        <v>0</v>
      </c>
      <c r="E249" s="192"/>
    </row>
    <row r="250" spans="1:5" x14ac:dyDescent="0.25">
      <c r="A250" s="179">
        <f>'Données projet'!A228</f>
        <v>0</v>
      </c>
      <c r="B250" s="180">
        <f>'Données projet'!D228</f>
        <v>0</v>
      </c>
      <c r="C250" s="192"/>
      <c r="D250" s="178">
        <f t="shared" si="13"/>
        <v>0</v>
      </c>
      <c r="E250" s="192"/>
    </row>
    <row r="251" spans="1:5" x14ac:dyDescent="0.25">
      <c r="A251" s="179">
        <f>'Données projet'!A229</f>
        <v>0</v>
      </c>
      <c r="B251" s="180">
        <f>'Données projet'!D229</f>
        <v>0</v>
      </c>
      <c r="C251" s="192"/>
      <c r="D251" s="178">
        <f t="shared" si="13"/>
        <v>0</v>
      </c>
      <c r="E251" s="192"/>
    </row>
    <row r="252" spans="1:5" x14ac:dyDescent="0.25">
      <c r="A252" s="179">
        <f>'Données projet'!A230</f>
        <v>0</v>
      </c>
      <c r="B252" s="180">
        <f>'Données projet'!D230</f>
        <v>0</v>
      </c>
      <c r="C252" s="192"/>
      <c r="D252" s="178">
        <f t="shared" si="13"/>
        <v>0</v>
      </c>
      <c r="E252" s="192"/>
    </row>
    <row r="253" spans="1:5" x14ac:dyDescent="0.25">
      <c r="A253" s="179">
        <f>'Données projet'!A231</f>
        <v>0</v>
      </c>
      <c r="B253" s="180">
        <f>'Données projet'!D231</f>
        <v>0</v>
      </c>
      <c r="C253" s="192"/>
      <c r="D253" s="178">
        <f t="shared" si="13"/>
        <v>0</v>
      </c>
      <c r="E253" s="192"/>
    </row>
    <row r="254" spans="1:5" x14ac:dyDescent="0.25">
      <c r="A254" s="179">
        <f>'Données projet'!A232</f>
        <v>0</v>
      </c>
      <c r="B254" s="180">
        <f>'Données projet'!D232</f>
        <v>0</v>
      </c>
      <c r="C254" s="192"/>
      <c r="D254" s="178">
        <f t="shared" si="13"/>
        <v>0</v>
      </c>
      <c r="E254" s="192"/>
    </row>
    <row r="255" spans="1:5" x14ac:dyDescent="0.25">
      <c r="A255" s="179">
        <f>'Données projet'!A233</f>
        <v>0</v>
      </c>
      <c r="B255" s="180">
        <f>'Données projet'!D233</f>
        <v>0</v>
      </c>
      <c r="C255" s="192"/>
      <c r="D255" s="178">
        <f t="shared" si="13"/>
        <v>0</v>
      </c>
      <c r="E255" s="192"/>
    </row>
    <row r="256" spans="1:5" x14ac:dyDescent="0.25">
      <c r="A256" s="179">
        <f>'Données projet'!A234</f>
        <v>0</v>
      </c>
      <c r="B256" s="180">
        <f>'Données projet'!D234</f>
        <v>0</v>
      </c>
      <c r="C256" s="192"/>
      <c r="D256" s="178">
        <f t="shared" si="13"/>
        <v>0</v>
      </c>
      <c r="E256" s="192"/>
    </row>
    <row r="257" spans="1:5" x14ac:dyDescent="0.25">
      <c r="A257" s="179">
        <f>'Données projet'!A235</f>
        <v>0</v>
      </c>
      <c r="B257" s="180">
        <f>'Données projet'!D235</f>
        <v>0</v>
      </c>
      <c r="C257" s="192"/>
      <c r="D257" s="178">
        <f t="shared" si="13"/>
        <v>0</v>
      </c>
      <c r="E257" s="192"/>
    </row>
    <row r="258" spans="1:5" x14ac:dyDescent="0.25">
      <c r="A258" s="179">
        <f>'Données projet'!A236</f>
        <v>0</v>
      </c>
      <c r="B258" s="180">
        <f>'Données projet'!D236</f>
        <v>0</v>
      </c>
      <c r="C258" s="192"/>
      <c r="D258" s="178">
        <f t="shared" si="13"/>
        <v>0</v>
      </c>
      <c r="E258" s="192"/>
    </row>
    <row r="259" spans="1:5" x14ac:dyDescent="0.25">
      <c r="A259" s="179">
        <f>'Données projet'!A237</f>
        <v>0</v>
      </c>
      <c r="B259" s="180">
        <f>'Données projet'!D237</f>
        <v>0</v>
      </c>
      <c r="C259" s="192"/>
      <c r="D259" s="178">
        <f t="shared" si="13"/>
        <v>0</v>
      </c>
      <c r="E259" s="192"/>
    </row>
    <row r="260" spans="1:5" x14ac:dyDescent="0.25">
      <c r="A260" s="4"/>
      <c r="B260" s="4"/>
      <c r="C260" s="4"/>
      <c r="D260" s="4"/>
      <c r="E260" s="4"/>
    </row>
    <row r="261" spans="1:5" x14ac:dyDescent="0.25">
      <c r="A261" s="4"/>
      <c r="B261" s="4"/>
      <c r="C261" s="4"/>
      <c r="D261" s="4"/>
      <c r="E261" s="4"/>
    </row>
    <row r="262" spans="1:5" x14ac:dyDescent="0.25">
      <c r="A262" s="46" t="s">
        <v>27</v>
      </c>
      <c r="B262" s="173" t="str">
        <f>IF('Données projet'!$B$17="","",'Données projet'!$B$17)</f>
        <v/>
      </c>
      <c r="C262" s="4"/>
      <c r="D262" s="4"/>
      <c r="E262" s="4"/>
    </row>
    <row r="263" spans="1:5" x14ac:dyDescent="0.25">
      <c r="A263" s="46"/>
      <c r="B263" s="4"/>
      <c r="C263" s="4"/>
      <c r="D263" s="4"/>
      <c r="E263" s="4"/>
    </row>
    <row r="264" spans="1:5" x14ac:dyDescent="0.25">
      <c r="A264" s="36" t="s">
        <v>47</v>
      </c>
      <c r="B264" s="48" t="s">
        <v>307</v>
      </c>
      <c r="C264" s="48" t="s">
        <v>308</v>
      </c>
      <c r="D264" s="36" t="s">
        <v>309</v>
      </c>
      <c r="E264" s="36" t="s">
        <v>310</v>
      </c>
    </row>
    <row r="265" spans="1:5" x14ac:dyDescent="0.25">
      <c r="A265" s="49">
        <v>0</v>
      </c>
      <c r="B265" s="198" t="s">
        <v>195</v>
      </c>
      <c r="C265" s="197" t="s">
        <v>195</v>
      </c>
      <c r="D265" s="196" t="s">
        <v>195</v>
      </c>
      <c r="E265" s="192"/>
    </row>
    <row r="266" spans="1:5" x14ac:dyDescent="0.25">
      <c r="A266" s="49">
        <v>1</v>
      </c>
      <c r="B266" s="198" t="s">
        <v>195</v>
      </c>
      <c r="C266" s="197" t="s">
        <v>195</v>
      </c>
      <c r="D266" s="196" t="s">
        <v>195</v>
      </c>
      <c r="E266" s="192"/>
    </row>
    <row r="267" spans="1:5" x14ac:dyDescent="0.25">
      <c r="A267" s="49">
        <v>2</v>
      </c>
      <c r="B267" s="198" t="s">
        <v>195</v>
      </c>
      <c r="C267" s="197" t="s">
        <v>195</v>
      </c>
      <c r="D267" s="196" t="s">
        <v>195</v>
      </c>
      <c r="E267" s="192"/>
    </row>
    <row r="268" spans="1:5" x14ac:dyDescent="0.25">
      <c r="A268" s="49">
        <v>3</v>
      </c>
      <c r="B268" s="198" t="s">
        <v>195</v>
      </c>
      <c r="C268" s="197" t="s">
        <v>195</v>
      </c>
      <c r="D268" s="196" t="s">
        <v>195</v>
      </c>
      <c r="E268" s="192"/>
    </row>
    <row r="269" spans="1:5" x14ac:dyDescent="0.25">
      <c r="A269" s="49">
        <v>4</v>
      </c>
      <c r="B269" s="198" t="s">
        <v>195</v>
      </c>
      <c r="C269" s="197" t="s">
        <v>195</v>
      </c>
      <c r="D269" s="196" t="s">
        <v>195</v>
      </c>
      <c r="E269" s="192"/>
    </row>
    <row r="270" spans="1:5" x14ac:dyDescent="0.25">
      <c r="A270" s="49">
        <v>5</v>
      </c>
      <c r="B270" s="198" t="s">
        <v>195</v>
      </c>
      <c r="C270" s="197" t="s">
        <v>195</v>
      </c>
      <c r="D270" s="196" t="s">
        <v>195</v>
      </c>
      <c r="E270" s="192"/>
    </row>
    <row r="271" spans="1:5" x14ac:dyDescent="0.25">
      <c r="A271" s="179">
        <f>'Données projet'!A244</f>
        <v>0</v>
      </c>
      <c r="B271" s="180">
        <f>'Données projet'!D244</f>
        <v>0</v>
      </c>
      <c r="C271" s="192"/>
      <c r="D271" s="178">
        <f>B271*C271</f>
        <v>0</v>
      </c>
      <c r="E271" s="192"/>
    </row>
    <row r="272" spans="1:5" x14ac:dyDescent="0.25">
      <c r="A272" s="179">
        <f>'Données projet'!A245</f>
        <v>0</v>
      </c>
      <c r="B272" s="180">
        <f>'Données projet'!D245</f>
        <v>0</v>
      </c>
      <c r="C272" s="192"/>
      <c r="D272" s="178">
        <f t="shared" ref="D272:D290" si="14">B272*C272</f>
        <v>0</v>
      </c>
      <c r="E272" s="192"/>
    </row>
    <row r="273" spans="1:5" x14ac:dyDescent="0.25">
      <c r="A273" s="179">
        <f>'Données projet'!A246</f>
        <v>0</v>
      </c>
      <c r="B273" s="180">
        <f>'Données projet'!D246</f>
        <v>0</v>
      </c>
      <c r="C273" s="192"/>
      <c r="D273" s="178">
        <f t="shared" si="14"/>
        <v>0</v>
      </c>
      <c r="E273" s="192"/>
    </row>
    <row r="274" spans="1:5" x14ac:dyDescent="0.25">
      <c r="A274" s="179">
        <f>'Données projet'!A247</f>
        <v>0</v>
      </c>
      <c r="B274" s="180">
        <f>'Données projet'!D247</f>
        <v>0</v>
      </c>
      <c r="C274" s="192"/>
      <c r="D274" s="178">
        <f t="shared" si="14"/>
        <v>0</v>
      </c>
      <c r="E274" s="192"/>
    </row>
    <row r="275" spans="1:5" x14ac:dyDescent="0.25">
      <c r="A275" s="179">
        <f>'Données projet'!A248</f>
        <v>0</v>
      </c>
      <c r="B275" s="180">
        <f>'Données projet'!D248</f>
        <v>0</v>
      </c>
      <c r="C275" s="192"/>
      <c r="D275" s="178">
        <f t="shared" si="14"/>
        <v>0</v>
      </c>
      <c r="E275" s="192"/>
    </row>
    <row r="276" spans="1:5" x14ac:dyDescent="0.25">
      <c r="A276" s="179">
        <f>'Données projet'!A249</f>
        <v>0</v>
      </c>
      <c r="B276" s="180">
        <f>'Données projet'!D249</f>
        <v>0</v>
      </c>
      <c r="C276" s="192"/>
      <c r="D276" s="178">
        <f t="shared" si="14"/>
        <v>0</v>
      </c>
      <c r="E276" s="192"/>
    </row>
    <row r="277" spans="1:5" x14ac:dyDescent="0.25">
      <c r="A277" s="179">
        <f>'Données projet'!A250</f>
        <v>0</v>
      </c>
      <c r="B277" s="180">
        <f>'Données projet'!D250</f>
        <v>0</v>
      </c>
      <c r="C277" s="192"/>
      <c r="D277" s="178">
        <f t="shared" si="14"/>
        <v>0</v>
      </c>
      <c r="E277" s="192"/>
    </row>
    <row r="278" spans="1:5" x14ac:dyDescent="0.25">
      <c r="A278" s="179">
        <f>'Données projet'!A251</f>
        <v>0</v>
      </c>
      <c r="B278" s="180">
        <f>'Données projet'!D251</f>
        <v>0</v>
      </c>
      <c r="C278" s="192"/>
      <c r="D278" s="178">
        <f t="shared" si="14"/>
        <v>0</v>
      </c>
      <c r="E278" s="192"/>
    </row>
    <row r="279" spans="1:5" x14ac:dyDescent="0.25">
      <c r="A279" s="179">
        <f>'Données projet'!A252</f>
        <v>0</v>
      </c>
      <c r="B279" s="180">
        <f>'Données projet'!D252</f>
        <v>0</v>
      </c>
      <c r="C279" s="192"/>
      <c r="D279" s="178">
        <f t="shared" si="14"/>
        <v>0</v>
      </c>
      <c r="E279" s="192"/>
    </row>
    <row r="280" spans="1:5" x14ac:dyDescent="0.25">
      <c r="A280" s="179">
        <f>'Données projet'!A253</f>
        <v>0</v>
      </c>
      <c r="B280" s="180">
        <f>'Données projet'!D253</f>
        <v>0</v>
      </c>
      <c r="C280" s="192"/>
      <c r="D280" s="178">
        <f t="shared" si="14"/>
        <v>0</v>
      </c>
      <c r="E280" s="192"/>
    </row>
    <row r="281" spans="1:5" x14ac:dyDescent="0.25">
      <c r="A281" s="179">
        <f>'Données projet'!A254</f>
        <v>0</v>
      </c>
      <c r="B281" s="180">
        <f>'Données projet'!D254</f>
        <v>0</v>
      </c>
      <c r="C281" s="192"/>
      <c r="D281" s="178">
        <f t="shared" si="14"/>
        <v>0</v>
      </c>
      <c r="E281" s="192"/>
    </row>
    <row r="282" spans="1:5" x14ac:dyDescent="0.25">
      <c r="A282" s="179">
        <f>'Données projet'!A255</f>
        <v>0</v>
      </c>
      <c r="B282" s="180">
        <f>'Données projet'!D255</f>
        <v>0</v>
      </c>
      <c r="C282" s="192"/>
      <c r="D282" s="178">
        <f t="shared" si="14"/>
        <v>0</v>
      </c>
      <c r="E282" s="192"/>
    </row>
    <row r="283" spans="1:5" x14ac:dyDescent="0.25">
      <c r="A283" s="179">
        <f>'Données projet'!A256</f>
        <v>0</v>
      </c>
      <c r="B283" s="180">
        <f>'Données projet'!D256</f>
        <v>0</v>
      </c>
      <c r="C283" s="192"/>
      <c r="D283" s="178">
        <f t="shared" si="14"/>
        <v>0</v>
      </c>
      <c r="E283" s="192"/>
    </row>
    <row r="284" spans="1:5" x14ac:dyDescent="0.25">
      <c r="A284" s="179">
        <f>'Données projet'!A257</f>
        <v>0</v>
      </c>
      <c r="B284" s="180">
        <f>'Données projet'!D257</f>
        <v>0</v>
      </c>
      <c r="C284" s="192"/>
      <c r="D284" s="178">
        <f t="shared" si="14"/>
        <v>0</v>
      </c>
      <c r="E284" s="192"/>
    </row>
    <row r="285" spans="1:5" x14ac:dyDescent="0.25">
      <c r="A285" s="179">
        <f>'Données projet'!A258</f>
        <v>0</v>
      </c>
      <c r="B285" s="180">
        <f>'Données projet'!D258</f>
        <v>0</v>
      </c>
      <c r="C285" s="192"/>
      <c r="D285" s="178">
        <f t="shared" si="14"/>
        <v>0</v>
      </c>
      <c r="E285" s="192"/>
    </row>
    <row r="286" spans="1:5" x14ac:dyDescent="0.25">
      <c r="A286" s="179">
        <f>'Données projet'!A259</f>
        <v>0</v>
      </c>
      <c r="B286" s="180">
        <f>'Données projet'!D259</f>
        <v>0</v>
      </c>
      <c r="C286" s="192"/>
      <c r="D286" s="178">
        <f t="shared" si="14"/>
        <v>0</v>
      </c>
      <c r="E286" s="192"/>
    </row>
    <row r="287" spans="1:5" x14ac:dyDescent="0.25">
      <c r="A287" s="179">
        <f>'Données projet'!A260</f>
        <v>0</v>
      </c>
      <c r="B287" s="180">
        <f>'Données projet'!D260</f>
        <v>0</v>
      </c>
      <c r="C287" s="192"/>
      <c r="D287" s="178">
        <f t="shared" si="14"/>
        <v>0</v>
      </c>
      <c r="E287" s="192"/>
    </row>
    <row r="288" spans="1:5" x14ac:dyDescent="0.25">
      <c r="A288" s="179">
        <f>'Données projet'!A261</f>
        <v>0</v>
      </c>
      <c r="B288" s="180">
        <f>'Données projet'!D261</f>
        <v>0</v>
      </c>
      <c r="C288" s="192"/>
      <c r="D288" s="178">
        <f t="shared" si="14"/>
        <v>0</v>
      </c>
      <c r="E288" s="192"/>
    </row>
    <row r="289" spans="1:5" x14ac:dyDescent="0.25">
      <c r="A289" s="179">
        <f>'Données projet'!A262</f>
        <v>0</v>
      </c>
      <c r="B289" s="180">
        <f>'Données projet'!D262</f>
        <v>0</v>
      </c>
      <c r="C289" s="192"/>
      <c r="D289" s="178">
        <f t="shared" si="14"/>
        <v>0</v>
      </c>
      <c r="E289" s="192"/>
    </row>
    <row r="290" spans="1:5" x14ac:dyDescent="0.25">
      <c r="A290" s="179">
        <f>'Données projet'!A263</f>
        <v>0</v>
      </c>
      <c r="B290" s="180">
        <f>'Données projet'!D263</f>
        <v>0</v>
      </c>
      <c r="C290" s="192"/>
      <c r="D290" s="178">
        <f t="shared" si="14"/>
        <v>0</v>
      </c>
      <c r="E290" s="192"/>
    </row>
    <row r="291" spans="1:5" x14ac:dyDescent="0.25">
      <c r="A291" s="4"/>
      <c r="B291" s="4"/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6" t="s">
        <v>28</v>
      </c>
      <c r="B293" s="173" t="str">
        <f>IF('Données projet'!$B$18="","",'Données projet'!$B$18)</f>
        <v/>
      </c>
      <c r="C293" s="4"/>
      <c r="D293" s="4"/>
      <c r="E293" s="4"/>
    </row>
    <row r="294" spans="1:5" x14ac:dyDescent="0.25">
      <c r="A294" s="46"/>
      <c r="B294" s="4"/>
      <c r="C294" s="4"/>
      <c r="D294" s="4"/>
      <c r="E294" s="4"/>
    </row>
    <row r="295" spans="1:5" x14ac:dyDescent="0.25">
      <c r="A295" s="36" t="s">
        <v>47</v>
      </c>
      <c r="B295" s="48" t="s">
        <v>307</v>
      </c>
      <c r="C295" s="48" t="s">
        <v>308</v>
      </c>
      <c r="D295" s="36" t="s">
        <v>309</v>
      </c>
      <c r="E295" s="36" t="s">
        <v>310</v>
      </c>
    </row>
    <row r="296" spans="1:5" x14ac:dyDescent="0.25">
      <c r="A296" s="49">
        <v>0</v>
      </c>
      <c r="B296" s="198" t="s">
        <v>195</v>
      </c>
      <c r="C296" s="197" t="s">
        <v>195</v>
      </c>
      <c r="D296" s="196" t="s">
        <v>195</v>
      </c>
      <c r="E296" s="192"/>
    </row>
    <row r="297" spans="1:5" x14ac:dyDescent="0.25">
      <c r="A297" s="49">
        <v>1</v>
      </c>
      <c r="B297" s="198" t="s">
        <v>195</v>
      </c>
      <c r="C297" s="197" t="s">
        <v>195</v>
      </c>
      <c r="D297" s="196" t="s">
        <v>195</v>
      </c>
      <c r="E297" s="192"/>
    </row>
    <row r="298" spans="1:5" x14ac:dyDescent="0.25">
      <c r="A298" s="49">
        <v>2</v>
      </c>
      <c r="B298" s="198" t="s">
        <v>195</v>
      </c>
      <c r="C298" s="197" t="s">
        <v>195</v>
      </c>
      <c r="D298" s="196" t="s">
        <v>195</v>
      </c>
      <c r="E298" s="192"/>
    </row>
    <row r="299" spans="1:5" x14ac:dyDescent="0.25">
      <c r="A299" s="49">
        <v>3</v>
      </c>
      <c r="B299" s="198" t="s">
        <v>195</v>
      </c>
      <c r="C299" s="197" t="s">
        <v>195</v>
      </c>
      <c r="D299" s="196" t="s">
        <v>195</v>
      </c>
      <c r="E299" s="192"/>
    </row>
    <row r="300" spans="1:5" x14ac:dyDescent="0.25">
      <c r="A300" s="49">
        <v>4</v>
      </c>
      <c r="B300" s="198" t="s">
        <v>195</v>
      </c>
      <c r="C300" s="197" t="s">
        <v>195</v>
      </c>
      <c r="D300" s="196" t="s">
        <v>195</v>
      </c>
      <c r="E300" s="192"/>
    </row>
    <row r="301" spans="1:5" x14ac:dyDescent="0.25">
      <c r="A301" s="49">
        <v>5</v>
      </c>
      <c r="B301" s="198" t="s">
        <v>195</v>
      </c>
      <c r="C301" s="197" t="s">
        <v>195</v>
      </c>
      <c r="D301" s="196" t="s">
        <v>195</v>
      </c>
      <c r="E301" s="192"/>
    </row>
    <row r="302" spans="1:5" x14ac:dyDescent="0.25">
      <c r="A302" s="179">
        <f>'Données projet'!A270</f>
        <v>0</v>
      </c>
      <c r="B302" s="180">
        <f>'Données projet'!D270</f>
        <v>0</v>
      </c>
      <c r="C302" s="190"/>
      <c r="D302" s="181">
        <f>B302*C302</f>
        <v>0</v>
      </c>
      <c r="E302" s="192"/>
    </row>
    <row r="303" spans="1:5" x14ac:dyDescent="0.25">
      <c r="A303" s="179">
        <f>'Données projet'!A271</f>
        <v>0</v>
      </c>
      <c r="B303" s="180">
        <f>'Données projet'!D271</f>
        <v>0</v>
      </c>
      <c r="C303" s="190"/>
      <c r="D303" s="181">
        <f t="shared" ref="D303:D321" si="15">B303*C303</f>
        <v>0</v>
      </c>
      <c r="E303" s="192"/>
    </row>
    <row r="304" spans="1:5" x14ac:dyDescent="0.25">
      <c r="A304" s="179">
        <f>'Données projet'!A272</f>
        <v>0</v>
      </c>
      <c r="B304" s="180">
        <f>'Données projet'!D272</f>
        <v>0</v>
      </c>
      <c r="C304" s="190"/>
      <c r="D304" s="181">
        <f t="shared" si="15"/>
        <v>0</v>
      </c>
      <c r="E304" s="192"/>
    </row>
    <row r="305" spans="1:5" x14ac:dyDescent="0.25">
      <c r="A305" s="179">
        <f>'Données projet'!A273</f>
        <v>0</v>
      </c>
      <c r="B305" s="180">
        <f>'Données projet'!D273</f>
        <v>0</v>
      </c>
      <c r="C305" s="190"/>
      <c r="D305" s="181">
        <f t="shared" si="15"/>
        <v>0</v>
      </c>
      <c r="E305" s="192"/>
    </row>
    <row r="306" spans="1:5" x14ac:dyDescent="0.25">
      <c r="A306" s="179">
        <f>'Données projet'!A274</f>
        <v>0</v>
      </c>
      <c r="B306" s="180">
        <f>'Données projet'!D274</f>
        <v>0</v>
      </c>
      <c r="C306" s="190"/>
      <c r="D306" s="181">
        <f t="shared" si="15"/>
        <v>0</v>
      </c>
      <c r="E306" s="192"/>
    </row>
    <row r="307" spans="1:5" x14ac:dyDescent="0.25">
      <c r="A307" s="179">
        <f>'Données projet'!A275</f>
        <v>0</v>
      </c>
      <c r="B307" s="180">
        <f>'Données projet'!D275</f>
        <v>0</v>
      </c>
      <c r="C307" s="190"/>
      <c r="D307" s="181">
        <f t="shared" si="15"/>
        <v>0</v>
      </c>
      <c r="E307" s="192"/>
    </row>
    <row r="308" spans="1:5" x14ac:dyDescent="0.25">
      <c r="A308" s="179">
        <f>'Données projet'!A276</f>
        <v>0</v>
      </c>
      <c r="B308" s="180">
        <f>'Données projet'!D276</f>
        <v>0</v>
      </c>
      <c r="C308" s="190"/>
      <c r="D308" s="181">
        <f t="shared" si="15"/>
        <v>0</v>
      </c>
      <c r="E308" s="192"/>
    </row>
    <row r="309" spans="1:5" x14ac:dyDescent="0.25">
      <c r="A309" s="179">
        <f>'Données projet'!A277</f>
        <v>0</v>
      </c>
      <c r="B309" s="180">
        <f>'Données projet'!D277</f>
        <v>0</v>
      </c>
      <c r="C309" s="190"/>
      <c r="D309" s="181">
        <f t="shared" si="15"/>
        <v>0</v>
      </c>
      <c r="E309" s="192"/>
    </row>
    <row r="310" spans="1:5" x14ac:dyDescent="0.25">
      <c r="A310" s="179">
        <f>'Données projet'!A278</f>
        <v>0</v>
      </c>
      <c r="B310" s="180">
        <f>'Données projet'!D278</f>
        <v>0</v>
      </c>
      <c r="C310" s="190"/>
      <c r="D310" s="181">
        <f t="shared" si="15"/>
        <v>0</v>
      </c>
      <c r="E310" s="192"/>
    </row>
    <row r="311" spans="1:5" x14ac:dyDescent="0.25">
      <c r="A311" s="179">
        <f>'Données projet'!A279</f>
        <v>0</v>
      </c>
      <c r="B311" s="180">
        <f>'Données projet'!D279</f>
        <v>0</v>
      </c>
      <c r="C311" s="190"/>
      <c r="D311" s="181">
        <f t="shared" si="15"/>
        <v>0</v>
      </c>
      <c r="E311" s="192"/>
    </row>
    <row r="312" spans="1:5" x14ac:dyDescent="0.25">
      <c r="A312" s="179">
        <f>'Données projet'!A280</f>
        <v>0</v>
      </c>
      <c r="B312" s="180">
        <f>'Données projet'!D280</f>
        <v>0</v>
      </c>
      <c r="C312" s="190"/>
      <c r="D312" s="181">
        <f t="shared" si="15"/>
        <v>0</v>
      </c>
      <c r="E312" s="192"/>
    </row>
    <row r="313" spans="1:5" x14ac:dyDescent="0.25">
      <c r="A313" s="179">
        <f>'Données projet'!A281</f>
        <v>0</v>
      </c>
      <c r="B313" s="180">
        <f>'Données projet'!D281</f>
        <v>0</v>
      </c>
      <c r="C313" s="190"/>
      <c r="D313" s="181">
        <f t="shared" si="15"/>
        <v>0</v>
      </c>
      <c r="E313" s="192"/>
    </row>
    <row r="314" spans="1:5" x14ac:dyDescent="0.25">
      <c r="A314" s="179">
        <f>'Données projet'!A282</f>
        <v>0</v>
      </c>
      <c r="B314" s="180">
        <f>'Données projet'!D282</f>
        <v>0</v>
      </c>
      <c r="C314" s="190"/>
      <c r="D314" s="181">
        <f t="shared" si="15"/>
        <v>0</v>
      </c>
      <c r="E314" s="192"/>
    </row>
    <row r="315" spans="1:5" x14ac:dyDescent="0.25">
      <c r="A315" s="179">
        <f>'Données projet'!A283</f>
        <v>0</v>
      </c>
      <c r="B315" s="180">
        <f>'Données projet'!D283</f>
        <v>0</v>
      </c>
      <c r="C315" s="190"/>
      <c r="D315" s="181">
        <f t="shared" si="15"/>
        <v>0</v>
      </c>
      <c r="E315" s="192"/>
    </row>
    <row r="316" spans="1:5" x14ac:dyDescent="0.25">
      <c r="A316" s="179">
        <f>'Données projet'!A284</f>
        <v>0</v>
      </c>
      <c r="B316" s="180">
        <f>'Données projet'!D284</f>
        <v>0</v>
      </c>
      <c r="C316" s="190"/>
      <c r="D316" s="181">
        <f t="shared" si="15"/>
        <v>0</v>
      </c>
      <c r="E316" s="192"/>
    </row>
    <row r="317" spans="1:5" x14ac:dyDescent="0.25">
      <c r="A317" s="179">
        <f>'Données projet'!A285</f>
        <v>0</v>
      </c>
      <c r="B317" s="180">
        <f>'Données projet'!D285</f>
        <v>0</v>
      </c>
      <c r="C317" s="190"/>
      <c r="D317" s="181">
        <f t="shared" si="15"/>
        <v>0</v>
      </c>
      <c r="E317" s="192"/>
    </row>
    <row r="318" spans="1:5" x14ac:dyDescent="0.25">
      <c r="A318" s="179">
        <f>'Données projet'!A286</f>
        <v>0</v>
      </c>
      <c r="B318" s="180">
        <f>'Données projet'!D286</f>
        <v>0</v>
      </c>
      <c r="C318" s="190"/>
      <c r="D318" s="181">
        <f t="shared" si="15"/>
        <v>0</v>
      </c>
      <c r="E318" s="192"/>
    </row>
    <row r="319" spans="1:5" x14ac:dyDescent="0.25">
      <c r="A319" s="179">
        <f>'Données projet'!A287</f>
        <v>0</v>
      </c>
      <c r="B319" s="180">
        <f>'Données projet'!D287</f>
        <v>0</v>
      </c>
      <c r="C319" s="190"/>
      <c r="D319" s="181">
        <f t="shared" si="15"/>
        <v>0</v>
      </c>
      <c r="E319" s="192"/>
    </row>
    <row r="320" spans="1:5" x14ac:dyDescent="0.25">
      <c r="A320" s="179">
        <f>'Données projet'!A288</f>
        <v>0</v>
      </c>
      <c r="B320" s="180">
        <f>'Données projet'!D288</f>
        <v>0</v>
      </c>
      <c r="C320" s="190"/>
      <c r="D320" s="181">
        <f t="shared" si="15"/>
        <v>0</v>
      </c>
      <c r="E320" s="192"/>
    </row>
    <row r="321" spans="1:5" x14ac:dyDescent="0.25">
      <c r="A321" s="179">
        <f>'Données projet'!A289</f>
        <v>0</v>
      </c>
      <c r="B321" s="180">
        <f>'Données projet'!D289</f>
        <v>0</v>
      </c>
      <c r="C321" s="195"/>
      <c r="D321" s="181">
        <f t="shared" si="15"/>
        <v>0</v>
      </c>
      <c r="E321" s="192"/>
    </row>
  </sheetData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Benjamin Galliot</cp:lastModifiedBy>
  <cp:revision/>
  <dcterms:created xsi:type="dcterms:W3CDTF">2021-02-01T08:22:39Z</dcterms:created>
  <dcterms:modified xsi:type="dcterms:W3CDTF">2025-03-20T14:35:01Z</dcterms:modified>
  <cp:category/>
  <cp:contentStatus/>
</cp:coreProperties>
</file>