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BOURGOGNE (HB)/2BELU-124/Dossier octobre 2024/"/>
    </mc:Choice>
  </mc:AlternateContent>
  <xr:revisionPtr revIDLastSave="100" documentId="8_{D24DC270-2989-41BD-8A4F-4AF0040529B9}" xr6:coauthVersionLast="47" xr6:coauthVersionMax="47" xr10:uidLastSave="{43072860-DE7D-41F7-B17E-C6A81D45B3B4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1" i="6" l="1"/>
  <c r="U30" i="6"/>
  <c r="U33" i="6" s="1"/>
  <c r="E206" i="6"/>
  <c r="E204" i="6"/>
  <c r="E175" i="6"/>
  <c r="E173" i="6"/>
  <c r="E144" i="6"/>
  <c r="E142" i="6"/>
  <c r="E113" i="6"/>
  <c r="E111" i="6"/>
  <c r="E82" i="6"/>
  <c r="E80" i="6"/>
  <c r="E51" i="6"/>
  <c r="E49" i="6"/>
  <c r="E18" i="6" l="1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E17" i="6" s="1"/>
  <c r="E19" i="6" s="1"/>
  <c r="D10" i="1"/>
  <c r="E48" i="6" s="1"/>
  <c r="E50" i="6" s="1"/>
  <c r="D11" i="1"/>
  <c r="E79" i="6" s="1"/>
  <c r="E81" i="6" s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9" i="6"/>
  <c r="T18" i="6"/>
  <c r="T12" i="6"/>
  <c r="T10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E110" i="6" s="1"/>
  <c r="D13" i="1"/>
  <c r="E141" i="6" s="1"/>
  <c r="D14" i="1"/>
  <c r="D15" i="1"/>
  <c r="D16" i="1"/>
  <c r="U17" i="6" s="1"/>
  <c r="V17" i="6" s="1"/>
  <c r="D17" i="1"/>
  <c r="U18" i="6" s="1"/>
  <c r="V18" i="6" s="1"/>
  <c r="D18" i="1"/>
  <c r="U16" i="6" l="1"/>
  <c r="E203" i="6"/>
  <c r="U15" i="6"/>
  <c r="E172" i="6"/>
  <c r="E143" i="6"/>
  <c r="T14" i="6"/>
  <c r="E112" i="6"/>
  <c r="T13" i="6"/>
  <c r="P66" i="6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B9" i="4"/>
  <c r="U13" i="6"/>
  <c r="D19" i="1"/>
  <c r="B14" i="4"/>
  <c r="E174" i="6" l="1"/>
  <c r="T15" i="6"/>
  <c r="V15" i="6" s="1"/>
  <c r="E205" i="6"/>
  <c r="T16" i="6" s="1"/>
  <c r="V16" i="6" s="1"/>
  <c r="V13" i="6"/>
  <c r="V14" i="6"/>
  <c r="V10" i="6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Y154" i="2"/>
  <c r="AC154" i="2"/>
  <c r="EX155" i="2"/>
  <c r="EY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X156" i="2" l="1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EY161" i="2"/>
  <c r="EW162" i="2"/>
  <c r="HG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V163" i="2"/>
  <c r="HI163" i="2"/>
  <c r="FS163" i="2"/>
  <c r="EC163" i="2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X164" i="2" l="1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W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Y168" i="2"/>
  <c r="EB169" i="2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A179" i="2" l="1"/>
  <c r="EV179" i="2"/>
  <c r="DF179" i="2"/>
  <c r="HG179" i="2"/>
  <c r="HI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Y192" i="2" l="1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Y196" i="2"/>
  <c r="AA197" i="2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 l="1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82" i="2" a="1"/>
  <c r="BC82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DN137" i="2" a="1"/>
  <c r="DN137" i="2" s="1"/>
  <c r="DN25" i="2" a="1"/>
  <c r="DN25" i="2" s="1"/>
  <c r="DN115" i="2" a="1"/>
  <c r="DN115" i="2" s="1"/>
  <c r="DN177" i="2" a="1"/>
  <c r="DN177" i="2" s="1"/>
  <c r="DN86" i="2" a="1"/>
  <c r="DN86" i="2" s="1"/>
  <c r="DN188" i="2" a="1"/>
  <c r="DN188" i="2" s="1"/>
  <c r="CS116" i="2" a="1"/>
  <c r="CS116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56" i="2" a="1"/>
  <c r="CS56" i="2" s="1"/>
  <c r="DN70" i="2" a="1"/>
  <c r="DN70" i="2" s="1"/>
  <c r="DN65" i="2" a="1"/>
  <c r="DN65" i="2" s="1"/>
  <c r="DN133" i="2" a="1"/>
  <c r="DN133" i="2" s="1"/>
  <c r="DN190" i="2" a="1"/>
  <c r="DN190" i="2" s="1"/>
  <c r="DN6" i="2" a="1"/>
  <c r="DN6" i="2" s="1"/>
  <c r="DO6" i="2" s="1"/>
  <c r="CS24" i="2" a="1"/>
  <c r="CS24" i="2" s="1"/>
  <c r="CS72" i="2" a="1"/>
  <c r="CS72" i="2" s="1"/>
  <c r="HJ202" i="2"/>
  <c r="EY202" i="2"/>
  <c r="AX200" i="2"/>
  <c r="BC192" i="2" l="1" a="1"/>
  <c r="BC192" i="2" s="1"/>
  <c r="BC126" i="2" a="1"/>
  <c r="BC126" i="2" s="1"/>
  <c r="BC47" i="2" a="1"/>
  <c r="BC47" i="2" s="1"/>
  <c r="BC68" i="2" a="1"/>
  <c r="BC68" i="2" s="1"/>
  <c r="AH62" i="2" a="1"/>
  <c r="AH62" i="2" s="1"/>
  <c r="CS38" i="2" a="1"/>
  <c r="CS38" i="2" s="1"/>
  <c r="EI195" i="2" a="1"/>
  <c r="EI195" i="2" s="1"/>
  <c r="EI106" i="2" a="1"/>
  <c r="EI106" i="2" s="1"/>
  <c r="EI153" i="2" a="1"/>
  <c r="EI153" i="2" s="1"/>
  <c r="EI34" i="2" a="1"/>
  <c r="EI34" i="2" s="1"/>
  <c r="EI166" i="2" a="1"/>
  <c r="EI166" i="2" s="1"/>
  <c r="EI128" i="2" a="1"/>
  <c r="EI128" i="2" s="1"/>
  <c r="EI165" i="2" a="1"/>
  <c r="EI165" i="2" s="1"/>
  <c r="EI198" i="2" a="1"/>
  <c r="EI198" i="2" s="1"/>
  <c r="EI20" i="2" a="1"/>
  <c r="EI20" i="2" s="1"/>
  <c r="EI71" i="2" a="1"/>
  <c r="EI71" i="2" s="1"/>
  <c r="DN31" i="2" a="1"/>
  <c r="DN31" i="2" s="1"/>
  <c r="DN129" i="2" a="1"/>
  <c r="DN129" i="2" s="1"/>
  <c r="DN170" i="2" a="1"/>
  <c r="DN170" i="2" s="1"/>
  <c r="DN167" i="2" a="1"/>
  <c r="DN167" i="2" s="1"/>
  <c r="DN50" i="2" a="1"/>
  <c r="DN50" i="2" s="1"/>
  <c r="DN16" i="2" a="1"/>
  <c r="DN16" i="2" s="1"/>
  <c r="DN114" i="2" a="1"/>
  <c r="DN114" i="2" s="1"/>
  <c r="DN113" i="2" a="1"/>
  <c r="DN113" i="2" s="1"/>
  <c r="DN103" i="2" a="1"/>
  <c r="DN103" i="2" s="1"/>
  <c r="DN123" i="2" a="1"/>
  <c r="DN123" i="2" s="1"/>
  <c r="DN184" i="2" a="1"/>
  <c r="DN184" i="2" s="1"/>
  <c r="DN187" i="2" a="1"/>
  <c r="DN187" i="2" s="1"/>
  <c r="DN152" i="2" a="1"/>
  <c r="DN152" i="2" s="1"/>
  <c r="DN56" i="2" a="1"/>
  <c r="DN56" i="2" s="1"/>
  <c r="DN162" i="2" a="1"/>
  <c r="DN162" i="2" s="1"/>
  <c r="DN135" i="2" a="1"/>
  <c r="DN135" i="2" s="1"/>
  <c r="DN29" i="2" a="1"/>
  <c r="DN29" i="2" s="1"/>
  <c r="DN155" i="2" a="1"/>
  <c r="DN155" i="2" s="1"/>
  <c r="DN110" i="2" a="1"/>
  <c r="DN110" i="2" s="1"/>
  <c r="DN132" i="2" a="1"/>
  <c r="DN132" i="2" s="1"/>
  <c r="DN30" i="2" a="1"/>
  <c r="DN30" i="2" s="1"/>
  <c r="DN46" i="2" a="1"/>
  <c r="DN46" i="2" s="1"/>
  <c r="DN38" i="2" a="1"/>
  <c r="DN38" i="2" s="1"/>
  <c r="DN150" i="2" a="1"/>
  <c r="DN150" i="2" s="1"/>
  <c r="DN41" i="2" a="1"/>
  <c r="DN41" i="2" s="1"/>
  <c r="DN153" i="2" a="1"/>
  <c r="DN153" i="2" s="1"/>
  <c r="DN49" i="2" a="1"/>
  <c r="DN49" i="2" s="1"/>
  <c r="DN164" i="2" a="1"/>
  <c r="DN164" i="2" s="1"/>
  <c r="DN192" i="2" a="1"/>
  <c r="DN192" i="2" s="1"/>
  <c r="DN43" i="2" a="1"/>
  <c r="DN43" i="2" s="1"/>
  <c r="DN55" i="2" a="1"/>
  <c r="DN55" i="2" s="1"/>
  <c r="DN45" i="2" a="1"/>
  <c r="DN45" i="2" s="1"/>
  <c r="DN176" i="2" a="1"/>
  <c r="DN176" i="2" s="1"/>
  <c r="DN80" i="2" a="1"/>
  <c r="DN80" i="2" s="1"/>
  <c r="DN66" i="2" a="1"/>
  <c r="DN66" i="2" s="1"/>
  <c r="DN186" i="2" a="1"/>
  <c r="DN186" i="2" s="1"/>
  <c r="BX107" i="2" a="1"/>
  <c r="BX107" i="2" s="1"/>
  <c r="AH90" i="2" a="1"/>
  <c r="AH90" i="2" s="1"/>
  <c r="AH151" i="2" a="1"/>
  <c r="AH151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I203" i="2" s="1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166" i="2" l="1"/>
  <c r="CD160" i="2"/>
  <c r="CD3" i="2"/>
  <c r="C9" i="4" s="1"/>
  <c r="E9" i="4" s="1"/>
  <c r="F9" i="4" s="1"/>
  <c r="G9" i="4" s="1"/>
  <c r="L9" i="4" s="1"/>
  <c r="CD49" i="2"/>
  <c r="CD29" i="2"/>
  <c r="CD97" i="2"/>
  <c r="CD182" i="2"/>
  <c r="CD56" i="2"/>
  <c r="CD140" i="2"/>
  <c r="CD52" i="2"/>
  <c r="CD89" i="2"/>
  <c r="CD90" i="2"/>
  <c r="CD93" i="2"/>
  <c r="CD60" i="2"/>
  <c r="CD138" i="2"/>
  <c r="CD202" i="2"/>
  <c r="CD84" i="2"/>
  <c r="CD121" i="2"/>
  <c r="CD7" i="2"/>
  <c r="CD148" i="2"/>
  <c r="CD139" i="2"/>
  <c r="CD34" i="2"/>
  <c r="CD61" i="2"/>
  <c r="CD169" i="2"/>
  <c r="CD17" i="2"/>
  <c r="CD177" i="2"/>
  <c r="CD88" i="2"/>
  <c r="CD8" i="2"/>
  <c r="CD33" i="2"/>
  <c r="CD96" i="2"/>
  <c r="CD31" i="2"/>
  <c r="CD71" i="2"/>
  <c r="CD123" i="2"/>
  <c r="CD185" i="2"/>
  <c r="CD180" i="2"/>
  <c r="CD23" i="2"/>
  <c r="CD67" i="2"/>
  <c r="CD68" i="2"/>
  <c r="CD162" i="2"/>
  <c r="CD73" i="2"/>
  <c r="CD91" i="2"/>
  <c r="CD21" i="2"/>
  <c r="CD145" i="2"/>
  <c r="CD20" i="2"/>
  <c r="CD64" i="2"/>
  <c r="CD181" i="2"/>
  <c r="CD155" i="2"/>
  <c r="CD94" i="2"/>
  <c r="CD147" i="2"/>
  <c r="CD172" i="2"/>
  <c r="CD129" i="2"/>
  <c r="CD114" i="2"/>
  <c r="CD154" i="2"/>
  <c r="CD11" i="2"/>
  <c r="CD187" i="2"/>
  <c r="CD77" i="2"/>
  <c r="CD198" i="2"/>
  <c r="CD178" i="2"/>
  <c r="CD165" i="2"/>
  <c r="CD99" i="2"/>
  <c r="CD163" i="2"/>
  <c r="CD136" i="2"/>
  <c r="CD48" i="2"/>
  <c r="CD117" i="2"/>
  <c r="CD127" i="2"/>
  <c r="CD119" i="2"/>
  <c r="CD159" i="2"/>
  <c r="CD146" i="2"/>
  <c r="CD112" i="2"/>
  <c r="CD125" i="2"/>
  <c r="CD100" i="2"/>
  <c r="CD134" i="2"/>
  <c r="CD58" i="2"/>
  <c r="CD80" i="2"/>
  <c r="CD175" i="2"/>
  <c r="CD87" i="2"/>
  <c r="CD24" i="2"/>
  <c r="CD164" i="2"/>
  <c r="CD193" i="2"/>
  <c r="CD81" i="2"/>
  <c r="CD194" i="2"/>
  <c r="CD76" i="2"/>
  <c r="CD171" i="2"/>
  <c r="CD153" i="2"/>
  <c r="CD156" i="2"/>
  <c r="CD142" i="2"/>
  <c r="CD158" i="2"/>
  <c r="CD188" i="2"/>
  <c r="CD82" i="2"/>
  <c r="CD150" i="2"/>
  <c r="CD176" i="2"/>
  <c r="CD137" i="2"/>
  <c r="CD51" i="2"/>
  <c r="CD65" i="2"/>
  <c r="CD167" i="2"/>
  <c r="CD196" i="2"/>
  <c r="CD44" i="2"/>
  <c r="CD120" i="2"/>
  <c r="CD66" i="2"/>
  <c r="CD15" i="2"/>
  <c r="CD79" i="2"/>
  <c r="CD200" i="2"/>
  <c r="CD63" i="2"/>
  <c r="CD183" i="2"/>
  <c r="CD168" i="2"/>
  <c r="CD201" i="2"/>
  <c r="CD39" i="2"/>
  <c r="CD152" i="2"/>
  <c r="CD53" i="2"/>
  <c r="CD111" i="2"/>
  <c r="CD10" i="2"/>
  <c r="CD4" i="2"/>
  <c r="CD106" i="2"/>
  <c r="CD16" i="2"/>
  <c r="CD118" i="2"/>
  <c r="CD62" i="2"/>
  <c r="CD43" i="2"/>
  <c r="CD102" i="2"/>
  <c r="CD92" i="2"/>
  <c r="CD192" i="2"/>
  <c r="CD199" i="2"/>
  <c r="CD75" i="2"/>
  <c r="CD190" i="2"/>
  <c r="CD74" i="2"/>
  <c r="CD57" i="2"/>
  <c r="CD36" i="2"/>
  <c r="CD189" i="2"/>
  <c r="CD203" i="2"/>
  <c r="CD45" i="2"/>
  <c r="CD131" i="2"/>
  <c r="CD149" i="2"/>
  <c r="CD173" i="2"/>
  <c r="CD107" i="2"/>
  <c r="CD104" i="2"/>
  <c r="CD133" i="2"/>
  <c r="CD195" i="2"/>
  <c r="CD13" i="2"/>
  <c r="CD184" i="2"/>
  <c r="CD186" i="2"/>
  <c r="CD157" i="2"/>
  <c r="CD161" i="2"/>
  <c r="CD19" i="2"/>
  <c r="CD12" i="2"/>
  <c r="CD174" i="2"/>
  <c r="CD37" i="2"/>
  <c r="CD72" i="2"/>
  <c r="CD135" i="2"/>
  <c r="CD115" i="2"/>
  <c r="CD42" i="2"/>
  <c r="CD38" i="2"/>
  <c r="CD78" i="2"/>
  <c r="CD108" i="2"/>
  <c r="CD113" i="2"/>
  <c r="CD41" i="2"/>
  <c r="CD6" i="2"/>
  <c r="CD103" i="2"/>
  <c r="CD28" i="2"/>
  <c r="CD22" i="2"/>
  <c r="CD124" i="2"/>
  <c r="CD9" i="2"/>
  <c r="CD128" i="2"/>
  <c r="CD105" i="2"/>
  <c r="CD179" i="2"/>
  <c r="CD47" i="2"/>
  <c r="CD101" i="2"/>
  <c r="CD27" i="2"/>
  <c r="CD170" i="2"/>
  <c r="CD144" i="2"/>
  <c r="CD25" i="2"/>
  <c r="CD83" i="2"/>
  <c r="CD30" i="2"/>
  <c r="CD143" i="2"/>
  <c r="CD18" i="2"/>
  <c r="CD141" i="2"/>
  <c r="CD110" i="2"/>
  <c r="CD85" i="2"/>
  <c r="CD14" i="2"/>
  <c r="CD126" i="2"/>
  <c r="CD132" i="2"/>
  <c r="CD98" i="2"/>
  <c r="CD50" i="2"/>
  <c r="CD35" i="2"/>
  <c r="CD5" i="2"/>
  <c r="CD26" i="2"/>
  <c r="CD32" i="2"/>
  <c r="CD86" i="2"/>
  <c r="CD191" i="2"/>
  <c r="CD46" i="2"/>
  <c r="CD70" i="2"/>
  <c r="CD109" i="2"/>
  <c r="CD69" i="2"/>
  <c r="CD197" i="2"/>
  <c r="CD40" i="2"/>
  <c r="CD151" i="2"/>
  <c r="CD59" i="2"/>
  <c r="CD130" i="2"/>
  <c r="CD122" i="2"/>
  <c r="CD116" i="2"/>
  <c r="CD55" i="2"/>
  <c r="CD95" i="2"/>
  <c r="CD54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5" i="2" l="1"/>
  <c r="BI63" i="2"/>
  <c r="BI7" i="2"/>
  <c r="BI116" i="2"/>
  <c r="BI133" i="2"/>
  <c r="BI154" i="2"/>
  <c r="BI152" i="2"/>
  <c r="BI156" i="2"/>
  <c r="BI50" i="2"/>
  <c r="BI54" i="2"/>
  <c r="BI150" i="2"/>
  <c r="BI146" i="2"/>
  <c r="BI183" i="2"/>
  <c r="BI106" i="2"/>
  <c r="BI147" i="2"/>
  <c r="BI140" i="2"/>
  <c r="BI185" i="2"/>
  <c r="BI77" i="2"/>
  <c r="BI102" i="2"/>
  <c r="BI37" i="2"/>
  <c r="BI10" i="2"/>
  <c r="BI76" i="2"/>
  <c r="BI189" i="2"/>
  <c r="BI92" i="2"/>
  <c r="BI111" i="2"/>
  <c r="BI195" i="2"/>
  <c r="BI71" i="2"/>
  <c r="BI80" i="2"/>
  <c r="BI15" i="2"/>
  <c r="BI32" i="2"/>
  <c r="BI23" i="2"/>
  <c r="BI197" i="2"/>
  <c r="BI30" i="2"/>
  <c r="BI58" i="2"/>
  <c r="BI13" i="2"/>
  <c r="BI123" i="2"/>
  <c r="BI151" i="2"/>
  <c r="BI160" i="2"/>
  <c r="BI31" i="2"/>
  <c r="BI3" i="2"/>
  <c r="C8" i="4" s="1"/>
  <c r="E8" i="4" s="1"/>
  <c r="F8" i="4" s="1"/>
  <c r="G8" i="4" s="1"/>
  <c r="L8" i="4" s="1"/>
  <c r="BI35" i="2"/>
  <c r="BI82" i="2"/>
  <c r="BI122" i="2"/>
  <c r="BI44" i="2"/>
  <c r="BI103" i="2"/>
  <c r="BI180" i="2"/>
  <c r="BI26" i="2"/>
  <c r="BI81" i="2"/>
  <c r="BI196" i="2"/>
  <c r="BI173" i="2"/>
  <c r="BI182" i="2"/>
  <c r="BI9" i="2"/>
  <c r="BI139" i="2"/>
  <c r="BI145" i="2"/>
  <c r="BI47" i="2"/>
  <c r="BI14" i="2"/>
  <c r="BI203" i="2"/>
  <c r="BI126" i="2"/>
  <c r="BI135" i="2"/>
  <c r="BI66" i="2"/>
  <c r="BI193" i="2"/>
  <c r="BI41" i="2"/>
  <c r="BI115" i="2"/>
  <c r="BI129" i="2"/>
  <c r="BI192" i="2"/>
  <c r="BI65" i="2"/>
  <c r="BI61" i="2"/>
  <c r="BI149" i="2"/>
  <c r="BI130" i="2"/>
  <c r="BI57" i="2"/>
  <c r="BI118" i="2"/>
  <c r="BI184" i="2"/>
  <c r="BI188" i="2"/>
  <c r="BI52" i="2"/>
  <c r="BI175" i="2"/>
  <c r="BI34" i="2"/>
  <c r="BI84" i="2"/>
  <c r="BI170" i="2"/>
  <c r="BI202" i="2"/>
  <c r="BI86" i="2"/>
  <c r="BI88" i="2"/>
  <c r="BI117" i="2"/>
  <c r="BI94" i="2"/>
  <c r="BI40" i="2"/>
  <c r="BI33" i="2"/>
  <c r="BI60" i="2"/>
  <c r="BI127" i="2"/>
  <c r="BI4" i="2"/>
  <c r="BI113" i="2"/>
  <c r="BI190" i="2"/>
  <c r="BI165" i="2"/>
  <c r="BI83" i="2"/>
  <c r="BI148" i="2"/>
  <c r="BI74" i="2"/>
  <c r="BI177" i="2"/>
  <c r="BI131" i="2"/>
  <c r="BI159" i="2"/>
  <c r="BI22" i="2"/>
  <c r="BI38" i="2"/>
  <c r="BI53" i="2"/>
  <c r="BI101" i="2"/>
  <c r="BI155" i="2"/>
  <c r="BI137" i="2"/>
  <c r="BI43" i="2"/>
  <c r="BI25" i="2"/>
  <c r="BI87" i="2"/>
  <c r="BI169" i="2"/>
  <c r="BI112" i="2"/>
  <c r="BI199" i="2"/>
  <c r="BI18" i="2"/>
  <c r="BI201" i="2"/>
  <c r="BI93" i="2"/>
  <c r="BI200" i="2"/>
  <c r="BI110" i="2"/>
  <c r="BI49" i="2"/>
  <c r="BI104" i="2"/>
  <c r="BI114" i="2"/>
  <c r="BI85" i="2"/>
  <c r="BI69" i="2"/>
  <c r="BI163" i="2"/>
  <c r="BI6" i="2"/>
  <c r="BI21" i="2"/>
  <c r="BI46" i="2"/>
  <c r="BI124" i="2"/>
  <c r="BI187" i="2"/>
  <c r="BI136" i="2"/>
  <c r="BI89" i="2"/>
  <c r="BI108" i="2"/>
  <c r="BI100" i="2"/>
  <c r="BI96" i="2"/>
  <c r="BI138" i="2"/>
  <c r="BI109" i="2"/>
  <c r="BI36" i="2"/>
  <c r="BI119" i="2"/>
  <c r="BI176" i="2"/>
  <c r="BI181" i="2"/>
  <c r="BI45" i="2"/>
  <c r="BI75" i="2"/>
  <c r="BI166" i="2"/>
  <c r="BI24" i="2"/>
  <c r="BI12" i="2"/>
  <c r="BI97" i="2"/>
  <c r="BI79" i="2"/>
  <c r="BI174" i="2"/>
  <c r="BI143" i="2"/>
  <c r="BI172" i="2"/>
  <c r="BI161" i="2"/>
  <c r="BI90" i="2"/>
  <c r="BI120" i="2"/>
  <c r="BI198" i="2"/>
  <c r="BI98" i="2"/>
  <c r="BI73" i="2"/>
  <c r="BI141" i="2"/>
  <c r="BI121" i="2"/>
  <c r="BI105" i="2"/>
  <c r="BI144" i="2"/>
  <c r="BI62" i="2"/>
  <c r="BI164" i="2"/>
  <c r="BI28" i="2"/>
  <c r="BI72" i="2"/>
  <c r="BI64" i="2"/>
  <c r="BI70" i="2"/>
  <c r="BI142" i="2"/>
  <c r="BI51" i="2"/>
  <c r="BI78" i="2"/>
  <c r="BI19" i="2"/>
  <c r="BI128" i="2"/>
  <c r="BI107" i="2"/>
  <c r="BI167" i="2"/>
  <c r="BI20" i="2"/>
  <c r="BI179" i="2"/>
  <c r="BI56" i="2"/>
  <c r="BI8" i="2"/>
  <c r="BI27" i="2"/>
  <c r="BI68" i="2"/>
  <c r="BI29" i="2"/>
  <c r="BI39" i="2"/>
  <c r="BI157" i="2"/>
  <c r="BI11" i="2"/>
  <c r="BI168" i="2"/>
  <c r="BI186" i="2"/>
  <c r="BI55" i="2"/>
  <c r="BI134" i="2"/>
  <c r="BI95" i="2"/>
  <c r="BI162" i="2"/>
  <c r="BI17" i="2"/>
  <c r="BI125" i="2"/>
  <c r="BI48" i="2"/>
  <c r="BI67" i="2"/>
  <c r="BI153" i="2"/>
  <c r="BI191" i="2"/>
  <c r="BI194" i="2"/>
  <c r="BI99" i="2"/>
  <c r="BI42" i="2"/>
  <c r="BI16" i="2"/>
  <c r="BI158" i="2"/>
  <c r="BI178" i="2"/>
  <c r="BI59" i="2"/>
  <c r="BI132" i="2"/>
  <c r="BI91" i="2"/>
  <c r="BI171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tc={E907D862-9100-4F78-A619-D6F51ADA6464}</author>
    <author>tc={545767AC-9113-4F55-955E-AA6CF516DD1E}</author>
    <author>tc={63A3162D-AE90-4A00-8D84-7FD5E108AECC}</author>
    <author>tc={5BE1E0A2-1D39-4347-88F3-629028A64EB3}</author>
    <author>tc={F04EDFDE-031B-4B96-AA2B-B5DAE1A3CF6D}</author>
    <author>tc={E8DE3B99-E8C5-4A04-9CF0-364A014A527C}</author>
    <author>tc={2E5E8743-283E-410E-AD35-86F6B40220B2}</author>
    <author>tc={77A4F194-029C-444A-A32C-CA7336877FD8}</author>
    <author>tc={6A071E94-2D5C-4260-82D0-2B5DD9DB6EB1}</author>
    <author>tc={80F282C3-65FC-48E3-B5D8-E77BB9B72058}</author>
    <author>tc={A6EAD018-DE8F-4CB4-A9F1-783A930F7E25}</author>
    <author>tc={FB0EB762-D6F1-4A83-B656-9E768C346C58}</author>
    <author>tc={EE034728-AB70-4799-8AAE-B8AEF680CB2E}</author>
    <author>tc={8F5E35DD-016F-4396-84CF-6573ACFDF439}</author>
    <author>tc={B63EF30F-BDF4-48AE-B81B-A9B443F2CA18}</author>
    <author>tc={6415088C-678B-42A4-8BF4-5FA17E9FEF85}</author>
    <author>tc={8DAFE9B7-E4C0-4978-A245-E76A5E176BF4}</author>
    <author>tc={7E4DB307-37C1-4020-B484-72FEE7B93AF8}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E907D862-9100-4F78-A619-D6F51ADA646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545767AC-9113-4F55-955E-AA6CF516DD1E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63A3162D-AE90-4A00-8D84-7FD5E108AEC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5BE1E0A2-1D39-4347-88F3-629028A64EB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F04EDFDE-031B-4B96-AA2B-B5DAE1A3CF6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E8DE3B99-E8C5-4A04-9CF0-364A014A527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1" authorId="13" shapeId="0" xr:uid="{2E5E8743-283E-410E-AD35-86F6B40220B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12" authorId="14" shapeId="0" xr:uid="{77A4F194-029C-444A-A32C-CA7336877FD8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13" authorId="15" shapeId="0" xr:uid="{6A071E94-2D5C-4260-82D0-2B5DD9DB6EB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2" authorId="16" shapeId="0" xr:uid="{80F282C3-65FC-48E3-B5D8-E77BB9B7205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43" authorId="17" shapeId="0" xr:uid="{A6EAD018-DE8F-4CB4-A9F1-783A930F7E25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44" authorId="18" shapeId="0" xr:uid="{FB0EB762-D6F1-4A83-B656-9E768C346C5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3" authorId="19" shapeId="0" xr:uid="{EE034728-AB70-4799-8AAE-B8AEF680CB2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74" authorId="20" shapeId="0" xr:uid="{8F5E35DD-016F-4396-84CF-6573ACFDF43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175" authorId="21" shapeId="0" xr:uid="{B63EF30F-BDF4-48AE-B81B-A9B443F2CA1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04" authorId="22" shapeId="0" xr:uid="{6415088C-678B-42A4-8BF4-5FA17E9FEF8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205" authorId="23" shapeId="0" xr:uid="{8DAFE9B7-E4C0-4978-A245-E76A5E176BF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206" authorId="24" shapeId="0" xr:uid="{7E4DB307-37C1-4020-B484-72FEE7B93AF8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<sst xmlns="http://schemas.openxmlformats.org/spreadsheetml/2006/main" count="1183" uniqueCount="330">
  <si>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</si>
  <si>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</si>
  <si>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</si>
  <si>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</si>
  <si>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</si>
  <si>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</si>
  <si>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</si>
  <si>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</si>
  <si>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</si>
  <si>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</si>
  <si>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</si>
  <si>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</si>
  <si>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</si>
  <si>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</si>
  <si>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</si>
  <si>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</si>
  <si>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</si>
  <si>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</si>
  <si>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</si>
  <si>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</si>
  <si>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</si>
  <si>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</si>
  <si>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</si>
  <si>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</si>
  <si>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</si>
  <si>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</si>
  <si>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</si>
  <si>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</si>
  <si>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</si>
  <si>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</si>
  <si>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</si>
  <si>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</si>
  <si>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</si>
  <si>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</si>
  <si>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</si>
  <si>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</si>
  <si>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</si>
  <si>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</si>
  <si>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</si>
  <si>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</si>
  <si>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</si>
  <si>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</si>
  <si>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</si>
  <si>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</si>
  <si>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</si>
  <si>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</si>
  <si>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</si>
  <si>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</si>
  <si>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</si>
  <si>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</si>
  <si>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</si>
  <si>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</si>
  <si>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</si>
  <si>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</si>
  <si>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</si>
  <si>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</si>
  <si>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</si>
  <si>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</si>
  <si>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</si>
  <si>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</si>
  <si>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</si>
  <si>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</si>
  <si>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</si>
  <si>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</si>
  <si>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</si>
  <si>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</si>
  <si>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</si>
  <si>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</si>
  <si>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</si>
  <si>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</si>
  <si>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</si>
  <si>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</si>
  <si>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</si>
  <si>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</si>
  <si>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</si>
  <si>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</si>
  <si>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</si>
  <si>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</si>
  <si>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</si>
  <si>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</si>
  <si>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</si>
  <si>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</si>
  <si>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</si>
  <si>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</si>
  <si>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</si>
  <si>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</si>
  <si>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</si>
  <si>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</si>
  <si>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</si>
  <si>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</si>
  <si>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</si>
  <si>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</si>
  <si>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</si>
  <si>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</si>
  <si>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</si>
  <si>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</si>
  <si>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</si>
  <si>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</si>
  <si>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</si>
  <si>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</si>
  <si>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</si>
  <si>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</si>
  <si>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</si>
  <si>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</si>
  <si>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</si>
  <si>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</si>
  <si>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</si>
  <si>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</si>
  <si>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</si>
  <si>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</si>
  <si>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</si>
  <si>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</si>
  <si>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</si>
  <si>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</si>
  <si>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</si>
  <si>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</si>
  <si>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</si>
  <si>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</si>
  <si>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</si>
  <si>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</si>
  <si>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</si>
  <si>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</si>
  <si>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</si>
  <si>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</si>
  <si>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</si>
  <si>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</si>
  <si>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</si>
  <si>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</si>
  <si>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</si>
  <si>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</si>
  <si>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</si>
  <si>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</si>
  <si>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</si>
  <si>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</si>
  <si>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</si>
  <si>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</si>
  <si>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</si>
  <si>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</si>
  <si>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</si>
  <si>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</si>
  <si>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</si>
  <si>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</si>
  <si>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</si>
  <si>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</si>
  <si>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</si>
  <si>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</si>
  <si>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</si>
  <si>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</si>
  <si>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</si>
  <si>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</si>
  <si>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</si>
  <si>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</si>
  <si>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</si>
  <si>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</si>
  <si>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</si>
  <si>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</si>
  <si>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</si>
  <si>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</si>
  <si>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</si>
  <si>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</si>
  <si>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</si>
  <si>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</si>
  <si>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</si>
  <si>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</si>
  <si>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</si>
  <si>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</si>
  <si>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</si>
  <si>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</si>
  <si>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</si>
  <si>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</si>
  <si>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</si>
  <si>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</si>
  <si>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</si>
  <si>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</si>
  <si>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</si>
  <si>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</si>
  <si>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</si>
  <si>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</si>
  <si>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</si>
  <si>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</si>
  <si>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</si>
  <si>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</si>
  <si>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</si>
  <si>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</si>
  <si>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</si>
  <si>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</si>
  <si>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</si>
  <si>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</si>
  <si>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</si>
  <si>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</si>
  <si>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</si>
  <si>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</si>
  <si>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</si>
  <si>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</si>
  <si>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</si>
  <si>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</si>
  <si>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</si>
  <si>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</si>
  <si>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</si>
  <si>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</si>
  <si>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</si>
  <si>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</si>
  <si>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</si>
  <si>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</si>
  <si>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</si>
  <si>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</si>
  <si>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</si>
  <si>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</si>
  <si>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</si>
  <si>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</si>
  <si>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</si>
  <si>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</si>
  <si>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</si>
  <si>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</si>
  <si>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</si>
  <si>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</si>
  <si>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</si>
  <si>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</si>
  <si>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</si>
  <si>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</si>
  <si>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</si>
  <si>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</si>
  <si>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</si>
  <si>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</si>
  <si>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</si>
  <si>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</si>
  <si>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</si>
  <si>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</si>
  <si>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</si>
  <si>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</si>
  <si>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</si>
  <si>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</si>
  <si>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</si>
  <si>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</si>
  <si>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</si>
  <si>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</si>
  <si>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</si>
  <si>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</si>
  <si>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</si>
  <si>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</si>
  <si>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</si>
  <si>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</si>
  <si>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</si>
  <si>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</si>
  <si>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</si>
  <si>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</si>
  <si>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</si>
  <si>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</si>
  <si>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</si>
  <si>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</si>
  <si>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</si>
  <si>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</si>
  <si>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</si>
  <si>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</si>
  <si>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</si>
  <si>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</si>
  <si>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</si>
  <si>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</si>
  <si>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</si>
  <si>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</si>
  <si>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</si>
  <si>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</si>
  <si>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</si>
  <si>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</si>
  <si>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</si>
  <si>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</si>
  <si>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</si>
  <si>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</si>
  <si>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</si>
  <si>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</si>
  <si>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</si>
  <si>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</si>
  <si>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</si>
  <si>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</si>
  <si>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</si>
  <si>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</si>
  <si>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</si>
  <si>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</si>
  <si>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</si>
  <si>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</si>
  <si>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</si>
  <si>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</si>
  <si>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</si>
  <si>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</si>
  <si>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</si>
  <si>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</si>
  <si>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</si>
  <si>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</si>
  <si>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</si>
  <si>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</si>
  <si>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</si>
  <si>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</si>
  <si>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</si>
  <si>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</si>
  <si>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</si>
  <si>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</si>
  <si>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</si>
  <si>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</si>
  <si>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</si>
  <si>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</si>
  <si>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</si>
  <si>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</si>
  <si>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</si>
  <si>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</si>
  <si>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</si>
  <si>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</si>
  <si>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</si>
  <si>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</si>
  <si>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</si>
  <si>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</si>
  <si>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</si>
  <si>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</si>
  <si>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</si>
  <si>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</si>
  <si>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</si>
  <si>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</si>
  <si>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</si>
  <si>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</si>
  <si>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</si>
  <si>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</si>
  <si>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</si>
  <si>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</si>
  <si>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</si>
  <si>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</si>
  <si>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</si>
  <si>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Proxy pour pommier sauvage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</si>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</sst>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2.0923362401630201</c:v>
                </c:pt>
                <c:pt idx="2">
                  <c:v>2.5853875380977338</c:v>
                </c:pt>
                <c:pt idx="3">
                  <c:v>3.1950755062709413</c:v>
                </c:pt>
                <c:pt idx="4">
                  <c:v>3.9490925865100355</c:v>
                </c:pt>
                <c:pt idx="5">
                  <c:v>4.8817285219731739</c:v>
                </c:pt>
                <c:pt idx="6">
                  <c:v>6.035447037303256</c:v>
                </c:pt>
                <c:pt idx="7">
                  <c:v>7.4628404267556538</c:v>
                </c:pt>
                <c:pt idx="8">
                  <c:v>9.2290528717049156</c:v>
                </c:pt>
                <c:pt idx="9">
                  <c:v>11.414785188957319</c:v>
                </c:pt>
                <c:pt idx="10">
                  <c:v>14.120020874147725</c:v>
                </c:pt>
                <c:pt idx="11">
                  <c:v>21.063974185536008</c:v>
                </c:pt>
                <c:pt idx="12">
                  <c:v>29.429406613719376</c:v>
                </c:pt>
                <c:pt idx="13">
                  <c:v>37.727903052748168</c:v>
                </c:pt>
                <c:pt idx="14">
                  <c:v>45.976451369424893</c:v>
                </c:pt>
                <c:pt idx="15">
                  <c:v>54.185344096716108</c:v>
                </c:pt>
                <c:pt idx="16">
                  <c:v>64.692206117220181</c:v>
                </c:pt>
                <c:pt idx="17">
                  <c:v>79.502969264371089</c:v>
                </c:pt>
                <c:pt idx="18">
                  <c:v>94.243553745294435</c:v>
                </c:pt>
                <c:pt idx="19">
                  <c:v>108.92652623815808</c:v>
                </c:pt>
                <c:pt idx="20">
                  <c:v>123.56076610518875</c:v>
                </c:pt>
                <c:pt idx="21">
                  <c:v>122.41458019354752</c:v>
                </c:pt>
                <c:pt idx="22">
                  <c:v>134.15107551796063</c:v>
                </c:pt>
                <c:pt idx="23">
                  <c:v>145.8628199290761</c:v>
                </c:pt>
                <c:pt idx="24">
                  <c:v>157.5520828218348</c:v>
                </c:pt>
                <c:pt idx="25">
                  <c:v>169.2207687360675</c:v>
                </c:pt>
                <c:pt idx="26">
                  <c:v>154.70300795717847</c:v>
                </c:pt>
                <c:pt idx="27">
                  <c:v>165.80757333279718</c:v>
                </c:pt>
                <c:pt idx="28">
                  <c:v>176.89458202971272</c:v>
                </c:pt>
                <c:pt idx="29">
                  <c:v>187.96529046020365</c:v>
                </c:pt>
                <c:pt idx="30">
                  <c:v>199.02079476214132</c:v>
                </c:pt>
                <c:pt idx="31">
                  <c:v>180.87049769568833</c:v>
                </c:pt>
                <c:pt idx="32">
                  <c:v>191.08500506258926</c:v>
                </c:pt>
                <c:pt idx="33">
                  <c:v>201.28680095639413</c:v>
                </c:pt>
                <c:pt idx="34">
                  <c:v>211.47662103053372</c:v>
                </c:pt>
                <c:pt idx="35">
                  <c:v>221.65512417668984</c:v>
                </c:pt>
                <c:pt idx="36">
                  <c:v>201.85320984852046</c:v>
                </c:pt>
                <c:pt idx="37">
                  <c:v>211.75950715739978</c:v>
                </c:pt>
                <c:pt idx="38">
                  <c:v>221.65512417668984</c:v>
                </c:pt>
                <c:pt idx="39">
                  <c:v>231.54060536306474</c:v>
                </c:pt>
                <c:pt idx="40">
                  <c:v>241.41644483936719</c:v>
                </c:pt>
                <c:pt idx="41">
                  <c:v>219.39418126734574</c:v>
                </c:pt>
                <c:pt idx="42">
                  <c:v>228.43480119062883</c:v>
                </c:pt>
                <c:pt idx="43">
                  <c:v>237.46723631922202</c:v>
                </c:pt>
                <c:pt idx="44">
                  <c:v>246.49184218100808</c:v>
                </c:pt>
                <c:pt idx="45">
                  <c:v>255.50894611772139</c:v>
                </c:pt>
                <c:pt idx="46">
                  <c:v>232.66975188863583</c:v>
                </c:pt>
                <c:pt idx="47">
                  <c:v>240.85236284789323</c:v>
                </c:pt>
                <c:pt idx="48">
                  <c:v>249.02864742441989</c:v>
                </c:pt>
                <c:pt idx="49">
                  <c:v>257.19884285520715</c:v>
                </c:pt>
                <c:pt idx="50">
                  <c:v>265.36317005758792</c:v>
                </c:pt>
                <c:pt idx="51">
                  <c:v>243.67247358116444</c:v>
                </c:pt>
                <c:pt idx="52">
                  <c:v>251.56486631652947</c:v>
                </c:pt>
                <c:pt idx="53">
                  <c:v>259.45164815796994</c:v>
                </c:pt>
                <c:pt idx="54">
                  <c:v>267.33301391300517</c:v>
                </c:pt>
                <c:pt idx="55">
                  <c:v>275.20914595206563</c:v>
                </c:pt>
                <c:pt idx="56">
                  <c:v>254.10050561748869</c:v>
                </c:pt>
                <c:pt idx="57">
                  <c:v>261.14096179913935</c:v>
                </c:pt>
                <c:pt idx="58">
                  <c:v>268.17713242968824</c:v>
                </c:pt>
                <c:pt idx="59">
                  <c:v>275.20914595206563</c:v>
                </c:pt>
                <c:pt idx="60">
                  <c:v>282.23712370144091</c:v>
                </c:pt>
                <c:pt idx="61">
                  <c:v>262.26703366253628</c:v>
                </c:pt>
                <c:pt idx="62">
                  <c:v>269.02119109240982</c:v>
                </c:pt>
                <c:pt idx="63">
                  <c:v>275.77153112750079</c:v>
                </c:pt>
                <c:pt idx="64">
                  <c:v>282.51816051208363</c:v>
                </c:pt>
                <c:pt idx="65">
                  <c:v>289.26118046969771</c:v>
                </c:pt>
                <c:pt idx="66">
                  <c:v>270.1465099076247</c:v>
                </c:pt>
                <c:pt idx="67">
                  <c:v>276.33389053769889</c:v>
                </c:pt>
                <c:pt idx="68">
                  <c:v>282.51816051208368</c:v>
                </c:pt>
                <c:pt idx="69">
                  <c:v>288.69939762230456</c:v>
                </c:pt>
                <c:pt idx="70">
                  <c:v>294.87767605242175</c:v>
                </c:pt>
                <c:pt idx="71">
                  <c:v>276.61506059958839</c:v>
                </c:pt>
                <c:pt idx="72">
                  <c:v>282.23712370144091</c:v>
                </c:pt>
                <c:pt idx="73">
                  <c:v>287.85667749117118</c:v>
                </c:pt>
                <c:pt idx="74">
                  <c:v>293.47377793906509</c:v>
                </c:pt>
                <c:pt idx="75">
                  <c:v>299.08847869495418</c:v>
                </c:pt>
                <c:pt idx="76">
                  <c:v>281.95608061803119</c:v>
                </c:pt>
                <c:pt idx="77">
                  <c:v>287.29483341742724</c:v>
                </c:pt>
                <c:pt idx="78">
                  <c:v>292.63136713800878</c:v>
                </c:pt>
                <c:pt idx="79">
                  <c:v>297.96572801830723</c:v>
                </c:pt>
                <c:pt idx="80">
                  <c:v>303.29796050375211</c:v>
                </c:pt>
                <c:pt idx="81">
                  <c:v>287.2948334174273</c:v>
                </c:pt>
                <c:pt idx="82">
                  <c:v>292.35055150938069</c:v>
                </c:pt>
                <c:pt idx="83">
                  <c:v>297.40431733267718</c:v>
                </c:pt>
                <c:pt idx="84">
                  <c:v>302.45616879398909</c:v>
                </c:pt>
                <c:pt idx="85">
                  <c:v>307.50614242847206</c:v>
                </c:pt>
                <c:pt idx="86">
                  <c:v>292.63136713800878</c:v>
                </c:pt>
                <c:pt idx="87">
                  <c:v>297.40431733267718</c:v>
                </c:pt>
                <c:pt idx="88">
                  <c:v>302.17555997473181</c:v>
                </c:pt>
                <c:pt idx="89">
                  <c:v>306.94512587259851</c:v>
                </c:pt>
                <c:pt idx="90">
                  <c:v>311.71304479765826</c:v>
                </c:pt>
                <c:pt idx="91">
                  <c:v>3.0805225009345862E-12</c:v>
                </c:pt>
                <c:pt idx="92">
                  <c:v>3.0805225009345862E-12</c:v>
                </c:pt>
                <c:pt idx="93">
                  <c:v>3.0805225009345862E-12</c:v>
                </c:pt>
                <c:pt idx="94">
                  <c:v>3.0805225009345862E-12</c:v>
                </c:pt>
                <c:pt idx="95">
                  <c:v>3.0805225009345862E-12</c:v>
                </c:pt>
                <c:pt idx="96">
                  <c:v>3.0805225009345862E-12</c:v>
                </c:pt>
                <c:pt idx="97">
                  <c:v>3.0805225009345862E-12</c:v>
                </c:pt>
                <c:pt idx="98">
                  <c:v>3.0805225009345862E-12</c:v>
                </c:pt>
                <c:pt idx="99">
                  <c:v>3.0805225009345862E-12</c:v>
                </c:pt>
                <c:pt idx="100">
                  <c:v>3.0805225009345862E-12</c:v>
                </c:pt>
                <c:pt idx="101">
                  <c:v>3.0805225009345862E-12</c:v>
                </c:pt>
                <c:pt idx="102">
                  <c:v>3.0805225009345862E-12</c:v>
                </c:pt>
                <c:pt idx="103">
                  <c:v>3.0805225009345862E-12</c:v>
                </c:pt>
                <c:pt idx="104">
                  <c:v>3.0805225009345862E-12</c:v>
                </c:pt>
                <c:pt idx="105">
                  <c:v>3.0805225009345862E-12</c:v>
                </c:pt>
                <c:pt idx="106">
                  <c:v>3.0805225009345862E-12</c:v>
                </c:pt>
                <c:pt idx="107">
                  <c:v>3.0805225009345862E-12</c:v>
                </c:pt>
                <c:pt idx="108">
                  <c:v>3.0805225009345862E-12</c:v>
                </c:pt>
                <c:pt idx="109">
                  <c:v>3.0805225009345862E-12</c:v>
                </c:pt>
                <c:pt idx="110">
                  <c:v>3.0805225009345862E-12</c:v>
                </c:pt>
                <c:pt idx="111">
                  <c:v>3.0805225009345862E-12</c:v>
                </c:pt>
                <c:pt idx="112">
                  <c:v>3.0805225009345862E-12</c:v>
                </c:pt>
                <c:pt idx="113">
                  <c:v>3.0805225009345862E-12</c:v>
                </c:pt>
                <c:pt idx="114">
                  <c:v>3.0805225009345862E-12</c:v>
                </c:pt>
                <c:pt idx="115">
                  <c:v>3.0805225009345862E-12</c:v>
                </c:pt>
                <c:pt idx="116">
                  <c:v>3.0805225009345862E-12</c:v>
                </c:pt>
                <c:pt idx="117">
                  <c:v>3.0805225009345862E-12</c:v>
                </c:pt>
                <c:pt idx="118">
                  <c:v>3.0805225009345862E-12</c:v>
                </c:pt>
                <c:pt idx="119">
                  <c:v>3.0805225009345862E-12</c:v>
                </c:pt>
                <c:pt idx="120">
                  <c:v>3.0805225009345862E-12</c:v>
                </c:pt>
                <c:pt idx="121">
                  <c:v>3.0805225009345862E-12</c:v>
                </c:pt>
                <c:pt idx="122">
                  <c:v>3.0805225009345862E-12</c:v>
                </c:pt>
                <c:pt idx="123">
                  <c:v>3.0805225009345862E-12</c:v>
                </c:pt>
                <c:pt idx="124">
                  <c:v>3.0805225009345862E-12</c:v>
                </c:pt>
                <c:pt idx="125">
                  <c:v>3.0805225009345862E-12</c:v>
                </c:pt>
                <c:pt idx="126">
                  <c:v>3.0805225009345862E-12</c:v>
                </c:pt>
                <c:pt idx="127">
                  <c:v>3.0805225009345862E-12</c:v>
                </c:pt>
                <c:pt idx="128">
                  <c:v>3.0805225009345862E-12</c:v>
                </c:pt>
                <c:pt idx="129">
                  <c:v>3.0805225009345862E-12</c:v>
                </c:pt>
                <c:pt idx="130">
                  <c:v>3.0805225009345862E-12</c:v>
                </c:pt>
                <c:pt idx="131">
                  <c:v>3.0805225009345862E-12</c:v>
                </c:pt>
                <c:pt idx="132">
                  <c:v>3.0805225009345862E-12</c:v>
                </c:pt>
                <c:pt idx="133">
                  <c:v>3.0805225009345862E-12</c:v>
                </c:pt>
                <c:pt idx="134">
                  <c:v>3.0805225009345862E-12</c:v>
                </c:pt>
                <c:pt idx="135">
                  <c:v>3.0805225009345862E-12</c:v>
                </c:pt>
                <c:pt idx="136">
                  <c:v>3.0805225009345862E-12</c:v>
                </c:pt>
                <c:pt idx="137">
                  <c:v>3.0805225009345862E-12</c:v>
                </c:pt>
                <c:pt idx="138">
                  <c:v>3.0805225009345862E-12</c:v>
                </c:pt>
                <c:pt idx="139">
                  <c:v>3.0805225009345862E-12</c:v>
                </c:pt>
                <c:pt idx="140">
                  <c:v>3.0805225009345862E-12</c:v>
                </c:pt>
                <c:pt idx="141">
                  <c:v>3.0805225009345862E-12</c:v>
                </c:pt>
                <c:pt idx="142">
                  <c:v>3.0805225009345862E-12</c:v>
                </c:pt>
                <c:pt idx="143">
                  <c:v>3.0805225009345862E-12</c:v>
                </c:pt>
                <c:pt idx="144">
                  <c:v>3.0805225009345862E-12</c:v>
                </c:pt>
                <c:pt idx="145">
                  <c:v>3.0805225009345862E-12</c:v>
                </c:pt>
                <c:pt idx="146">
                  <c:v>3.0805225009345862E-12</c:v>
                </c:pt>
                <c:pt idx="147">
                  <c:v>3.0805225009345862E-12</c:v>
                </c:pt>
                <c:pt idx="148">
                  <c:v>3.0805225009345862E-12</c:v>
                </c:pt>
                <c:pt idx="149">
                  <c:v>3.0805225009345862E-12</c:v>
                </c:pt>
                <c:pt idx="150">
                  <c:v>3.0805225009345862E-12</c:v>
                </c:pt>
                <c:pt idx="151">
                  <c:v>3.0805225009345862E-12</c:v>
                </c:pt>
                <c:pt idx="152">
                  <c:v>3.0805225009345862E-12</c:v>
                </c:pt>
                <c:pt idx="153">
                  <c:v>3.0805225009345862E-12</c:v>
                </c:pt>
                <c:pt idx="154">
                  <c:v>3.0805225009345862E-12</c:v>
                </c:pt>
                <c:pt idx="155">
                  <c:v>3.0805225009345862E-12</c:v>
                </c:pt>
                <c:pt idx="156">
                  <c:v>3.0805225009345862E-12</c:v>
                </c:pt>
                <c:pt idx="157">
                  <c:v>3.0805225009345862E-12</c:v>
                </c:pt>
                <c:pt idx="158">
                  <c:v>3.0805225009345862E-12</c:v>
                </c:pt>
                <c:pt idx="159">
                  <c:v>3.0805225009345862E-12</c:v>
                </c:pt>
                <c:pt idx="160">
                  <c:v>3.0805225009345862E-12</c:v>
                </c:pt>
                <c:pt idx="161">
                  <c:v>3.0805225009345862E-12</c:v>
                </c:pt>
                <c:pt idx="162">
                  <c:v>3.0805225009345862E-12</c:v>
                </c:pt>
                <c:pt idx="163">
                  <c:v>3.0805225009345862E-12</c:v>
                </c:pt>
                <c:pt idx="164">
                  <c:v>3.0805225009345862E-12</c:v>
                </c:pt>
                <c:pt idx="165">
                  <c:v>3.0805225009345862E-12</c:v>
                </c:pt>
                <c:pt idx="166">
                  <c:v>3.0805225009345862E-12</c:v>
                </c:pt>
                <c:pt idx="167">
                  <c:v>3.0805225009345862E-12</c:v>
                </c:pt>
                <c:pt idx="168">
                  <c:v>3.0805225009345862E-12</c:v>
                </c:pt>
                <c:pt idx="169">
                  <c:v>3.0805225009345862E-12</c:v>
                </c:pt>
                <c:pt idx="170">
                  <c:v>3.0805225009345862E-12</c:v>
                </c:pt>
                <c:pt idx="171">
                  <c:v>3.0805225009345862E-12</c:v>
                </c:pt>
                <c:pt idx="172">
                  <c:v>3.0805225009345862E-12</c:v>
                </c:pt>
                <c:pt idx="173">
                  <c:v>3.0805225009345862E-12</c:v>
                </c:pt>
                <c:pt idx="174">
                  <c:v>3.0805225009345862E-12</c:v>
                </c:pt>
                <c:pt idx="175">
                  <c:v>3.0805225009345862E-12</c:v>
                </c:pt>
                <c:pt idx="176">
                  <c:v>3.0805225009345862E-12</c:v>
                </c:pt>
                <c:pt idx="177">
                  <c:v>3.0805225009345862E-12</c:v>
                </c:pt>
                <c:pt idx="178">
                  <c:v>3.0805225009345862E-12</c:v>
                </c:pt>
                <c:pt idx="179">
                  <c:v>3.0805225009345862E-12</c:v>
                </c:pt>
                <c:pt idx="180">
                  <c:v>3.0805225009345862E-12</c:v>
                </c:pt>
                <c:pt idx="181">
                  <c:v>3.0805225009345862E-12</c:v>
                </c:pt>
                <c:pt idx="182">
                  <c:v>3.0805225009345862E-12</c:v>
                </c:pt>
                <c:pt idx="183">
                  <c:v>3.0805225009345862E-12</c:v>
                </c:pt>
                <c:pt idx="184">
                  <c:v>3.0805225009345862E-12</c:v>
                </c:pt>
                <c:pt idx="185">
                  <c:v>3.0805225009345862E-12</c:v>
                </c:pt>
                <c:pt idx="186">
                  <c:v>3.0805225009345862E-12</c:v>
                </c:pt>
                <c:pt idx="187">
                  <c:v>3.0805225009345862E-12</c:v>
                </c:pt>
                <c:pt idx="188">
                  <c:v>3.0805225009345862E-12</c:v>
                </c:pt>
                <c:pt idx="189">
                  <c:v>3.0805225009345862E-12</c:v>
                </c:pt>
                <c:pt idx="190">
                  <c:v>3.0805225009345862E-12</c:v>
                </c:pt>
                <c:pt idx="191">
                  <c:v>3.0805225009345862E-12</c:v>
                </c:pt>
                <c:pt idx="192">
                  <c:v>3.0805225009345862E-12</c:v>
                </c:pt>
                <c:pt idx="193">
                  <c:v>3.0805225009345862E-12</c:v>
                </c:pt>
                <c:pt idx="194">
                  <c:v>3.0805225009345862E-12</c:v>
                </c:pt>
                <c:pt idx="195">
                  <c:v>3.0805225009345862E-12</c:v>
                </c:pt>
                <c:pt idx="196">
                  <c:v>3.0805225009345862E-12</c:v>
                </c:pt>
                <c:pt idx="197">
                  <c:v>3.0805225009345862E-12</c:v>
                </c:pt>
                <c:pt idx="198">
                  <c:v>3.0805225009345862E-12</c:v>
                </c:pt>
                <c:pt idx="199">
                  <c:v>3.0805225009345862E-12</c:v>
                </c:pt>
                <c:pt idx="200">
                  <c:v>3.0805225009345862E-12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8.9920627420786783</c:v>
                </c:pt>
                <c:pt idx="2">
                  <c:v>17.588865149203851</c:v>
                </c:pt>
                <c:pt idx="3">
                  <c:v>26.05801830896668</c:v>
                </c:pt>
                <c:pt idx="4">
                  <c:v>34.448485502585022</c:v>
                </c:pt>
                <c:pt idx="5">
                  <c:v>42.782458494229274</c:v>
                </c:pt>
                <c:pt idx="6">
                  <c:v>51.072596392714296</c:v>
                </c:pt>
                <c:pt idx="7">
                  <c:v>59.327060036021408</c:v>
                </c:pt>
                <c:pt idx="8">
                  <c:v>67.551533769994364</c:v>
                </c:pt>
                <c:pt idx="9">
                  <c:v>75.750195661138918</c:v>
                </c:pt>
                <c:pt idx="10">
                  <c:v>83.92624084855602</c:v>
                </c:pt>
                <c:pt idx="11">
                  <c:v>92.082188464694312</c:v>
                </c:pt>
                <c:pt idx="12">
                  <c:v>100.22007334716635</c:v>
                </c:pt>
                <c:pt idx="13">
                  <c:v>108.34157185481153</c:v>
                </c:pt>
                <c:pt idx="14">
                  <c:v>116.44808779465257</c:v>
                </c:pt>
                <c:pt idx="15">
                  <c:v>124.54081306609082</c:v>
                </c:pt>
                <c:pt idx="16">
                  <c:v>132.62077165777404</c:v>
                </c:pt>
                <c:pt idx="17">
                  <c:v>140.6888523252658</c:v>
                </c:pt>
                <c:pt idx="18">
                  <c:v>148.7458333580104</c:v>
                </c:pt>
                <c:pt idx="19">
                  <c:v>156.79240168473996</c:v>
                </c:pt>
                <c:pt idx="20">
                  <c:v>164.82916784194558</c:v>
                </c:pt>
                <c:pt idx="21">
                  <c:v>172.85667786357976</c:v>
                </c:pt>
                <c:pt idx="22">
                  <c:v>180.87542284188578</c:v>
                </c:pt>
                <c:pt idx="23">
                  <c:v>188.88584670075628</c:v>
                </c:pt>
                <c:pt idx="24">
                  <c:v>196.88835257905711</c:v>
                </c:pt>
                <c:pt idx="25">
                  <c:v>204.88330812008542</c:v>
                </c:pt>
                <c:pt idx="26">
                  <c:v>212.87104989089207</c:v>
                </c:pt>
                <c:pt idx="27">
                  <c:v>220.85188710258387</c:v>
                </c:pt>
                <c:pt idx="28">
                  <c:v>228.8261047639771</c:v>
                </c:pt>
                <c:pt idx="29">
                  <c:v>236.79396637206796</c:v>
                </c:pt>
                <c:pt idx="30">
                  <c:v>244.75571622097837</c:v>
                </c:pt>
                <c:pt idx="31">
                  <c:v>252.71158139439407</c:v>
                </c:pt>
                <c:pt idx="32">
                  <c:v>260.6617734936915</c:v>
                </c:pt>
                <c:pt idx="33">
                  <c:v>268.60649014398143</c:v>
                </c:pt>
                <c:pt idx="34">
                  <c:v>276.54591631247177</c:v>
                </c:pt>
                <c:pt idx="35">
                  <c:v>284.48022546737167</c:v>
                </c:pt>
                <c:pt idx="36">
                  <c:v>292.40958060062536</c:v>
                </c:pt>
                <c:pt idx="37">
                  <c:v>300.33413513381555</c:v>
                </c:pt>
                <c:pt idx="38">
                  <c:v>308.2540337233761</c:v>
                </c:pt>
                <c:pt idx="39">
                  <c:v>316.16941297866185</c:v>
                </c:pt>
                <c:pt idx="40">
                  <c:v>324.08040210429743</c:v>
                </c:pt>
                <c:pt idx="41">
                  <c:v>331.98712347648376</c:v>
                </c:pt>
                <c:pt idx="42">
                  <c:v>339.88969316149564</c:v>
                </c:pt>
                <c:pt idx="43">
                  <c:v>270.94677006615854</c:v>
                </c:pt>
                <c:pt idx="44">
                  <c:v>290.07513713972457</c:v>
                </c:pt>
                <c:pt idx="45">
                  <c:v>309.17532452397717</c:v>
                </c:pt>
                <c:pt idx="46">
                  <c:v>328.24931745205993</c:v>
                </c:pt>
                <c:pt idx="47">
                  <c:v>347.29885162334591</c:v>
                </c:pt>
                <c:pt idx="48">
                  <c:v>366.32545682090125</c:v>
                </c:pt>
                <c:pt idx="49">
                  <c:v>385.33049098897459</c:v>
                </c:pt>
                <c:pt idx="50">
                  <c:v>404.31516723411369</c:v>
                </c:pt>
                <c:pt idx="51">
                  <c:v>351.53907220703439</c:v>
                </c:pt>
                <c:pt idx="52">
                  <c:v>370.93098192198687</c:v>
                </c:pt>
                <c:pt idx="53">
                  <c:v>390.30079007224117</c:v>
                </c:pt>
                <c:pt idx="54">
                  <c:v>409.64974727576458</c:v>
                </c:pt>
                <c:pt idx="55">
                  <c:v>428.97897642130755</c:v>
                </c:pt>
                <c:pt idx="56">
                  <c:v>448.28949099946317</c:v>
                </c:pt>
                <c:pt idx="57">
                  <c:v>467.58221011074392</c:v>
                </c:pt>
                <c:pt idx="58">
                  <c:v>486.85797086800625</c:v>
                </c:pt>
                <c:pt idx="59">
                  <c:v>414.78551963094213</c:v>
                </c:pt>
                <c:pt idx="60">
                  <c:v>433.50063838054979</c:v>
                </c:pt>
                <c:pt idx="61">
                  <c:v>452.19841386924122</c:v>
                </c:pt>
                <c:pt idx="62">
                  <c:v>470.87966373554445</c:v>
                </c:pt>
                <c:pt idx="63">
                  <c:v>489.54513548559765</c:v>
                </c:pt>
                <c:pt idx="64">
                  <c:v>508.19551500807347</c:v>
                </c:pt>
                <c:pt idx="65">
                  <c:v>526.83143377447163</c:v>
                </c:pt>
                <c:pt idx="66">
                  <c:v>545.45347496798104</c:v>
                </c:pt>
                <c:pt idx="67">
                  <c:v>462.73730766892845</c:v>
                </c:pt>
                <c:pt idx="68">
                  <c:v>480.63040030564292</c:v>
                </c:pt>
                <c:pt idx="69">
                  <c:v>498.50934058326834</c:v>
                </c:pt>
                <c:pt idx="70">
                  <c:v>516.37470723090053</c:v>
                </c:pt>
                <c:pt idx="71">
                  <c:v>534.22703569024236</c:v>
                </c:pt>
                <c:pt idx="72">
                  <c:v>552.06682272133571</c:v>
                </c:pt>
                <c:pt idx="73">
                  <c:v>569.89453038226452</c:v>
                </c:pt>
                <c:pt idx="74">
                  <c:v>587.71058948522784</c:v>
                </c:pt>
                <c:pt idx="75">
                  <c:v>509.81142667518242</c:v>
                </c:pt>
                <c:pt idx="76">
                  <c:v>527.28746234496555</c:v>
                </c:pt>
                <c:pt idx="77">
                  <c:v>544.75130554830673</c:v>
                </c:pt>
                <c:pt idx="78">
                  <c:v>562.20340194412472</c:v>
                </c:pt>
                <c:pt idx="79">
                  <c:v>579.6441672846255</c:v>
                </c:pt>
                <c:pt idx="80">
                  <c:v>597.07399028012458</c:v>
                </c:pt>
                <c:pt idx="81">
                  <c:v>614.49323511214538</c:v>
                </c:pt>
                <c:pt idx="82">
                  <c:v>631.90224364691676</c:v>
                </c:pt>
                <c:pt idx="83">
                  <c:v>649.30133739242081</c:v>
                </c:pt>
                <c:pt idx="84">
                  <c:v>666.69081923491296</c:v>
                </c:pt>
                <c:pt idx="85">
                  <c:v>559.95741782075277</c:v>
                </c:pt>
                <c:pt idx="86">
                  <c:v>576.62393219075545</c:v>
                </c:pt>
                <c:pt idx="87">
                  <c:v>593.28039646622881</c:v>
                </c:pt>
                <c:pt idx="88">
                  <c:v>609.92713235808367</c:v>
                </c:pt>
                <c:pt idx="89">
                  <c:v>626.56444259641489</c:v>
                </c:pt>
                <c:pt idx="90">
                  <c:v>643.19261253495631</c:v>
                </c:pt>
                <c:pt idx="91">
                  <c:v>659.81191158110698</c:v>
                </c:pt>
                <c:pt idx="92">
                  <c:v>676.42259447448771</c:v>
                </c:pt>
                <c:pt idx="93">
                  <c:v>693.02490243347381</c:v>
                </c:pt>
                <c:pt idx="94">
                  <c:v>709.61906418623494</c:v>
                </c:pt>
                <c:pt idx="95">
                  <c:v>601.78265143992576</c:v>
                </c:pt>
                <c:pt idx="96">
                  <c:v>617.93490869126617</c:v>
                </c:pt>
                <c:pt idx="97">
                  <c:v>634.07841830365373</c:v>
                </c:pt>
                <c:pt idx="98">
                  <c:v>650.21343420695678</c:v>
                </c:pt>
                <c:pt idx="99">
                  <c:v>666.34019671000158</c:v>
                </c:pt>
                <c:pt idx="100">
                  <c:v>682.45893354995599</c:v>
                </c:pt>
                <c:pt idx="101">
                  <c:v>698.56986083748905</c:v>
                </c:pt>
                <c:pt idx="102">
                  <c:v>714.67318391027641</c:v>
                </c:pt>
                <c:pt idx="103">
                  <c:v>730.76909810563927</c:v>
                </c:pt>
                <c:pt idx="104">
                  <c:v>746.85778946163146</c:v>
                </c:pt>
                <c:pt idx="105">
                  <c:v>642.24822981626392</c:v>
                </c:pt>
                <c:pt idx="106">
                  <c:v>658.1545820609773</c:v>
                </c:pt>
                <c:pt idx="107">
                  <c:v>674.05301957598442</c:v>
                </c:pt>
                <c:pt idx="108">
                  <c:v>689.94375519952473</c:v>
                </c:pt>
                <c:pt idx="109">
                  <c:v>705.82699117384254</c:v>
                </c:pt>
                <c:pt idx="110">
                  <c:v>721.70291990416251</c:v>
                </c:pt>
                <c:pt idx="111">
                  <c:v>737.57172464746327</c:v>
                </c:pt>
                <c:pt idx="112">
                  <c:v>753.4335801389451</c:v>
                </c:pt>
                <c:pt idx="113">
                  <c:v>769.28865316304507</c:v>
                </c:pt>
                <c:pt idx="114">
                  <c:v>785.13710307497422</c:v>
                </c:pt>
                <c:pt idx="115">
                  <c:v>689.00674227957461</c:v>
                </c:pt>
                <c:pt idx="116">
                  <c:v>705.00448666289128</c:v>
                </c:pt>
                <c:pt idx="117">
                  <c:v>720.99480855691252</c:v>
                </c:pt>
                <c:pt idx="118">
                  <c:v>736.97789563280696</c:v>
                </c:pt>
                <c:pt idx="119">
                  <c:v>752.95392676482072</c:v>
                </c:pt>
                <c:pt idx="120">
                  <c:v>768.92307262434781</c:v>
                </c:pt>
                <c:pt idx="121">
                  <c:v>784.88549622212815</c:v>
                </c:pt>
                <c:pt idx="122">
                  <c:v>800.84135340408704</c:v>
                </c:pt>
                <c:pt idx="123">
                  <c:v>816.79079330564412</c:v>
                </c:pt>
                <c:pt idx="124">
                  <c:v>832.73395876872667</c:v>
                </c:pt>
                <c:pt idx="125">
                  <c:v>743.95927146396605</c:v>
                </c:pt>
                <c:pt idx="126">
                  <c:v>760.08813246112607</c:v>
                </c:pt>
                <c:pt idx="127">
                  <c:v>776.21004829910419</c:v>
                </c:pt>
                <c:pt idx="128">
                  <c:v>792.32518341774664</c:v>
                </c:pt>
                <c:pt idx="129">
                  <c:v>808.43369502878579</c:v>
                </c:pt>
                <c:pt idx="130">
                  <c:v>824.53573357419418</c:v>
                </c:pt>
                <c:pt idx="131">
                  <c:v>840.63144314690555</c:v>
                </c:pt>
                <c:pt idx="132">
                  <c:v>856.72096187767556</c:v>
                </c:pt>
                <c:pt idx="133">
                  <c:v>872.80442229140101</c:v>
                </c:pt>
                <c:pt idx="134">
                  <c:v>888.88195163583805</c:v>
                </c:pt>
                <c:pt idx="135">
                  <c:v>795.57735582340092</c:v>
                </c:pt>
                <c:pt idx="136">
                  <c:v>811.86215087904327</c:v>
                </c:pt>
                <c:pt idx="137">
                  <c:v>828.14036117923899</c:v>
                </c:pt>
                <c:pt idx="138">
                  <c:v>844.41213425948001</c:v>
                </c:pt>
                <c:pt idx="139">
                  <c:v>860.67761151158822</c:v>
                </c:pt>
                <c:pt idx="140">
                  <c:v>876.93692855318386</c:v>
                </c:pt>
                <c:pt idx="141">
                  <c:v>893.19021556835969</c:v>
                </c:pt>
                <c:pt idx="142">
                  <c:v>909.4375976222982</c:v>
                </c:pt>
                <c:pt idx="143">
                  <c:v>925.67919495226249</c:v>
                </c:pt>
                <c:pt idx="144">
                  <c:v>941.91512323712925</c:v>
                </c:pt>
                <c:pt idx="145">
                  <c:v>846.94237515915131</c:v>
                </c:pt>
                <c:pt idx="146">
                  <c:v>863.5377330700602</c:v>
                </c:pt>
                <c:pt idx="147">
                  <c:v>880.12670177277323</c:v>
                </c:pt>
                <c:pt idx="148">
                  <c:v>896.70941852564249</c:v>
                </c:pt>
                <c:pt idx="149">
                  <c:v>913.28601510229339</c:v>
                </c:pt>
                <c:pt idx="150">
                  <c:v>929.85661810838155</c:v>
                </c:pt>
                <c:pt idx="151">
                  <c:v>946.42134927462405</c:v>
                </c:pt>
                <c:pt idx="152">
                  <c:v>962.98032572827799</c:v>
                </c:pt>
                <c:pt idx="153">
                  <c:v>979.53366024499553</c:v>
                </c:pt>
                <c:pt idx="154">
                  <c:v>996.08146148279309</c:v>
                </c:pt>
                <c:pt idx="155">
                  <c:v>903.20737009634547</c:v>
                </c:pt>
                <c:pt idx="156">
                  <c:v>920.01648570907571</c:v>
                </c:pt>
                <c:pt idx="157">
                  <c:v>936.81948806547246</c:v>
                </c:pt>
                <c:pt idx="158">
                  <c:v>953.61650212987649</c:v>
                </c:pt>
                <c:pt idx="159">
                  <c:v>970.40764811087411</c:v>
                </c:pt>
                <c:pt idx="160">
                  <c:v>987.19304172310842</c:v>
                </c:pt>
                <c:pt idx="161">
                  <c:v>1003.9727944303836</c:v>
                </c:pt>
                <c:pt idx="162">
                  <c:v>1020.7470136716917</c:v>
                </c:pt>
                <c:pt idx="163">
                  <c:v>1037.5158030716334</c:v>
                </c:pt>
                <c:pt idx="164">
                  <c:v>1054.2792626365431</c:v>
                </c:pt>
                <c:pt idx="165">
                  <c:v>952.8685907428362</c:v>
                </c:pt>
                <c:pt idx="166">
                  <c:v>969.8648057703416</c:v>
                </c:pt>
                <c:pt idx="167">
                  <c:v>986.85512344853396</c:v>
                </c:pt>
                <c:pt idx="168">
                  <c:v>1003.8396594838824</c:v>
                </c:pt>
                <c:pt idx="169">
                  <c:v>1020.8185253533417</c:v>
                </c:pt>
                <c:pt idx="170">
                  <c:v>1037.7918285281523</c:v>
                </c:pt>
                <c:pt idx="171">
                  <c:v>1054.7596726822603</c:v>
                </c:pt>
                <c:pt idx="172">
                  <c:v>1071.7221578866472</c:v>
                </c:pt>
                <c:pt idx="173">
                  <c:v>1088.6793807907352</c:v>
                </c:pt>
                <c:pt idx="174">
                  <c:v>1105.6314347919194</c:v>
                </c:pt>
                <c:pt idx="175">
                  <c:v>688.55557859545763</c:v>
                </c:pt>
                <c:pt idx="176">
                  <c:v>699.33914411477656</c:v>
                </c:pt>
                <c:pt idx="177">
                  <c:v>710.11930669200956</c:v>
                </c:pt>
                <c:pt idx="178">
                  <c:v>485.31846528308853</c:v>
                </c:pt>
                <c:pt idx="179">
                  <c:v>491.88585617064223</c:v>
                </c:pt>
                <c:pt idx="180">
                  <c:v>498.45138796745135</c:v>
                </c:pt>
                <c:pt idx="181">
                  <c:v>345.15969119466746</c:v>
                </c:pt>
                <c:pt idx="182">
                  <c:v>349.12795555540646</c:v>
                </c:pt>
                <c:pt idx="183">
                  <c:v>353.09523028025586</c:v>
                </c:pt>
                <c:pt idx="184">
                  <c:v>1.0873571598205634E-11</c:v>
                </c:pt>
                <c:pt idx="185">
                  <c:v>1.0873571598205634E-11</c:v>
                </c:pt>
                <c:pt idx="186">
                  <c:v>1.0873571598205634E-11</c:v>
                </c:pt>
                <c:pt idx="187">
                  <c:v>1.0873571598205634E-11</c:v>
                </c:pt>
                <c:pt idx="188">
                  <c:v>1.0873571598205634E-11</c:v>
                </c:pt>
                <c:pt idx="189">
                  <c:v>1.0873571598205634E-11</c:v>
                </c:pt>
                <c:pt idx="190">
                  <c:v>1.0873571598205634E-11</c:v>
                </c:pt>
                <c:pt idx="191">
                  <c:v>1.0873571598205634E-11</c:v>
                </c:pt>
                <c:pt idx="192">
                  <c:v>1.0873571598205634E-11</c:v>
                </c:pt>
                <c:pt idx="193">
                  <c:v>1.0873571598205634E-11</c:v>
                </c:pt>
                <c:pt idx="194">
                  <c:v>1.0873571598205634E-11</c:v>
                </c:pt>
                <c:pt idx="195">
                  <c:v>1.0873571598205634E-11</c:v>
                </c:pt>
                <c:pt idx="196">
                  <c:v>1.0873571598205634E-11</c:v>
                </c:pt>
                <c:pt idx="197">
                  <c:v>1.0873571598205634E-11</c:v>
                </c:pt>
                <c:pt idx="198">
                  <c:v>1.0873571598205634E-11</c:v>
                </c:pt>
                <c:pt idx="199">
                  <c:v>1.0873571598205634E-11</c:v>
                </c:pt>
                <c:pt idx="200">
                  <c:v>1.0873571598205634E-11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2.409303051165983</c:v>
                </c:pt>
                <c:pt idx="2">
                  <c:v>2.8436601818645486</c:v>
                </c:pt>
                <c:pt idx="3">
                  <c:v>3.3566139265765265</c:v>
                </c:pt>
                <c:pt idx="4">
                  <c:v>3.9624357501167595</c:v>
                </c:pt>
                <c:pt idx="5">
                  <c:v>4.6779969369387784</c:v>
                </c:pt>
                <c:pt idx="6">
                  <c:v>5.5232436285190607</c:v>
                </c:pt>
                <c:pt idx="7">
                  <c:v>6.5217589013630581</c:v>
                </c:pt>
                <c:pt idx="8">
                  <c:v>7.7014278748428291</c:v>
                </c:pt>
                <c:pt idx="9">
                  <c:v>9.0952247821378549</c:v>
                </c:pt>
                <c:pt idx="10">
                  <c:v>10.742144424849657</c:v>
                </c:pt>
                <c:pt idx="11">
                  <c:v>19.70356554904798</c:v>
                </c:pt>
                <c:pt idx="12">
                  <c:v>28.543219868970862</c:v>
                </c:pt>
                <c:pt idx="13">
                  <c:v>37.305405608497736</c:v>
                </c:pt>
                <c:pt idx="14">
                  <c:v>46.011160173307559</c:v>
                </c:pt>
                <c:pt idx="15">
                  <c:v>54.672757271008116</c:v>
                </c:pt>
                <c:pt idx="16">
                  <c:v>39.438121478991668</c:v>
                </c:pt>
                <c:pt idx="17">
                  <c:v>49.929836031987264</c:v>
                </c:pt>
                <c:pt idx="18">
                  <c:v>60.362843283856336</c:v>
                </c:pt>
                <c:pt idx="19">
                  <c:v>70.748784312318719</c:v>
                </c:pt>
                <c:pt idx="20">
                  <c:v>81.095570958535333</c:v>
                </c:pt>
                <c:pt idx="21">
                  <c:v>65.465563249593671</c:v>
                </c:pt>
                <c:pt idx="22">
                  <c:v>76.529633907715137</c:v>
                </c:pt>
                <c:pt idx="23">
                  <c:v>87.552939255615215</c:v>
                </c:pt>
                <c:pt idx="24">
                  <c:v>98.541349179760786</c:v>
                </c:pt>
                <c:pt idx="25">
                  <c:v>109.49931139878446</c:v>
                </c:pt>
                <c:pt idx="26">
                  <c:v>93.682655149969733</c:v>
                </c:pt>
                <c:pt idx="27">
                  <c:v>104.33876798345121</c:v>
                </c:pt>
                <c:pt idx="28">
                  <c:v>114.96799187581469</c:v>
                </c:pt>
                <c:pt idx="29">
                  <c:v>125.57316701172248</c:v>
                </c:pt>
                <c:pt idx="30">
                  <c:v>136.15661340490573</c:v>
                </c:pt>
                <c:pt idx="31">
                  <c:v>119.42620588278174</c:v>
                </c:pt>
                <c:pt idx="32">
                  <c:v>129.01976843324573</c:v>
                </c:pt>
                <c:pt idx="33">
                  <c:v>138.59607180203858</c:v>
                </c:pt>
                <c:pt idx="34">
                  <c:v>148.15647819367709</c:v>
                </c:pt>
                <c:pt idx="35">
                  <c:v>157.70215932233199</c:v>
                </c:pt>
                <c:pt idx="36">
                  <c:v>139.90919756924484</c:v>
                </c:pt>
                <c:pt idx="37">
                  <c:v>148.34378639304376</c:v>
                </c:pt>
                <c:pt idx="38">
                  <c:v>156.76692970768354</c:v>
                </c:pt>
                <c:pt idx="39">
                  <c:v>165.17933007115022</c:v>
                </c:pt>
                <c:pt idx="40">
                  <c:v>173.58161251550527</c:v>
                </c:pt>
                <c:pt idx="41">
                  <c:v>154.70895669231155</c:v>
                </c:pt>
                <c:pt idx="42">
                  <c:v>162.00253351367709</c:v>
                </c:pt>
                <c:pt idx="43">
                  <c:v>169.28834061019418</c:v>
                </c:pt>
                <c:pt idx="44">
                  <c:v>176.56676007967363</c:v>
                </c:pt>
                <c:pt idx="45">
                  <c:v>183.83813989110243</c:v>
                </c:pt>
                <c:pt idx="46">
                  <c:v>172.71071801450162</c:v>
                </c:pt>
                <c:pt idx="47">
                  <c:v>178.99131924714092</c:v>
                </c:pt>
                <c:pt idx="48">
                  <c:v>185.26675635337617</c:v>
                </c:pt>
                <c:pt idx="49">
                  <c:v>191.53722924738233</c:v>
                </c:pt>
                <c:pt idx="50">
                  <c:v>197.80292366123533</c:v>
                </c:pt>
                <c:pt idx="51">
                  <c:v>189.48899521962912</c:v>
                </c:pt>
                <c:pt idx="52">
                  <c:v>194.82575250099248</c:v>
                </c:pt>
                <c:pt idx="53">
                  <c:v>200.1591123612944</c:v>
                </c:pt>
                <c:pt idx="54">
                  <c:v>205.48917827948665</c:v>
                </c:pt>
                <c:pt idx="55">
                  <c:v>210.81604791763161</c:v>
                </c:pt>
                <c:pt idx="56">
                  <c:v>203.63022084632897</c:v>
                </c:pt>
                <c:pt idx="57">
                  <c:v>208.21494683079473</c:v>
                </c:pt>
                <c:pt idx="58">
                  <c:v>212.79734181466415</c:v>
                </c:pt>
                <c:pt idx="59">
                  <c:v>217.37746318358828</c:v>
                </c:pt>
                <c:pt idx="60">
                  <c:v>221.95536570261629</c:v>
                </c:pt>
                <c:pt idx="61">
                  <c:v>215.33525394424836</c:v>
                </c:pt>
                <c:pt idx="62">
                  <c:v>219.23363403189077</c:v>
                </c:pt>
                <c:pt idx="63">
                  <c:v>223.13042151850436</c:v>
                </c:pt>
                <c:pt idx="64">
                  <c:v>227.02564820521181</c:v>
                </c:pt>
                <c:pt idx="65">
                  <c:v>230.919344710427</c:v>
                </c:pt>
                <c:pt idx="66">
                  <c:v>224.36716903572008</c:v>
                </c:pt>
                <c:pt idx="67">
                  <c:v>227.70560939213343</c:v>
                </c:pt>
                <c:pt idx="68">
                  <c:v>231.04292939371976</c:v>
                </c:pt>
                <c:pt idx="69">
                  <c:v>234.37914754556755</c:v>
                </c:pt>
                <c:pt idx="70">
                  <c:v>237.71428178175907</c:v>
                </c:pt>
                <c:pt idx="71">
                  <c:v>231.41367437896517</c:v>
                </c:pt>
                <c:pt idx="72">
                  <c:v>234.37914754556755</c:v>
                </c:pt>
                <c:pt idx="73">
                  <c:v>237.34376429251984</c:v>
                </c:pt>
                <c:pt idx="74">
                  <c:v>240.30753685281002</c:v>
                </c:pt>
                <c:pt idx="75">
                  <c:v>243.27047713235149</c:v>
                </c:pt>
                <c:pt idx="76">
                  <c:v>237.28201009592235</c:v>
                </c:pt>
                <c:pt idx="77">
                  <c:v>239.93711103921888</c:v>
                </c:pt>
                <c:pt idx="78">
                  <c:v>242.59154288659934</c:v>
                </c:pt>
                <c:pt idx="79">
                  <c:v>245.24531401064579</c:v>
                </c:pt>
                <c:pt idx="80">
                  <c:v>247.89843258752447</c:v>
                </c:pt>
                <c:pt idx="81">
                  <c:v>3.9150475186400593E-2</c:v>
                </c:pt>
                <c:pt idx="82">
                  <c:v>3.9150475186400593E-2</c:v>
                </c:pt>
                <c:pt idx="83">
                  <c:v>3.9150475186400593E-2</c:v>
                </c:pt>
                <c:pt idx="84">
                  <c:v>3.9150475186400593E-2</c:v>
                </c:pt>
                <c:pt idx="85">
                  <c:v>3.9150475186400593E-2</c:v>
                </c:pt>
                <c:pt idx="86">
                  <c:v>3.9150475186400593E-2</c:v>
                </c:pt>
                <c:pt idx="87">
                  <c:v>3.9150475186400593E-2</c:v>
                </c:pt>
                <c:pt idx="88">
                  <c:v>3.9150475186400593E-2</c:v>
                </c:pt>
                <c:pt idx="89">
                  <c:v>3.9150475186400593E-2</c:v>
                </c:pt>
                <c:pt idx="90">
                  <c:v>3.9150475186400593E-2</c:v>
                </c:pt>
                <c:pt idx="91">
                  <c:v>3.9150475186400593E-2</c:v>
                </c:pt>
                <c:pt idx="92">
                  <c:v>3.9150475186400593E-2</c:v>
                </c:pt>
                <c:pt idx="93">
                  <c:v>3.9150475186400593E-2</c:v>
                </c:pt>
                <c:pt idx="94">
                  <c:v>3.9150475186400593E-2</c:v>
                </c:pt>
                <c:pt idx="95">
                  <c:v>3.9150475186400593E-2</c:v>
                </c:pt>
                <c:pt idx="96">
                  <c:v>3.9150475186400593E-2</c:v>
                </c:pt>
                <c:pt idx="97">
                  <c:v>3.9150475186400593E-2</c:v>
                </c:pt>
                <c:pt idx="98">
                  <c:v>3.9150475186400593E-2</c:v>
                </c:pt>
                <c:pt idx="99">
                  <c:v>3.9150475186400593E-2</c:v>
                </c:pt>
                <c:pt idx="100">
                  <c:v>3.9150475186400593E-2</c:v>
                </c:pt>
                <c:pt idx="101">
                  <c:v>3.9150475186400593E-2</c:v>
                </c:pt>
                <c:pt idx="102">
                  <c:v>3.9150475186400593E-2</c:v>
                </c:pt>
                <c:pt idx="103">
                  <c:v>3.9150475186400593E-2</c:v>
                </c:pt>
                <c:pt idx="104">
                  <c:v>3.9150475186400593E-2</c:v>
                </c:pt>
                <c:pt idx="105">
                  <c:v>3.9150475186400593E-2</c:v>
                </c:pt>
                <c:pt idx="106">
                  <c:v>3.9150475186400593E-2</c:v>
                </c:pt>
                <c:pt idx="107">
                  <c:v>3.9150475186400593E-2</c:v>
                </c:pt>
                <c:pt idx="108">
                  <c:v>3.9150475186400593E-2</c:v>
                </c:pt>
                <c:pt idx="109">
                  <c:v>3.9150475186400593E-2</c:v>
                </c:pt>
                <c:pt idx="110">
                  <c:v>3.9150475186400593E-2</c:v>
                </c:pt>
                <c:pt idx="111">
                  <c:v>3.9150475186400593E-2</c:v>
                </c:pt>
                <c:pt idx="112">
                  <c:v>3.9150475186400593E-2</c:v>
                </c:pt>
                <c:pt idx="113">
                  <c:v>3.9150475186400593E-2</c:v>
                </c:pt>
                <c:pt idx="114">
                  <c:v>3.9150475186400593E-2</c:v>
                </c:pt>
                <c:pt idx="115">
                  <c:v>3.9150475186400593E-2</c:v>
                </c:pt>
                <c:pt idx="116">
                  <c:v>3.9150475186400593E-2</c:v>
                </c:pt>
                <c:pt idx="117">
                  <c:v>3.9150475186400593E-2</c:v>
                </c:pt>
                <c:pt idx="118">
                  <c:v>3.9150475186400593E-2</c:v>
                </c:pt>
                <c:pt idx="119">
                  <c:v>3.9150475186400593E-2</c:v>
                </c:pt>
                <c:pt idx="120">
                  <c:v>3.9150475186400593E-2</c:v>
                </c:pt>
                <c:pt idx="121">
                  <c:v>3.9150475186400593E-2</c:v>
                </c:pt>
                <c:pt idx="122">
                  <c:v>3.9150475186400593E-2</c:v>
                </c:pt>
                <c:pt idx="123">
                  <c:v>3.9150475186400593E-2</c:v>
                </c:pt>
                <c:pt idx="124">
                  <c:v>3.9150475186400593E-2</c:v>
                </c:pt>
                <c:pt idx="125">
                  <c:v>3.9150475186400593E-2</c:v>
                </c:pt>
                <c:pt idx="126">
                  <c:v>3.9150475186400593E-2</c:v>
                </c:pt>
                <c:pt idx="127">
                  <c:v>3.9150475186400593E-2</c:v>
                </c:pt>
                <c:pt idx="128">
                  <c:v>3.9150475186400593E-2</c:v>
                </c:pt>
                <c:pt idx="129">
                  <c:v>3.9150475186400593E-2</c:v>
                </c:pt>
                <c:pt idx="130">
                  <c:v>3.9150475186400593E-2</c:v>
                </c:pt>
                <c:pt idx="131">
                  <c:v>3.9150475186400593E-2</c:v>
                </c:pt>
                <c:pt idx="132">
                  <c:v>3.9150475186400593E-2</c:v>
                </c:pt>
                <c:pt idx="133">
                  <c:v>3.9150475186400593E-2</c:v>
                </c:pt>
                <c:pt idx="134">
                  <c:v>3.9150475186400593E-2</c:v>
                </c:pt>
                <c:pt idx="135">
                  <c:v>3.9150475186400593E-2</c:v>
                </c:pt>
                <c:pt idx="136">
                  <c:v>3.9150475186400593E-2</c:v>
                </c:pt>
                <c:pt idx="137">
                  <c:v>3.9150475186400593E-2</c:v>
                </c:pt>
                <c:pt idx="138">
                  <c:v>3.9150475186400593E-2</c:v>
                </c:pt>
                <c:pt idx="139">
                  <c:v>3.9150475186400593E-2</c:v>
                </c:pt>
                <c:pt idx="140">
                  <c:v>3.9150475186400593E-2</c:v>
                </c:pt>
                <c:pt idx="141">
                  <c:v>3.9150475186400593E-2</c:v>
                </c:pt>
                <c:pt idx="142">
                  <c:v>3.9150475186400593E-2</c:v>
                </c:pt>
                <c:pt idx="143">
                  <c:v>3.9150475186400593E-2</c:v>
                </c:pt>
                <c:pt idx="144">
                  <c:v>3.9150475186400593E-2</c:v>
                </c:pt>
                <c:pt idx="145">
                  <c:v>3.9150475186400593E-2</c:v>
                </c:pt>
                <c:pt idx="146">
                  <c:v>3.9150475186400593E-2</c:v>
                </c:pt>
                <c:pt idx="147">
                  <c:v>3.9150475186400593E-2</c:v>
                </c:pt>
                <c:pt idx="148">
                  <c:v>3.9150475186400593E-2</c:v>
                </c:pt>
                <c:pt idx="149">
                  <c:v>3.9150475186400593E-2</c:v>
                </c:pt>
                <c:pt idx="150">
                  <c:v>3.9150475186400593E-2</c:v>
                </c:pt>
                <c:pt idx="151">
                  <c:v>3.9150475186400593E-2</c:v>
                </c:pt>
                <c:pt idx="152">
                  <c:v>3.9150475186400593E-2</c:v>
                </c:pt>
                <c:pt idx="153">
                  <c:v>3.9150475186400593E-2</c:v>
                </c:pt>
                <c:pt idx="154">
                  <c:v>3.9150475186400593E-2</c:v>
                </c:pt>
                <c:pt idx="155">
                  <c:v>3.9150475186400593E-2</c:v>
                </c:pt>
                <c:pt idx="156">
                  <c:v>3.9150475186400593E-2</c:v>
                </c:pt>
                <c:pt idx="157">
                  <c:v>3.9150475186400593E-2</c:v>
                </c:pt>
                <c:pt idx="158">
                  <c:v>3.9150475186400593E-2</c:v>
                </c:pt>
                <c:pt idx="159">
                  <c:v>3.9150475186400593E-2</c:v>
                </c:pt>
                <c:pt idx="160">
                  <c:v>3.9150475186400593E-2</c:v>
                </c:pt>
                <c:pt idx="161">
                  <c:v>3.9150475186400593E-2</c:v>
                </c:pt>
                <c:pt idx="162">
                  <c:v>3.9150475186400593E-2</c:v>
                </c:pt>
                <c:pt idx="163">
                  <c:v>3.9150475186400593E-2</c:v>
                </c:pt>
                <c:pt idx="164">
                  <c:v>3.9150475186400593E-2</c:v>
                </c:pt>
                <c:pt idx="165">
                  <c:v>3.9150475186400593E-2</c:v>
                </c:pt>
                <c:pt idx="166">
                  <c:v>3.9150475186400593E-2</c:v>
                </c:pt>
                <c:pt idx="167">
                  <c:v>3.9150475186400593E-2</c:v>
                </c:pt>
                <c:pt idx="168">
                  <c:v>3.9150475186400593E-2</c:v>
                </c:pt>
                <c:pt idx="169">
                  <c:v>3.9150475186400593E-2</c:v>
                </c:pt>
                <c:pt idx="170">
                  <c:v>3.9150475186400593E-2</c:v>
                </c:pt>
                <c:pt idx="171">
                  <c:v>3.9150475186400593E-2</c:v>
                </c:pt>
                <c:pt idx="172">
                  <c:v>3.9150475186400593E-2</c:v>
                </c:pt>
                <c:pt idx="173">
                  <c:v>3.9150475186400593E-2</c:v>
                </c:pt>
                <c:pt idx="174">
                  <c:v>3.9150475186400593E-2</c:v>
                </c:pt>
                <c:pt idx="175">
                  <c:v>3.9150475186400593E-2</c:v>
                </c:pt>
                <c:pt idx="176">
                  <c:v>3.9150475186400593E-2</c:v>
                </c:pt>
                <c:pt idx="177">
                  <c:v>3.9150475186400593E-2</c:v>
                </c:pt>
                <c:pt idx="178">
                  <c:v>3.9150475186400593E-2</c:v>
                </c:pt>
                <c:pt idx="179">
                  <c:v>3.9150475186400593E-2</c:v>
                </c:pt>
                <c:pt idx="180">
                  <c:v>3.9150475186400593E-2</c:v>
                </c:pt>
                <c:pt idx="181">
                  <c:v>3.9150475186400593E-2</c:v>
                </c:pt>
                <c:pt idx="182">
                  <c:v>3.9150475186400593E-2</c:v>
                </c:pt>
                <c:pt idx="183">
                  <c:v>3.9150475186400593E-2</c:v>
                </c:pt>
                <c:pt idx="184">
                  <c:v>3.9150475186400593E-2</c:v>
                </c:pt>
                <c:pt idx="185">
                  <c:v>3.9150475186400593E-2</c:v>
                </c:pt>
                <c:pt idx="186">
                  <c:v>3.9150475186400593E-2</c:v>
                </c:pt>
                <c:pt idx="187">
                  <c:v>3.9150475186400593E-2</c:v>
                </c:pt>
                <c:pt idx="188">
                  <c:v>3.9150475186400593E-2</c:v>
                </c:pt>
                <c:pt idx="189">
                  <c:v>3.9150475186400593E-2</c:v>
                </c:pt>
                <c:pt idx="190">
                  <c:v>3.9150475186400593E-2</c:v>
                </c:pt>
                <c:pt idx="191">
                  <c:v>3.9150475186400593E-2</c:v>
                </c:pt>
                <c:pt idx="192">
                  <c:v>3.9150475186400593E-2</c:v>
                </c:pt>
                <c:pt idx="193">
                  <c:v>3.9150475186400593E-2</c:v>
                </c:pt>
                <c:pt idx="194">
                  <c:v>3.9150475186400593E-2</c:v>
                </c:pt>
                <c:pt idx="195">
                  <c:v>3.9150475186400593E-2</c:v>
                </c:pt>
                <c:pt idx="196">
                  <c:v>3.9150475186400593E-2</c:v>
                </c:pt>
                <c:pt idx="197">
                  <c:v>3.9150475186400593E-2</c:v>
                </c:pt>
                <c:pt idx="198">
                  <c:v>3.9150475186400593E-2</c:v>
                </c:pt>
                <c:pt idx="199">
                  <c:v>3.9150475186400593E-2</c:v>
                </c:pt>
                <c:pt idx="200">
                  <c:v>3.9150475186400593E-2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2.9802985076026349</c:v>
                </c:pt>
                <c:pt idx="2">
                  <c:v>4.709798594441124</c:v>
                </c:pt>
                <c:pt idx="3">
                  <c:v>7.447712474780225</c:v>
                </c:pt>
                <c:pt idx="4">
                  <c:v>11.784609823900155</c:v>
                </c:pt>
                <c:pt idx="5">
                  <c:v>18.658331575743503</c:v>
                </c:pt>
                <c:pt idx="6">
                  <c:v>29.558955733108835</c:v>
                </c:pt>
                <c:pt idx="7">
                  <c:v>46.855146862092077</c:v>
                </c:pt>
                <c:pt idx="8">
                  <c:v>74.31399365006915</c:v>
                </c:pt>
                <c:pt idx="9">
                  <c:v>117.92938744592196</c:v>
                </c:pt>
                <c:pt idx="10">
                  <c:v>187.24258760716552</c:v>
                </c:pt>
                <c:pt idx="11">
                  <c:v>86.433815414014191</c:v>
                </c:pt>
                <c:pt idx="12">
                  <c:v>99.349540078518643</c:v>
                </c:pt>
                <c:pt idx="13">
                  <c:v>112.22355692777835</c:v>
                </c:pt>
                <c:pt idx="14">
                  <c:v>125.0613334299279</c:v>
                </c:pt>
                <c:pt idx="15">
                  <c:v>137.86711899238378</c:v>
                </c:pt>
                <c:pt idx="16">
                  <c:v>150.64430700221428</c:v>
                </c:pt>
                <c:pt idx="17">
                  <c:v>110.61638527930711</c:v>
                </c:pt>
                <c:pt idx="18">
                  <c:v>123.45843862619604</c:v>
                </c:pt>
                <c:pt idx="19">
                  <c:v>136.26802255378678</c:v>
                </c:pt>
                <c:pt idx="20">
                  <c:v>149.0486227432686</c:v>
                </c:pt>
                <c:pt idx="21">
                  <c:v>161.80307694345504</c:v>
                </c:pt>
                <c:pt idx="22">
                  <c:v>174.53373816678013</c:v>
                </c:pt>
                <c:pt idx="23">
                  <c:v>187.24258760716552</c:v>
                </c:pt>
                <c:pt idx="24">
                  <c:v>199.93131520555619</c:v>
                </c:pt>
                <c:pt idx="25">
                  <c:v>212.60137864165844</c:v>
                </c:pt>
                <c:pt idx="26">
                  <c:v>158.69645463974521</c:v>
                </c:pt>
                <c:pt idx="27">
                  <c:v>169.92149076447427</c:v>
                </c:pt>
                <c:pt idx="28">
                  <c:v>181.12906362684407</c:v>
                </c:pt>
                <c:pt idx="29">
                  <c:v>192.32040696704988</c:v>
                </c:pt>
                <c:pt idx="30">
                  <c:v>203.49659903862869</c:v>
                </c:pt>
                <c:pt idx="31">
                  <c:v>214.65858985505474</c:v>
                </c:pt>
                <c:pt idx="32">
                  <c:v>225.8072224628182</c:v>
                </c:pt>
                <c:pt idx="33">
                  <c:v>236.94324978706928</c:v>
                </c:pt>
                <c:pt idx="34">
                  <c:v>248.06734814040897</c:v>
                </c:pt>
                <c:pt idx="35">
                  <c:v>259.18012817891514</c:v>
                </c:pt>
                <c:pt idx="36">
                  <c:v>270.28214387884663</c:v>
                </c:pt>
                <c:pt idx="37">
                  <c:v>281.37389995991185</c:v>
                </c:pt>
                <c:pt idx="38">
                  <c:v>292.45585807583274</c:v>
                </c:pt>
                <c:pt idx="39">
                  <c:v>303.52844201682876</c:v>
                </c:pt>
                <c:pt idx="40">
                  <c:v>314.59204211276341</c:v>
                </c:pt>
                <c:pt idx="41">
                  <c:v>325.64701898414194</c:v>
                </c:pt>
                <c:pt idx="42">
                  <c:v>336.69370675686599</c:v>
                </c:pt>
                <c:pt idx="43">
                  <c:v>347.73241583284789</c:v>
                </c:pt>
                <c:pt idx="44">
                  <c:v>358.76343529028844</c:v>
                </c:pt>
                <c:pt idx="45">
                  <c:v>369.78703497321823</c:v>
                </c:pt>
                <c:pt idx="46">
                  <c:v>3.405245110226996E-12</c:v>
                </c:pt>
                <c:pt idx="47">
                  <c:v>3.405245110226996E-12</c:v>
                </c:pt>
                <c:pt idx="48">
                  <c:v>3.405245110226996E-12</c:v>
                </c:pt>
                <c:pt idx="49">
                  <c:v>3.405245110226996E-12</c:v>
                </c:pt>
                <c:pt idx="50">
                  <c:v>3.405245110226996E-12</c:v>
                </c:pt>
                <c:pt idx="51">
                  <c:v>3.405245110226996E-12</c:v>
                </c:pt>
                <c:pt idx="52">
                  <c:v>3.405245110226996E-12</c:v>
                </c:pt>
                <c:pt idx="53">
                  <c:v>3.405245110226996E-12</c:v>
                </c:pt>
                <c:pt idx="54">
                  <c:v>3.405245110226996E-12</c:v>
                </c:pt>
                <c:pt idx="55">
                  <c:v>3.405245110226996E-12</c:v>
                </c:pt>
                <c:pt idx="56">
                  <c:v>3.405245110226996E-12</c:v>
                </c:pt>
                <c:pt idx="57">
                  <c:v>3.405245110226996E-12</c:v>
                </c:pt>
                <c:pt idx="58">
                  <c:v>3.405245110226996E-12</c:v>
                </c:pt>
                <c:pt idx="59">
                  <c:v>3.405245110226996E-12</c:v>
                </c:pt>
                <c:pt idx="60">
                  <c:v>3.405245110226996E-12</c:v>
                </c:pt>
                <c:pt idx="61">
                  <c:v>3.405245110226996E-12</c:v>
                </c:pt>
                <c:pt idx="62">
                  <c:v>3.405245110226996E-12</c:v>
                </c:pt>
                <c:pt idx="63">
                  <c:v>3.405245110226996E-12</c:v>
                </c:pt>
                <c:pt idx="64">
                  <c:v>3.405245110226996E-12</c:v>
                </c:pt>
                <c:pt idx="65">
                  <c:v>3.405245110226996E-12</c:v>
                </c:pt>
                <c:pt idx="66">
                  <c:v>3.405245110226996E-12</c:v>
                </c:pt>
                <c:pt idx="67">
                  <c:v>3.405245110226996E-12</c:v>
                </c:pt>
                <c:pt idx="68">
                  <c:v>3.405245110226996E-12</c:v>
                </c:pt>
                <c:pt idx="69">
                  <c:v>3.405245110226996E-12</c:v>
                </c:pt>
                <c:pt idx="70">
                  <c:v>3.405245110226996E-12</c:v>
                </c:pt>
                <c:pt idx="71">
                  <c:v>3.405245110226996E-12</c:v>
                </c:pt>
                <c:pt idx="72">
                  <c:v>3.405245110226996E-12</c:v>
                </c:pt>
                <c:pt idx="73">
                  <c:v>3.405245110226996E-12</c:v>
                </c:pt>
                <c:pt idx="74">
                  <c:v>3.405245110226996E-12</c:v>
                </c:pt>
                <c:pt idx="75">
                  <c:v>3.405245110226996E-12</c:v>
                </c:pt>
                <c:pt idx="76">
                  <c:v>3.405245110226996E-12</c:v>
                </c:pt>
                <c:pt idx="77">
                  <c:v>3.405245110226996E-12</c:v>
                </c:pt>
                <c:pt idx="78">
                  <c:v>3.405245110226996E-12</c:v>
                </c:pt>
                <c:pt idx="79">
                  <c:v>3.405245110226996E-12</c:v>
                </c:pt>
                <c:pt idx="80">
                  <c:v>3.405245110226996E-12</c:v>
                </c:pt>
                <c:pt idx="81">
                  <c:v>3.405245110226996E-12</c:v>
                </c:pt>
                <c:pt idx="82">
                  <c:v>3.405245110226996E-12</c:v>
                </c:pt>
                <c:pt idx="83">
                  <c:v>3.405245110226996E-12</c:v>
                </c:pt>
                <c:pt idx="84">
                  <c:v>3.405245110226996E-12</c:v>
                </c:pt>
                <c:pt idx="85">
                  <c:v>3.405245110226996E-12</c:v>
                </c:pt>
                <c:pt idx="86">
                  <c:v>3.405245110226996E-12</c:v>
                </c:pt>
                <c:pt idx="87">
                  <c:v>3.405245110226996E-12</c:v>
                </c:pt>
                <c:pt idx="88">
                  <c:v>3.405245110226996E-12</c:v>
                </c:pt>
                <c:pt idx="89">
                  <c:v>3.405245110226996E-12</c:v>
                </c:pt>
                <c:pt idx="90">
                  <c:v>3.405245110226996E-12</c:v>
                </c:pt>
                <c:pt idx="91">
                  <c:v>3.405245110226996E-12</c:v>
                </c:pt>
                <c:pt idx="92">
                  <c:v>3.405245110226996E-12</c:v>
                </c:pt>
                <c:pt idx="93">
                  <c:v>3.405245110226996E-12</c:v>
                </c:pt>
                <c:pt idx="94">
                  <c:v>3.405245110226996E-12</c:v>
                </c:pt>
                <c:pt idx="95">
                  <c:v>3.405245110226996E-12</c:v>
                </c:pt>
                <c:pt idx="96">
                  <c:v>3.405245110226996E-12</c:v>
                </c:pt>
                <c:pt idx="97">
                  <c:v>3.405245110226996E-12</c:v>
                </c:pt>
                <c:pt idx="98">
                  <c:v>3.405245110226996E-12</c:v>
                </c:pt>
                <c:pt idx="99">
                  <c:v>3.405245110226996E-12</c:v>
                </c:pt>
                <c:pt idx="100">
                  <c:v>3.405245110226996E-12</c:v>
                </c:pt>
                <c:pt idx="101">
                  <c:v>3.405245110226996E-12</c:v>
                </c:pt>
                <c:pt idx="102">
                  <c:v>3.405245110226996E-12</c:v>
                </c:pt>
                <c:pt idx="103">
                  <c:v>3.405245110226996E-12</c:v>
                </c:pt>
                <c:pt idx="104">
                  <c:v>3.405245110226996E-12</c:v>
                </c:pt>
                <c:pt idx="105">
                  <c:v>3.405245110226996E-12</c:v>
                </c:pt>
                <c:pt idx="106">
                  <c:v>3.405245110226996E-12</c:v>
                </c:pt>
                <c:pt idx="107">
                  <c:v>3.405245110226996E-12</c:v>
                </c:pt>
                <c:pt idx="108">
                  <c:v>3.405245110226996E-12</c:v>
                </c:pt>
                <c:pt idx="109">
                  <c:v>3.405245110226996E-12</c:v>
                </c:pt>
                <c:pt idx="110">
                  <c:v>3.405245110226996E-12</c:v>
                </c:pt>
                <c:pt idx="111">
                  <c:v>3.405245110226996E-12</c:v>
                </c:pt>
                <c:pt idx="112">
                  <c:v>3.405245110226996E-12</c:v>
                </c:pt>
                <c:pt idx="113">
                  <c:v>3.405245110226996E-12</c:v>
                </c:pt>
                <c:pt idx="114">
                  <c:v>3.405245110226996E-12</c:v>
                </c:pt>
                <c:pt idx="115">
                  <c:v>3.405245110226996E-12</c:v>
                </c:pt>
                <c:pt idx="116">
                  <c:v>3.405245110226996E-12</c:v>
                </c:pt>
                <c:pt idx="117">
                  <c:v>3.405245110226996E-12</c:v>
                </c:pt>
                <c:pt idx="118">
                  <c:v>3.405245110226996E-12</c:v>
                </c:pt>
                <c:pt idx="119">
                  <c:v>3.405245110226996E-12</c:v>
                </c:pt>
                <c:pt idx="120">
                  <c:v>3.405245110226996E-12</c:v>
                </c:pt>
                <c:pt idx="121">
                  <c:v>3.405245110226996E-12</c:v>
                </c:pt>
                <c:pt idx="122">
                  <c:v>3.405245110226996E-12</c:v>
                </c:pt>
                <c:pt idx="123">
                  <c:v>3.405245110226996E-12</c:v>
                </c:pt>
                <c:pt idx="124">
                  <c:v>3.405245110226996E-12</c:v>
                </c:pt>
                <c:pt idx="125">
                  <c:v>3.405245110226996E-12</c:v>
                </c:pt>
                <c:pt idx="126">
                  <c:v>3.405245110226996E-12</c:v>
                </c:pt>
                <c:pt idx="127">
                  <c:v>3.405245110226996E-12</c:v>
                </c:pt>
                <c:pt idx="128">
                  <c:v>3.405245110226996E-12</c:v>
                </c:pt>
                <c:pt idx="129">
                  <c:v>3.405245110226996E-12</c:v>
                </c:pt>
                <c:pt idx="130">
                  <c:v>3.405245110226996E-12</c:v>
                </c:pt>
                <c:pt idx="131">
                  <c:v>3.405245110226996E-12</c:v>
                </c:pt>
                <c:pt idx="132">
                  <c:v>3.405245110226996E-12</c:v>
                </c:pt>
                <c:pt idx="133">
                  <c:v>3.405245110226996E-12</c:v>
                </c:pt>
                <c:pt idx="134">
                  <c:v>3.405245110226996E-12</c:v>
                </c:pt>
                <c:pt idx="135">
                  <c:v>3.405245110226996E-12</c:v>
                </c:pt>
                <c:pt idx="136">
                  <c:v>3.405245110226996E-12</c:v>
                </c:pt>
                <c:pt idx="137">
                  <c:v>3.405245110226996E-12</c:v>
                </c:pt>
                <c:pt idx="138">
                  <c:v>3.405245110226996E-12</c:v>
                </c:pt>
                <c:pt idx="139">
                  <c:v>3.405245110226996E-12</c:v>
                </c:pt>
                <c:pt idx="140">
                  <c:v>3.405245110226996E-12</c:v>
                </c:pt>
                <c:pt idx="141">
                  <c:v>3.405245110226996E-12</c:v>
                </c:pt>
                <c:pt idx="142">
                  <c:v>3.405245110226996E-12</c:v>
                </c:pt>
                <c:pt idx="143">
                  <c:v>3.405245110226996E-12</c:v>
                </c:pt>
                <c:pt idx="144">
                  <c:v>3.405245110226996E-12</c:v>
                </c:pt>
                <c:pt idx="145">
                  <c:v>3.405245110226996E-12</c:v>
                </c:pt>
                <c:pt idx="146">
                  <c:v>3.405245110226996E-12</c:v>
                </c:pt>
                <c:pt idx="147">
                  <c:v>3.405245110226996E-12</c:v>
                </c:pt>
                <c:pt idx="148">
                  <c:v>3.405245110226996E-12</c:v>
                </c:pt>
                <c:pt idx="149">
                  <c:v>3.405245110226996E-12</c:v>
                </c:pt>
                <c:pt idx="150">
                  <c:v>3.405245110226996E-12</c:v>
                </c:pt>
                <c:pt idx="151">
                  <c:v>3.405245110226996E-12</c:v>
                </c:pt>
                <c:pt idx="152">
                  <c:v>3.405245110226996E-12</c:v>
                </c:pt>
                <c:pt idx="153">
                  <c:v>3.405245110226996E-12</c:v>
                </c:pt>
                <c:pt idx="154">
                  <c:v>3.405245110226996E-12</c:v>
                </c:pt>
                <c:pt idx="155">
                  <c:v>3.405245110226996E-12</c:v>
                </c:pt>
                <c:pt idx="156">
                  <c:v>3.405245110226996E-12</c:v>
                </c:pt>
                <c:pt idx="157">
                  <c:v>3.405245110226996E-12</c:v>
                </c:pt>
                <c:pt idx="158">
                  <c:v>3.405245110226996E-12</c:v>
                </c:pt>
                <c:pt idx="159">
                  <c:v>3.405245110226996E-12</c:v>
                </c:pt>
                <c:pt idx="160">
                  <c:v>3.405245110226996E-12</c:v>
                </c:pt>
                <c:pt idx="161">
                  <c:v>3.405245110226996E-12</c:v>
                </c:pt>
                <c:pt idx="162">
                  <c:v>3.405245110226996E-12</c:v>
                </c:pt>
                <c:pt idx="163">
                  <c:v>3.405245110226996E-12</c:v>
                </c:pt>
                <c:pt idx="164">
                  <c:v>3.405245110226996E-12</c:v>
                </c:pt>
                <c:pt idx="165">
                  <c:v>3.405245110226996E-12</c:v>
                </c:pt>
                <c:pt idx="166">
                  <c:v>3.405245110226996E-12</c:v>
                </c:pt>
                <c:pt idx="167">
                  <c:v>3.405245110226996E-12</c:v>
                </c:pt>
                <c:pt idx="168">
                  <c:v>3.405245110226996E-12</c:v>
                </c:pt>
                <c:pt idx="169">
                  <c:v>3.405245110226996E-12</c:v>
                </c:pt>
                <c:pt idx="170">
                  <c:v>3.405245110226996E-12</c:v>
                </c:pt>
                <c:pt idx="171">
                  <c:v>3.405245110226996E-12</c:v>
                </c:pt>
                <c:pt idx="172">
                  <c:v>3.405245110226996E-12</c:v>
                </c:pt>
                <c:pt idx="173">
                  <c:v>3.405245110226996E-12</c:v>
                </c:pt>
                <c:pt idx="174">
                  <c:v>3.405245110226996E-12</c:v>
                </c:pt>
                <c:pt idx="175">
                  <c:v>3.405245110226996E-12</c:v>
                </c:pt>
                <c:pt idx="176">
                  <c:v>3.405245110226996E-12</c:v>
                </c:pt>
                <c:pt idx="177">
                  <c:v>3.405245110226996E-12</c:v>
                </c:pt>
                <c:pt idx="178">
                  <c:v>3.405245110226996E-12</c:v>
                </c:pt>
                <c:pt idx="179">
                  <c:v>3.405245110226996E-12</c:v>
                </c:pt>
                <c:pt idx="180">
                  <c:v>3.405245110226996E-12</c:v>
                </c:pt>
                <c:pt idx="181">
                  <c:v>3.405245110226996E-12</c:v>
                </c:pt>
                <c:pt idx="182">
                  <c:v>3.405245110226996E-12</c:v>
                </c:pt>
                <c:pt idx="183">
                  <c:v>3.405245110226996E-12</c:v>
                </c:pt>
                <c:pt idx="184">
                  <c:v>3.405245110226996E-12</c:v>
                </c:pt>
                <c:pt idx="185">
                  <c:v>3.405245110226996E-12</c:v>
                </c:pt>
                <c:pt idx="186">
                  <c:v>3.405245110226996E-12</c:v>
                </c:pt>
                <c:pt idx="187">
                  <c:v>3.405245110226996E-12</c:v>
                </c:pt>
                <c:pt idx="188">
                  <c:v>3.405245110226996E-12</c:v>
                </c:pt>
                <c:pt idx="189">
                  <c:v>3.405245110226996E-12</c:v>
                </c:pt>
                <c:pt idx="190">
                  <c:v>3.405245110226996E-12</c:v>
                </c:pt>
                <c:pt idx="191">
                  <c:v>3.405245110226996E-12</c:v>
                </c:pt>
                <c:pt idx="192">
                  <c:v>3.405245110226996E-12</c:v>
                </c:pt>
                <c:pt idx="193">
                  <c:v>3.405245110226996E-12</c:v>
                </c:pt>
                <c:pt idx="194">
                  <c:v>3.405245110226996E-12</c:v>
                </c:pt>
                <c:pt idx="195">
                  <c:v>3.405245110226996E-12</c:v>
                </c:pt>
                <c:pt idx="196">
                  <c:v>3.405245110226996E-12</c:v>
                </c:pt>
                <c:pt idx="197">
                  <c:v>3.405245110226996E-12</c:v>
                </c:pt>
                <c:pt idx="198">
                  <c:v>3.405245110226996E-12</c:v>
                </c:pt>
                <c:pt idx="199">
                  <c:v>3.405245110226996E-12</c:v>
                </c:pt>
                <c:pt idx="200">
                  <c:v>3.405245110226996E-12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E907D862-9100-4F78-A619-D6F51ADA6464}">
    <text>A recopier sur toutes les essences.
Correspond aux frais fixes d’entretien mécanique + répulsif gibier</text>
  </threadedComment>
  <threadedComment ref="E50" dT="2024-11-27T17:08:05.48" personId="{44BC7BF0-8157-4572-8E12-7E0C99523682}" id="{545767AC-9113-4F55-955E-AA6CF516DD1E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63A3162D-AE90-4A00-8D84-7FD5E108AECC}">
    <text>A recopier sur toutes les essences.
Correspond aux frais fixes d’entretien mécanique + répulsif gibier</text>
  </threadedComment>
  <threadedComment ref="E80" dT="2024-11-27T17:07:34.75" personId="{44BC7BF0-8157-4572-8E12-7E0C99523682}" id="{5BE1E0A2-1D39-4347-88F3-629028A64EB3}">
    <text>A recopier sur toutes les essences.
Correspond aux frais fixes d’entretien mécanique + répulsif gibier</text>
  </threadedComment>
  <threadedComment ref="E81" dT="2024-11-27T17:08:05.48" personId="{44BC7BF0-8157-4572-8E12-7E0C99523682}" id="{F04EDFDE-031B-4B96-AA2B-B5DAE1A3CF6D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E8DE3B99-E8C5-4A04-9CF0-364A014A527C}">
    <text>A recopier sur toutes les essences.
Correspond aux frais fixes d’entretien mécanique + répulsif gibier</text>
  </threadedComment>
  <threadedComment ref="E111" dT="2024-11-27T17:07:34.75" personId="{44BC7BF0-8157-4572-8E12-7E0C99523682}" id="{2E5E8743-283E-410E-AD35-86F6B40220B2}">
    <text>A recopier sur toutes les essences.
Correspond aux frais fixes d’entretien mécanique + répulsif gibier</text>
  </threadedComment>
  <threadedComment ref="E112" dT="2024-11-27T17:08:05.48" personId="{44BC7BF0-8157-4572-8E12-7E0C99523682}" id="{77A4F194-029C-444A-A32C-CA7336877FD8}">
    <text xml:space="preserve">A recopier sur toutes les essences
Correspond aux frais fixes entretien manuel + répulsif gibier + regarnis
</text>
  </threadedComment>
  <threadedComment ref="E113" dT="2024-11-27T17:07:34.75" personId="{44BC7BF0-8157-4572-8E12-7E0C99523682}" id="{6A071E94-2D5C-4260-82D0-2B5DD9DB6EB1}">
    <text>A recopier sur toutes les essences.
Correspond aux frais fixes d’entretien mécanique + répulsif gibier</text>
  </threadedComment>
  <threadedComment ref="E142" dT="2024-11-27T17:07:34.75" personId="{44BC7BF0-8157-4572-8E12-7E0C99523682}" id="{80F282C3-65FC-48E3-B5D8-E77BB9B72058}">
    <text>A recopier sur toutes les essences.
Correspond aux frais fixes d’entretien mécanique + répulsif gibier</text>
  </threadedComment>
  <threadedComment ref="E143" dT="2024-11-27T17:08:05.48" personId="{44BC7BF0-8157-4572-8E12-7E0C99523682}" id="{A6EAD018-DE8F-4CB4-A9F1-783A930F7E25}">
    <text xml:space="preserve">A recopier sur toutes les essences
Correspond aux frais fixes entretien manuel + répulsif gibier + regarnis
</text>
  </threadedComment>
  <threadedComment ref="E144" dT="2024-11-27T17:07:34.75" personId="{44BC7BF0-8157-4572-8E12-7E0C99523682}" id="{FB0EB762-D6F1-4A83-B656-9E768C346C58}">
    <text>A recopier sur toutes les essences.
Correspond aux frais fixes d’entretien mécanique + répulsif gibier</text>
  </threadedComment>
  <threadedComment ref="E173" dT="2024-11-27T17:07:34.75" personId="{44BC7BF0-8157-4572-8E12-7E0C99523682}" id="{EE034728-AB70-4799-8AAE-B8AEF680CB2E}">
    <text>A recopier sur toutes les essences.
Correspond aux frais fixes d’entretien mécanique + répulsif gibier</text>
  </threadedComment>
  <threadedComment ref="E174" dT="2024-11-27T17:08:05.48" personId="{44BC7BF0-8157-4572-8E12-7E0C99523682}" id="{8F5E35DD-016F-4396-84CF-6573ACFDF439}">
    <text xml:space="preserve">A recopier sur toutes les essences
Correspond aux frais fixes entretien manuel + répulsif gibier + regarnis
</text>
  </threadedComment>
  <threadedComment ref="E175" dT="2024-11-27T17:07:34.75" personId="{44BC7BF0-8157-4572-8E12-7E0C99523682}" id="{B63EF30F-BDF4-48AE-B81B-A9B443F2CA18}">
    <text>A recopier sur toutes les essences.
Correspond aux frais fixes d’entretien mécanique + répulsif gibier</text>
  </threadedComment>
  <threadedComment ref="E204" dT="2024-11-27T17:07:34.75" personId="{44BC7BF0-8157-4572-8E12-7E0C99523682}" id="{6415088C-678B-42A4-8BF4-5FA17E9FEF85}">
    <text>A recopier sur toutes les essences.
Correspond aux frais fixes d’entretien mécanique + répulsif gibier</text>
  </threadedComment>
  <threadedComment ref="E205" dT="2024-11-27T17:08:05.48" personId="{44BC7BF0-8157-4572-8E12-7E0C99523682}" id="{8DAFE9B7-E4C0-4978-A245-E76A5E176BF4}">
    <text xml:space="preserve">A recopier sur toutes les essences
Correspond aux frais fixes entretien manuel + répulsif gibier + regarnis
</text>
  </threadedComment>
  <threadedComment ref="E206" dT="2024-11-27T17:07:34.75" personId="{44BC7BF0-8157-4572-8E12-7E0C99523682}" id="{7E4DB307-37C1-4020-B484-72FEE7B93AF8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G24" sqref="G24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5" t="s">
        <v>231</v>
      </c>
      <c r="B5" s="275"/>
      <c r="C5" s="24">
        <v>3.38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14</v>
      </c>
      <c r="C9" s="32">
        <v>0.78332840673958015</v>
      </c>
      <c r="D9" s="33">
        <f t="shared" ref="D9:D18" si="0">C9*$C$5</f>
        <v>2.647650014779781</v>
      </c>
      <c r="E9" s="34">
        <v>183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4</v>
      </c>
      <c r="C10" s="32">
        <v>9.7546556310966585E-3</v>
      </c>
      <c r="D10" s="33">
        <f t="shared" si="0"/>
        <v>3.2970736033106705E-2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4.1383387525864616E-2</v>
      </c>
      <c r="D11" s="33">
        <f t="shared" si="0"/>
        <v>0.13987584983742241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6</v>
      </c>
      <c r="C12" s="32">
        <v>4.1383387525864616E-2</v>
      </c>
      <c r="D12" s="33">
        <f t="shared" si="0"/>
        <v>0.13987584983742241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4.1383387525864616E-2</v>
      </c>
      <c r="D13" s="33">
        <f t="shared" si="0"/>
        <v>0.13987584983742241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8</v>
      </c>
      <c r="C14" s="32">
        <v>4.1383387525864616E-2</v>
      </c>
      <c r="D14" s="33">
        <f t="shared" si="0"/>
        <v>0.13987584983742241</v>
      </c>
      <c r="E14" s="34">
        <v>45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29</v>
      </c>
      <c r="C15" s="32">
        <v>4.1383387525864616E-2</v>
      </c>
      <c r="D15" s="33">
        <f t="shared" si="0"/>
        <v>0.13987584983742241</v>
      </c>
      <c r="E15" s="34">
        <v>69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0.99999999999999967</v>
      </c>
      <c r="D19" s="38">
        <f>SUM(D9:D18)</f>
        <v>3.3800000000000008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42</v>
      </c>
      <c r="B36" s="258">
        <v>163.26</v>
      </c>
      <c r="C36" s="258">
        <v>1</v>
      </c>
      <c r="D36" s="259">
        <v>43.21</v>
      </c>
      <c r="E36" s="260">
        <v>0.3</v>
      </c>
      <c r="F36" s="260">
        <v>0</v>
      </c>
      <c r="G36" s="260">
        <v>0</v>
      </c>
      <c r="H36" s="260">
        <v>0.7</v>
      </c>
      <c r="I36" s="49">
        <f>IFERROR(B36/A36,"")</f>
        <v>3.887142857142857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50</v>
      </c>
      <c r="B37" s="262">
        <v>195.02</v>
      </c>
      <c r="C37" s="262">
        <v>2</v>
      </c>
      <c r="D37" s="262">
        <v>35.58</v>
      </c>
      <c r="E37" s="263">
        <v>0.3</v>
      </c>
      <c r="F37" s="263">
        <v>0</v>
      </c>
      <c r="G37" s="263">
        <v>0</v>
      </c>
      <c r="H37" s="263">
        <v>0.7</v>
      </c>
      <c r="I37" s="53">
        <f t="shared" ref="I37:I55" si="1">IF(A37&lt;&gt;0,(B37-(B36-D36))/(A37-A36),"")</f>
        <v>9.3712500000000034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58</v>
      </c>
      <c r="B38" s="262">
        <v>235.87</v>
      </c>
      <c r="C38" s="262">
        <v>3</v>
      </c>
      <c r="D38" s="262">
        <v>44.93</v>
      </c>
      <c r="E38" s="263">
        <v>0.3</v>
      </c>
      <c r="F38" s="263">
        <v>0</v>
      </c>
      <c r="G38" s="263">
        <v>0</v>
      </c>
      <c r="H38" s="263">
        <v>0.7</v>
      </c>
      <c r="I38" s="53">
        <f t="shared" si="1"/>
        <v>9.5537500000000009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66</v>
      </c>
      <c r="B39" s="262">
        <v>264.95999999999998</v>
      </c>
      <c r="C39" s="262">
        <v>4</v>
      </c>
      <c r="D39" s="262">
        <v>49.91</v>
      </c>
      <c r="E39" s="263">
        <v>0.6</v>
      </c>
      <c r="F39" s="263">
        <v>0</v>
      </c>
      <c r="G39" s="263">
        <v>0</v>
      </c>
      <c r="H39" s="263">
        <v>0.4</v>
      </c>
      <c r="I39" s="49">
        <f t="shared" si="1"/>
        <v>9.2524999999999977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74</v>
      </c>
      <c r="B40" s="262">
        <v>285.98</v>
      </c>
      <c r="C40" s="262">
        <v>5</v>
      </c>
      <c r="D40" s="262">
        <v>47.4</v>
      </c>
      <c r="E40" s="263">
        <v>0.6</v>
      </c>
      <c r="F40" s="263">
        <v>0</v>
      </c>
      <c r="G40" s="263">
        <v>0</v>
      </c>
      <c r="H40" s="263">
        <v>0.4</v>
      </c>
      <c r="I40" s="49">
        <f t="shared" si="1"/>
        <v>8.8662500000000044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84</v>
      </c>
      <c r="B41" s="262">
        <v>325.35000000000002</v>
      </c>
      <c r="C41" s="262">
        <v>6</v>
      </c>
      <c r="D41" s="262">
        <v>61.47</v>
      </c>
      <c r="E41" s="263">
        <v>0.6</v>
      </c>
      <c r="F41" s="263">
        <v>0</v>
      </c>
      <c r="G41" s="263">
        <v>0</v>
      </c>
      <c r="H41" s="263">
        <v>0.4</v>
      </c>
      <c r="I41" s="53">
        <f t="shared" si="1"/>
        <v>8.6770000000000014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94</v>
      </c>
      <c r="B42" s="262">
        <v>346.79</v>
      </c>
      <c r="C42" s="262">
        <v>7</v>
      </c>
      <c r="D42" s="262">
        <v>61.85</v>
      </c>
      <c r="E42" s="263">
        <v>0.6</v>
      </c>
      <c r="F42" s="263">
        <v>0</v>
      </c>
      <c r="G42" s="263">
        <v>0</v>
      </c>
      <c r="H42" s="263">
        <v>0.4</v>
      </c>
      <c r="I42" s="53">
        <f t="shared" si="1"/>
        <v>8.2910000000000021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104</v>
      </c>
      <c r="B43" s="262">
        <v>365.41</v>
      </c>
      <c r="C43" s="262">
        <v>8</v>
      </c>
      <c r="D43" s="262">
        <v>60.19</v>
      </c>
      <c r="E43" s="263">
        <v>0.6</v>
      </c>
      <c r="F43" s="263">
        <v>0</v>
      </c>
      <c r="G43" s="263">
        <v>0</v>
      </c>
      <c r="H43" s="263">
        <v>0.4</v>
      </c>
      <c r="I43" s="49">
        <f t="shared" si="1"/>
        <v>8.0470000000000024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114</v>
      </c>
      <c r="B44" s="262">
        <v>384.57</v>
      </c>
      <c r="C44" s="262">
        <v>9</v>
      </c>
      <c r="D44" s="262">
        <v>56.07</v>
      </c>
      <c r="E44" s="263">
        <v>0.6</v>
      </c>
      <c r="F44" s="263">
        <v>0</v>
      </c>
      <c r="G44" s="263">
        <v>0</v>
      </c>
      <c r="H44" s="263">
        <v>0.4</v>
      </c>
      <c r="I44" s="49">
        <f t="shared" si="1"/>
        <v>7.9349999999999969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124</v>
      </c>
      <c r="B45" s="262">
        <v>408.42</v>
      </c>
      <c r="C45" s="262">
        <v>10</v>
      </c>
      <c r="D45" s="262">
        <v>52.53</v>
      </c>
      <c r="E45" s="263">
        <v>0.6</v>
      </c>
      <c r="F45" s="263">
        <v>0</v>
      </c>
      <c r="G45" s="263">
        <v>0</v>
      </c>
      <c r="H45" s="263">
        <v>0.4</v>
      </c>
      <c r="I45" s="49">
        <f t="shared" si="1"/>
        <v>7.9920000000000018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134</v>
      </c>
      <c r="B46" s="262">
        <v>436.59</v>
      </c>
      <c r="C46" s="262">
        <v>11</v>
      </c>
      <c r="D46" s="262">
        <v>54.95</v>
      </c>
      <c r="E46" s="263">
        <v>0.6</v>
      </c>
      <c r="F46" s="263">
        <v>0</v>
      </c>
      <c r="G46" s="263">
        <v>0</v>
      </c>
      <c r="H46" s="263">
        <v>0.4</v>
      </c>
      <c r="I46" s="49">
        <f t="shared" si="1"/>
        <v>8.0699999999999985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144</v>
      </c>
      <c r="B47" s="262">
        <v>463.23</v>
      </c>
      <c r="C47" s="262">
        <v>12</v>
      </c>
      <c r="D47" s="262">
        <v>56.01</v>
      </c>
      <c r="E47" s="263">
        <v>0.6</v>
      </c>
      <c r="F47" s="263">
        <v>0</v>
      </c>
      <c r="G47" s="263">
        <v>0</v>
      </c>
      <c r="H47" s="263">
        <v>0.4</v>
      </c>
      <c r="I47" s="49">
        <f t="shared" si="1"/>
        <v>8.1590000000000025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154</v>
      </c>
      <c r="B48" s="262">
        <v>490.47</v>
      </c>
      <c r="C48" s="262">
        <v>13</v>
      </c>
      <c r="D48" s="262">
        <v>55.13</v>
      </c>
      <c r="E48" s="263">
        <v>0.6</v>
      </c>
      <c r="F48" s="263">
        <v>0</v>
      </c>
      <c r="G48" s="263">
        <v>0</v>
      </c>
      <c r="H48" s="263">
        <v>0.4</v>
      </c>
      <c r="I48" s="49">
        <f t="shared" si="1"/>
        <v>8.3249999999999993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164</v>
      </c>
      <c r="B49" s="262">
        <v>519.77</v>
      </c>
      <c r="C49" s="262">
        <v>14</v>
      </c>
      <c r="D49" s="262">
        <v>59.58</v>
      </c>
      <c r="E49" s="263">
        <v>0.6</v>
      </c>
      <c r="F49" s="263">
        <v>0</v>
      </c>
      <c r="G49" s="263">
        <v>0</v>
      </c>
      <c r="H49" s="263">
        <v>0.4</v>
      </c>
      <c r="I49" s="49">
        <f t="shared" si="1"/>
        <v>8.4429999999999943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174</v>
      </c>
      <c r="B50" s="262">
        <v>545.65</v>
      </c>
      <c r="C50" s="262">
        <v>15</v>
      </c>
      <c r="D50" s="262">
        <v>214.77</v>
      </c>
      <c r="E50" s="263">
        <v>0.6</v>
      </c>
      <c r="F50" s="263">
        <v>0</v>
      </c>
      <c r="G50" s="263">
        <v>0</v>
      </c>
      <c r="H50" s="263">
        <v>0.4</v>
      </c>
      <c r="I50" s="49">
        <f t="shared" si="1"/>
        <v>8.5459999999999976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177</v>
      </c>
      <c r="B51" s="262">
        <v>347.04</v>
      </c>
      <c r="C51" s="262">
        <v>16</v>
      </c>
      <c r="D51" s="262">
        <v>115.19</v>
      </c>
      <c r="E51" s="263">
        <v>0.6</v>
      </c>
      <c r="F51" s="263">
        <v>0</v>
      </c>
      <c r="G51" s="263">
        <v>0</v>
      </c>
      <c r="H51" s="263">
        <v>0.4</v>
      </c>
      <c r="I51" s="49">
        <f t="shared" si="1"/>
        <v>5.3866666666666747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180</v>
      </c>
      <c r="B52" s="262">
        <v>241.62</v>
      </c>
      <c r="C52" s="262">
        <v>17</v>
      </c>
      <c r="D52" s="262">
        <v>77.72</v>
      </c>
      <c r="E52" s="263">
        <v>0.6</v>
      </c>
      <c r="F52" s="263">
        <v>0</v>
      </c>
      <c r="G52" s="263">
        <v>0</v>
      </c>
      <c r="H52" s="263">
        <v>0.4</v>
      </c>
      <c r="I52" s="49">
        <f t="shared" si="1"/>
        <v>3.2566666666666606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183</v>
      </c>
      <c r="B53" s="262">
        <v>169.76</v>
      </c>
      <c r="C53" s="262">
        <v>18</v>
      </c>
      <c r="D53" s="262">
        <v>169.76</v>
      </c>
      <c r="E53" s="263">
        <v>0.6</v>
      </c>
      <c r="F53" s="263">
        <v>0</v>
      </c>
      <c r="G53" s="263">
        <v>0</v>
      </c>
      <c r="H53" s="263">
        <v>0.4</v>
      </c>
      <c r="I53" s="49">
        <f t="shared" si="1"/>
        <v>1.9533333333333285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Aulne glutineux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</v>
      </c>
      <c r="C62" s="60">
        <v>1</v>
      </c>
      <c r="D62" s="60">
        <v>1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0.9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36</v>
      </c>
      <c r="C63" s="60">
        <v>2</v>
      </c>
      <c r="D63" s="60">
        <v>3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84</v>
      </c>
      <c r="C64" s="60">
        <v>3</v>
      </c>
      <c r="D64" s="60">
        <v>9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10.199999999999999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116</v>
      </c>
      <c r="C65" s="60">
        <v>4</v>
      </c>
      <c r="D65" s="60">
        <v>18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8.1999999999999993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137</v>
      </c>
      <c r="C66" s="60">
        <v>5</v>
      </c>
      <c r="D66" s="60">
        <v>20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153</v>
      </c>
      <c r="C67" s="60">
        <v>6</v>
      </c>
      <c r="D67" s="60">
        <v>21</v>
      </c>
      <c r="E67" s="51">
        <v>0</v>
      </c>
      <c r="F67" s="51">
        <v>0</v>
      </c>
      <c r="G67" s="51">
        <v>0</v>
      </c>
      <c r="H67" s="51">
        <v>1</v>
      </c>
      <c r="I67" s="49">
        <f t="shared" si="2"/>
        <v>7.2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167</v>
      </c>
      <c r="C68" s="60">
        <v>7</v>
      </c>
      <c r="D68" s="60">
        <v>22</v>
      </c>
      <c r="E68" s="51">
        <v>0</v>
      </c>
      <c r="F68" s="51">
        <v>0</v>
      </c>
      <c r="G68" s="51">
        <v>0</v>
      </c>
      <c r="H68" s="51">
        <v>1</v>
      </c>
      <c r="I68" s="49">
        <f t="shared" si="2"/>
        <v>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50">
        <v>177</v>
      </c>
      <c r="C69" s="50">
        <v>8</v>
      </c>
      <c r="D69" s="50">
        <v>22</v>
      </c>
      <c r="E69" s="51">
        <v>0.3</v>
      </c>
      <c r="F69" s="51">
        <v>0</v>
      </c>
      <c r="G69" s="51">
        <v>0</v>
      </c>
      <c r="H69" s="51">
        <v>0.7</v>
      </c>
      <c r="I69" s="49">
        <f t="shared" si="2"/>
        <v>6.4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50">
        <v>184</v>
      </c>
      <c r="C70" s="50">
        <v>9</v>
      </c>
      <c r="D70" s="50">
        <v>21</v>
      </c>
      <c r="E70" s="51">
        <v>0.3</v>
      </c>
      <c r="F70" s="51">
        <v>0</v>
      </c>
      <c r="G70" s="51">
        <v>0</v>
      </c>
      <c r="H70" s="51">
        <v>0.7</v>
      </c>
      <c r="I70" s="49">
        <f t="shared" si="2"/>
        <v>5.8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50">
        <v>191</v>
      </c>
      <c r="C71" s="50">
        <v>10</v>
      </c>
      <c r="D71" s="50">
        <v>20</v>
      </c>
      <c r="E71" s="51">
        <v>0.3</v>
      </c>
      <c r="F71" s="51">
        <v>0</v>
      </c>
      <c r="G71" s="51">
        <v>0</v>
      </c>
      <c r="H71" s="51">
        <v>0.7</v>
      </c>
      <c r="I71" s="49">
        <f t="shared" si="2"/>
        <v>5.6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50">
        <v>196</v>
      </c>
      <c r="C72" s="50">
        <v>11</v>
      </c>
      <c r="D72" s="50">
        <v>19</v>
      </c>
      <c r="E72" s="51">
        <v>0.3</v>
      </c>
      <c r="F72" s="51">
        <v>0</v>
      </c>
      <c r="G72" s="51">
        <v>0</v>
      </c>
      <c r="H72" s="51">
        <v>0.7</v>
      </c>
      <c r="I72" s="49">
        <f t="shared" si="2"/>
        <v>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65</v>
      </c>
      <c r="B73" s="50">
        <v>201</v>
      </c>
      <c r="C73" s="50">
        <v>12</v>
      </c>
      <c r="D73" s="50">
        <v>18</v>
      </c>
      <c r="E73" s="51">
        <v>0.6</v>
      </c>
      <c r="F73" s="51">
        <v>0</v>
      </c>
      <c r="G73" s="51">
        <v>0</v>
      </c>
      <c r="H73" s="51">
        <v>0.4</v>
      </c>
      <c r="I73" s="49">
        <f t="shared" si="2"/>
        <v>4.8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>
        <v>70</v>
      </c>
      <c r="B74" s="50">
        <v>205</v>
      </c>
      <c r="C74" s="50">
        <v>13</v>
      </c>
      <c r="D74" s="50">
        <v>17</v>
      </c>
      <c r="E74" s="51">
        <v>0.6</v>
      </c>
      <c r="F74" s="51">
        <v>0</v>
      </c>
      <c r="G74" s="51">
        <v>0</v>
      </c>
      <c r="H74" s="51">
        <v>0.4</v>
      </c>
      <c r="I74" s="49">
        <f t="shared" si="2"/>
        <v>4.4000000000000004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>
        <v>75</v>
      </c>
      <c r="B75" s="50">
        <v>208</v>
      </c>
      <c r="C75" s="50">
        <v>14</v>
      </c>
      <c r="D75" s="50">
        <v>16</v>
      </c>
      <c r="E75" s="51">
        <v>0.6</v>
      </c>
      <c r="F75" s="51">
        <v>0</v>
      </c>
      <c r="G75" s="51">
        <v>0</v>
      </c>
      <c r="H75" s="51">
        <v>0.4</v>
      </c>
      <c r="I75" s="49">
        <f t="shared" si="2"/>
        <v>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>
        <v>80</v>
      </c>
      <c r="B76" s="50">
        <v>211</v>
      </c>
      <c r="C76" s="50">
        <v>15</v>
      </c>
      <c r="D76" s="50">
        <v>15</v>
      </c>
      <c r="E76" s="51">
        <v>0.6</v>
      </c>
      <c r="F76" s="51">
        <v>0</v>
      </c>
      <c r="G76" s="51">
        <v>0</v>
      </c>
      <c r="H76" s="51">
        <v>0.4</v>
      </c>
      <c r="I76" s="49">
        <f t="shared" si="2"/>
        <v>3.8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>
        <v>85</v>
      </c>
      <c r="B77" s="50">
        <v>214</v>
      </c>
      <c r="C77" s="50">
        <v>16</v>
      </c>
      <c r="D77" s="50">
        <v>14</v>
      </c>
      <c r="E77" s="51">
        <v>0.6</v>
      </c>
      <c r="F77" s="51">
        <v>0</v>
      </c>
      <c r="G77" s="51">
        <v>0</v>
      </c>
      <c r="H77" s="51">
        <v>0.4</v>
      </c>
      <c r="I77" s="49">
        <f t="shared" si="2"/>
        <v>3.6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>
        <v>90</v>
      </c>
      <c r="B78" s="50">
        <v>217</v>
      </c>
      <c r="C78" s="50">
        <v>17</v>
      </c>
      <c r="D78" s="50">
        <v>217</v>
      </c>
      <c r="E78" s="51">
        <v>0.6</v>
      </c>
      <c r="F78" s="51">
        <v>0</v>
      </c>
      <c r="G78" s="51">
        <v>0</v>
      </c>
      <c r="H78" s="51">
        <v>0.4</v>
      </c>
      <c r="I78" s="49">
        <f t="shared" si="2"/>
        <v>3.4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10</v>
      </c>
      <c r="B140" s="60">
        <v>5.5877499999999998</v>
      </c>
      <c r="C140" s="50">
        <v>1</v>
      </c>
      <c r="D140" s="60">
        <v>0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0.55877500000000002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29.921499999999998</v>
      </c>
      <c r="C141" s="50">
        <v>2</v>
      </c>
      <c r="D141" s="60">
        <v>14.42</v>
      </c>
      <c r="E141" s="51">
        <v>0</v>
      </c>
      <c r="F141" s="51">
        <v>0</v>
      </c>
      <c r="G141" s="51">
        <v>0</v>
      </c>
      <c r="H141" s="51">
        <v>1</v>
      </c>
      <c r="I141" s="57">
        <f t="shared" ref="I141:I159" si="5">IF(A141&lt;&gt;0,(B141-(B140-D140))/(A141-A140),"")</f>
        <v>4.8667499999999997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20</v>
      </c>
      <c r="B142" s="60">
        <v>44.882249999999999</v>
      </c>
      <c r="C142" s="50">
        <v>3</v>
      </c>
      <c r="D142" s="60">
        <v>15.141</v>
      </c>
      <c r="E142" s="51">
        <v>0</v>
      </c>
      <c r="F142" s="51">
        <v>0</v>
      </c>
      <c r="G142" s="51">
        <v>0</v>
      </c>
      <c r="H142" s="51">
        <v>1</v>
      </c>
      <c r="I142" s="57">
        <f t="shared" si="5"/>
        <v>5.87615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25</v>
      </c>
      <c r="B143" s="60">
        <v>61.104749999999996</v>
      </c>
      <c r="C143" s="50">
        <v>4</v>
      </c>
      <c r="D143" s="60">
        <v>15.141</v>
      </c>
      <c r="E143" s="51">
        <v>0</v>
      </c>
      <c r="F143" s="51">
        <v>0</v>
      </c>
      <c r="G143" s="51">
        <v>0</v>
      </c>
      <c r="H143" s="51">
        <v>1</v>
      </c>
      <c r="I143" s="57">
        <f t="shared" si="5"/>
        <v>6.2726999999999986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76.426000000000002</v>
      </c>
      <c r="C144" s="50">
        <v>5</v>
      </c>
      <c r="D144" s="60">
        <v>15.141</v>
      </c>
      <c r="E144" s="51">
        <v>0</v>
      </c>
      <c r="F144" s="51">
        <v>0</v>
      </c>
      <c r="G144" s="51">
        <v>0</v>
      </c>
      <c r="H144" s="51">
        <v>1</v>
      </c>
      <c r="I144" s="57">
        <f t="shared" si="5"/>
        <v>6.0924500000000013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35</v>
      </c>
      <c r="B145" s="60">
        <v>88.863249999999994</v>
      </c>
      <c r="C145" s="50">
        <v>6</v>
      </c>
      <c r="D145" s="60">
        <v>15.141</v>
      </c>
      <c r="E145" s="51">
        <v>0</v>
      </c>
      <c r="F145" s="51">
        <v>0</v>
      </c>
      <c r="G145" s="51">
        <v>0</v>
      </c>
      <c r="H145" s="51">
        <v>1</v>
      </c>
      <c r="I145" s="57">
        <f t="shared" si="5"/>
        <v>5.5156499999999982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40</v>
      </c>
      <c r="B146" s="60">
        <v>98.055999999999997</v>
      </c>
      <c r="C146" s="50">
        <v>7</v>
      </c>
      <c r="D146" s="60">
        <v>15.141</v>
      </c>
      <c r="E146" s="51">
        <v>0</v>
      </c>
      <c r="F146" s="51">
        <v>0</v>
      </c>
      <c r="G146" s="51">
        <v>0</v>
      </c>
      <c r="H146" s="51">
        <v>1</v>
      </c>
      <c r="I146" s="57">
        <f t="shared" si="5"/>
        <v>4.8667500000000015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45</v>
      </c>
      <c r="B147" s="60">
        <v>104.00425</v>
      </c>
      <c r="C147" s="50">
        <v>8</v>
      </c>
      <c r="D147" s="60">
        <v>10.093999999999999</v>
      </c>
      <c r="E147" s="51">
        <v>0.3</v>
      </c>
      <c r="F147" s="51">
        <v>0</v>
      </c>
      <c r="G147" s="51">
        <v>0</v>
      </c>
      <c r="H147" s="51">
        <v>0.7</v>
      </c>
      <c r="I147" s="57">
        <f>IF(A147&lt;&gt;0,(B147-(B146-D146))/(A147-A146),"")</f>
        <v>4.2178500000000012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50</v>
      </c>
      <c r="B148" s="60">
        <v>112.1155</v>
      </c>
      <c r="C148" s="50">
        <v>9</v>
      </c>
      <c r="D148" s="60">
        <v>7.931</v>
      </c>
      <c r="E148" s="51">
        <v>0.3</v>
      </c>
      <c r="F148" s="51">
        <v>0</v>
      </c>
      <c r="G148" s="51">
        <v>0</v>
      </c>
      <c r="H148" s="51">
        <v>0.7</v>
      </c>
      <c r="I148" s="57">
        <f t="shared" si="5"/>
        <v>3.6410499999999986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55</v>
      </c>
      <c r="B149" s="60">
        <v>119.68599999999999</v>
      </c>
      <c r="C149" s="50">
        <v>10</v>
      </c>
      <c r="D149" s="60">
        <v>6.8494999999999999</v>
      </c>
      <c r="E149" s="51">
        <v>0.3</v>
      </c>
      <c r="F149" s="51">
        <v>0</v>
      </c>
      <c r="G149" s="51">
        <v>0</v>
      </c>
      <c r="H149" s="51">
        <v>0.7</v>
      </c>
      <c r="I149" s="57">
        <f t="shared" si="5"/>
        <v>3.1002999999999985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60</v>
      </c>
      <c r="B150" s="60">
        <v>126.175</v>
      </c>
      <c r="C150" s="50">
        <v>11</v>
      </c>
      <c r="D150" s="60">
        <v>6.1284999999999998</v>
      </c>
      <c r="E150" s="51">
        <v>0.3</v>
      </c>
      <c r="F150" s="51">
        <v>0</v>
      </c>
      <c r="G150" s="51">
        <v>0</v>
      </c>
      <c r="H150" s="51">
        <v>0.7</v>
      </c>
      <c r="I150" s="57">
        <f t="shared" si="5"/>
        <v>2.6677000000000022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65</v>
      </c>
      <c r="B151" s="60">
        <v>131.40225000000001</v>
      </c>
      <c r="C151" s="50">
        <v>12</v>
      </c>
      <c r="D151" s="60">
        <v>5.7679999999999998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2.2711500000000031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70</v>
      </c>
      <c r="B152" s="60">
        <v>135.36775</v>
      </c>
      <c r="C152" s="50">
        <v>13</v>
      </c>
      <c r="D152" s="60">
        <v>5.4074999999999998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1.9466999999999985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75</v>
      </c>
      <c r="B153" s="60">
        <v>138.61224999999999</v>
      </c>
      <c r="C153" s="50">
        <v>14</v>
      </c>
      <c r="D153" s="60">
        <v>5.0469999999999997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1.7303999999999973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80</v>
      </c>
      <c r="B154" s="56">
        <v>141.316</v>
      </c>
      <c r="C154" s="50">
        <v>15</v>
      </c>
      <c r="D154" s="50">
        <v>141.30000000000001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5"/>
        <v>1.5501500000000021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Châtaignier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115</v>
      </c>
      <c r="C166" s="60">
        <v>1</v>
      </c>
      <c r="D166" s="60">
        <v>71</v>
      </c>
      <c r="E166" s="51">
        <v>0</v>
      </c>
      <c r="F166" s="51">
        <v>0.5</v>
      </c>
      <c r="G166" s="51">
        <v>0</v>
      </c>
      <c r="H166" s="51">
        <v>0.5</v>
      </c>
      <c r="I166" s="49">
        <f>IFERROR(B166/A166,"")</f>
        <v>11.5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16</v>
      </c>
      <c r="B167" s="60">
        <v>92</v>
      </c>
      <c r="C167" s="60">
        <v>2</v>
      </c>
      <c r="D167" s="60">
        <v>33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8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25</v>
      </c>
      <c r="B168" s="60">
        <v>131</v>
      </c>
      <c r="C168" s="60">
        <v>3</v>
      </c>
      <c r="D168" s="60">
        <v>41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45</v>
      </c>
      <c r="B169" s="60">
        <v>231</v>
      </c>
      <c r="C169" s="60">
        <v>4</v>
      </c>
      <c r="D169" s="60">
        <v>231</v>
      </c>
      <c r="E169" s="51">
        <v>0.6</v>
      </c>
      <c r="F169" s="51">
        <v>0.3</v>
      </c>
      <c r="G169" s="51">
        <v>0</v>
      </c>
      <c r="H169" s="51">
        <v>0.1</v>
      </c>
      <c r="I169" s="49">
        <f t="shared" si="6"/>
        <v>7.05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Merisier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15</v>
      </c>
      <c r="B192" s="60">
        <v>40</v>
      </c>
      <c r="C192" s="60">
        <v>1</v>
      </c>
      <c r="D192" s="60">
        <v>3</v>
      </c>
      <c r="E192" s="51">
        <v>0</v>
      </c>
      <c r="F192" s="51">
        <v>0.5</v>
      </c>
      <c r="G192" s="51">
        <v>0</v>
      </c>
      <c r="H192" s="51">
        <v>0.5</v>
      </c>
      <c r="I192" s="49">
        <f>IFERROR(B192/A192,"")</f>
        <v>2.6666666666666665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85</v>
      </c>
      <c r="C193" s="60">
        <v>2</v>
      </c>
      <c r="D193" s="60">
        <v>25</v>
      </c>
      <c r="E193" s="51">
        <v>0</v>
      </c>
      <c r="F193" s="51">
        <v>0.5</v>
      </c>
      <c r="G193" s="51">
        <v>0</v>
      </c>
      <c r="H193" s="51">
        <v>0.5</v>
      </c>
      <c r="I193" s="49">
        <f t="shared" ref="I193:I211" si="7">IF(A193&lt;&gt;0,(B193-(B192-D192))/(A193-A192),"")</f>
        <v>9.6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25</v>
      </c>
      <c r="B194" s="60">
        <v>113</v>
      </c>
      <c r="C194" s="60">
        <v>3</v>
      </c>
      <c r="D194" s="60">
        <v>27</v>
      </c>
      <c r="E194" s="51">
        <v>0</v>
      </c>
      <c r="F194" s="51">
        <v>0.5</v>
      </c>
      <c r="G194" s="51">
        <v>0</v>
      </c>
      <c r="H194" s="51">
        <v>0.5</v>
      </c>
      <c r="I194" s="49">
        <f t="shared" si="7"/>
        <v>10.6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31</v>
      </c>
      <c r="B195" s="60">
        <v>155</v>
      </c>
      <c r="C195" s="60">
        <v>4</v>
      </c>
      <c r="D195" s="60">
        <v>36</v>
      </c>
      <c r="E195" s="51">
        <v>0.6</v>
      </c>
      <c r="F195" s="51">
        <v>0.2</v>
      </c>
      <c r="G195" s="51">
        <v>0</v>
      </c>
      <c r="H195" s="51">
        <v>0.2</v>
      </c>
      <c r="I195" s="49">
        <f t="shared" si="7"/>
        <v>11.5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37</v>
      </c>
      <c r="B196" s="60">
        <v>188</v>
      </c>
      <c r="C196" s="60">
        <v>5</v>
      </c>
      <c r="D196" s="60">
        <v>36</v>
      </c>
      <c r="E196" s="51">
        <v>0.6</v>
      </c>
      <c r="F196" s="51">
        <v>0.2</v>
      </c>
      <c r="G196" s="51">
        <v>0</v>
      </c>
      <c r="H196" s="51">
        <v>0.2</v>
      </c>
      <c r="I196" s="49">
        <f t="shared" si="7"/>
        <v>11.5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44</v>
      </c>
      <c r="B197" s="60">
        <v>230</v>
      </c>
      <c r="C197" s="60">
        <v>6</v>
      </c>
      <c r="D197" s="60">
        <v>43</v>
      </c>
      <c r="E197" s="51">
        <v>0.6</v>
      </c>
      <c r="F197" s="51">
        <v>0.3</v>
      </c>
      <c r="G197" s="51">
        <v>0</v>
      </c>
      <c r="H197" s="51">
        <v>0.1</v>
      </c>
      <c r="I197" s="49">
        <f t="shared" si="7"/>
        <v>11.142857142857142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52</v>
      </c>
      <c r="B198" s="60">
        <v>270</v>
      </c>
      <c r="C198" s="60">
        <v>7</v>
      </c>
      <c r="D198" s="60">
        <v>48</v>
      </c>
      <c r="E198" s="51">
        <v>0.6</v>
      </c>
      <c r="F198" s="51">
        <v>0.3</v>
      </c>
      <c r="G198" s="51">
        <v>0</v>
      </c>
      <c r="H198" s="51">
        <v>0.1</v>
      </c>
      <c r="I198" s="49">
        <f t="shared" si="7"/>
        <v>10.375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60</v>
      </c>
      <c r="B199" s="50">
        <v>297</v>
      </c>
      <c r="C199" s="50">
        <v>8</v>
      </c>
      <c r="D199" s="50">
        <v>47</v>
      </c>
      <c r="E199" s="51">
        <v>0.6</v>
      </c>
      <c r="F199" s="51">
        <v>0.3</v>
      </c>
      <c r="G199" s="51">
        <v>0</v>
      </c>
      <c r="H199" s="51">
        <v>0.1</v>
      </c>
      <c r="I199" s="49">
        <f t="shared" si="7"/>
        <v>9.375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69</v>
      </c>
      <c r="B200" s="50">
        <v>328</v>
      </c>
      <c r="C200" s="50">
        <v>9</v>
      </c>
      <c r="D200" s="50">
        <v>328</v>
      </c>
      <c r="E200" s="51">
        <v>0.6</v>
      </c>
      <c r="F200" s="51">
        <v>0.3</v>
      </c>
      <c r="G200" s="51">
        <v>0</v>
      </c>
      <c r="H200" s="51">
        <v>0.1</v>
      </c>
      <c r="I200" s="49">
        <f t="shared" si="7"/>
        <v>8.6666666666666661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8" sqref="C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J1" zoomScaleNormal="100" workbookViewId="0">
      <selection activeCell="BA4" sqref="BA4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Chêne sessile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Aulne glutineux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sessile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>Charme</v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>Erable sycomore</v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>Châtaignier</v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>Merisier</v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581.88778927327667</v>
      </c>
      <c r="T3" s="59">
        <f>IF('Données projet'!E9&gt;30,$R$33-$H$33,LOOKUP('Données projet'!$E$9,$A$3:$A$203,R3:R203)-LOOKUP('Données projet'!$E$9,$A$3:$A$203,$H$3:$H$203))</f>
        <v>269.67340993773422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230.58262378842818</v>
      </c>
      <c r="AO3" s="59">
        <f>IF('Données projet'!E10&gt;30,$AM$33-$H$33,LOOKUP('Données projet'!$E$10,$A$3:$A$203,AM3:AM203)-LOOKUP('Données projet'!$E$10,$A$3:$A$203,$H$3:$H$203))</f>
        <v>235.68746142880792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581.88778927327667</v>
      </c>
      <c r="BJ3" s="59">
        <f>IF('Données projet'!E11&gt;30,$BH$33-$H$33,LOOKUP('Données projet'!$E$11,$A$3:$A$203,BH3:BH203)-LOOKUP('Données projet'!$E$11,$A$3:$A$203,$H$3:$H$203))</f>
        <v>269.67340993773422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609.60019207204277</v>
      </c>
      <c r="CE3" s="59">
        <f>IF('Données projet'!E12&gt;30,$CC$33-$H$33,LOOKUP('Données projet'!$E$12,$A$3:$A$203,CC3:CC203)-LOOKUP('Données projet'!$E$12,$A$3:$A$203,$H$3:$H$203))</f>
        <v>281.42238288764503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172.13940525084604</v>
      </c>
      <c r="CZ3" s="59">
        <f>IF('Données projet'!E13&gt;30,$CX$33-$H$33,LOOKUP('Données projet'!$E$13,$A$3:$A$203,CX3:CX203)-LOOKUP('Données projet'!$E$13,$A$3:$A$203,$H$3:$H$203))</f>
        <v>172.82328007157236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197.34725966440715</v>
      </c>
      <c r="DU3" s="59">
        <f>IF('Données projet'!E14&gt;30,$DS$33-$H$33,LOOKUP('Données projet'!$E$14,$A$3:$A$203,DS3:DS203)-LOOKUP('Données projet'!$E$14,$A$3:$A$203,$H$3:$H$203))</f>
        <v>240.16326570529532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288.82868507674738</v>
      </c>
      <c r="EP3" s="59">
        <f>IF('Données projet'!E15&gt;30,$EN$33-$H$33,LOOKUP('Données projet'!$E$15,$A$3:$A$203,EN3:EN203)-LOOKUP('Données projet'!$E$15,$A$3:$A$203,$H$3:$H$203))</f>
        <v>283.48738729114024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3.887142857142857</v>
      </c>
      <c r="N4" s="13">
        <f>IF('Données projet'!$A$36&gt;35,N3+M4-V3,IF(A4&lt;'Données projet'!$A$36,$K$205^A4,IF(A4='Données projet'!$A$36,'Données projet'!$B$36,N3+M4-V3)))</f>
        <v>3.887142857142857</v>
      </c>
      <c r="O4" s="13">
        <f>N4*VLOOKUP('Données projet'!$B$9,Paramètres!$A$1:$I$89,3,0)*VLOOKUP('Données projet'!$B$9,Paramètres!$A$1:$I$89,5,0)</f>
        <v>3.5170868571428571</v>
      </c>
      <c r="P4" s="13">
        <f>EXP(-1.0587+0.8836*LN(O4)+0.284)</f>
        <v>1.400101260019349</v>
      </c>
      <c r="Q4" s="20">
        <f t="shared" ref="Q4:Q34" si="2">(O4+P4)*0.475*44/12</f>
        <v>8.5641026373908407</v>
      </c>
      <c r="R4" s="59">
        <f t="shared" si="0"/>
        <v>266.45299152627967</v>
      </c>
      <c r="S4" s="59">
        <f ca="1">AVERAGE(OFFSET($R$3,0,0,'Données projet'!$E$9+1,1))-AVERAGE(OFFSET($H$3,0,0,'Données projet'!$E$9+1,1))</f>
        <v>581.88778927327667</v>
      </c>
      <c r="T4" s="59">
        <f>$T$3</f>
        <v>269.67340993773422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</v>
      </c>
      <c r="AI4" s="13">
        <f>IF('Données projet'!$A$62&gt;35,AI3+AH4-AQ3,IF(A4&lt;'Données projet'!$A$62,$AF$205^A4,IF(A4='Données projet'!$A$62,'Données projet'!$B$62,AI3+AH4-AQ3)))</f>
        <v>1.2457309396155174</v>
      </c>
      <c r="AJ4" s="13">
        <f>AI4*VLOOKUP('Données projet'!$B$10,Paramètres!$A$1:$I$89,3,0)*VLOOKUP('Données projet'!$B$10,Paramètres!$A$1:$I$89,5,0)</f>
        <v>0.81620291163608694</v>
      </c>
      <c r="AK4" s="13">
        <f>EXP(-1.0587+0.8836*LN(AJ4)+0.284)</f>
        <v>0.38513847027569503</v>
      </c>
      <c r="AL4" s="20">
        <f t="shared" ref="AL4:AL67" si="4">(AJ4+AK4)*0.475*44/12</f>
        <v>2.0923362401630201</v>
      </c>
      <c r="AM4" s="59">
        <f t="shared" ref="AM4:AM67" si="5">AL4+(AD4+AE4)*44/12</f>
        <v>259.98122512905189</v>
      </c>
      <c r="AN4" s="59">
        <f ca="1">AVERAGE(OFFSET($AM$3,0,0,'Données projet'!$E$10+1,1))-AVERAGE(OFFSET($H$3,0,0,'Données projet'!$E$10+1,1))</f>
        <v>230.58262378842818</v>
      </c>
      <c r="AO4" s="59">
        <f>$AO$3</f>
        <v>235.68746142880792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3.5170868571428571</v>
      </c>
      <c r="BF4" s="13">
        <f>EXP(-1.0587+0.8836*LN(BE4)+0.284)</f>
        <v>1.400101260019349</v>
      </c>
      <c r="BG4" s="20">
        <f t="shared" ref="BG4:BG67" si="7">(BE4+BF4)*0.475*44/12</f>
        <v>8.5641026373908407</v>
      </c>
      <c r="BH4" s="59">
        <f t="shared" ref="BH4:BH67" si="8">BG4+(AY4+AZ4)*44/12</f>
        <v>266.45299152627967</v>
      </c>
      <c r="BI4" s="59">
        <f ca="1">AVERAGE(OFFSET($BH$3,0,0,'Données projet'!$E$11+1,1))-AVERAGE(OFFSET($H$3,0,0,'Données projet'!$E$11+1,1))</f>
        <v>581.88778927327667</v>
      </c>
      <c r="BJ4" s="59">
        <f>$BJ$3</f>
        <v>269.67340993773422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3.6990051428571427</v>
      </c>
      <c r="CA4" s="13">
        <f>EXP(-1.0587+0.8836*LN(BZ4)+0.284)</f>
        <v>1.4639016946999945</v>
      </c>
      <c r="CB4" s="20">
        <f t="shared" ref="CB4:CB67" si="10">(BZ4+CA4)*0.475*44/12</f>
        <v>8.9920627420786783</v>
      </c>
      <c r="CC4" s="59">
        <f t="shared" ref="CC4:CC67" si="11">CB4+(BT4+BU4)*44/12</f>
        <v>266.88095163096756</v>
      </c>
      <c r="CD4" s="59">
        <f ca="1">AVERAGE(OFFSET($CC$3,0,0,'Données projet'!$E$12+1,1))-AVERAGE(OFFSET($H$3,0,0,'Données projet'!$E$12+1,1))</f>
        <v>609.60019207204277</v>
      </c>
      <c r="CE4" s="59">
        <f>$CE$3</f>
        <v>281.42238288764503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0.55877500000000002</v>
      </c>
      <c r="CT4" s="12">
        <f>IF('Données projet'!$A$140&gt;35,CT3+CS4-DB3,IF(A4&lt;'Données projet'!$A$140,$CQ$205^A4,IF(A4='Données projet'!$A$140,'Données projet'!$B$140,CT3+CS4-DB3)))</f>
        <v>1.1877463287677161</v>
      </c>
      <c r="CU4" s="17">
        <f>CT4*VLOOKUP('Données projet'!$B$13,Paramètres!$A$1:$I$89,3,0)*VLOOKUP('Données projet'!$B$13,Paramètres!$A$1:$I$89,5,0)</f>
        <v>0.94497097916759498</v>
      </c>
      <c r="CV4" s="13">
        <f>EXP(-1.0587+0.8836*LN(CU4)+0.284)</f>
        <v>0.43836091623871104</v>
      </c>
      <c r="CW4" s="20">
        <f t="shared" ref="CW4:CW67" si="13">(CU4+CV4)*0.475*44/12</f>
        <v>2.409303051165983</v>
      </c>
      <c r="CX4" s="59">
        <f t="shared" ref="CX4:CX67" si="14">CW4+(CO4+CP4)*44/12</f>
        <v>260.29819194005483</v>
      </c>
      <c r="CY4" s="59">
        <f ca="1">AVERAGE(OFFSET($CX$3,0,0,'Données projet'!$E$13+1,1))-AVERAGE(OFFSET($H$3,0,0,'Données projet'!$E$13+1,1))</f>
        <v>172.13940525084604</v>
      </c>
      <c r="CZ4" s="59">
        <f>$CZ$3</f>
        <v>172.82328007157236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11.5</v>
      </c>
      <c r="DO4" s="12">
        <f>IF('Données projet'!$A$166&gt;35,DO3+DN4-DW3,IF(A4&lt;'Données projet'!$A$166,$DL$205^A4,IF(A4='Données projet'!$A$166,'Données projet'!$B$166,DO3+DN4-DW3)))</f>
        <v>1.6071994829923506</v>
      </c>
      <c r="DP4" s="17">
        <f>DO4*VLOOKUP('Données projet'!$B$14,Paramètres!$A$1:$I$89,3,0)*VLOOKUP('Données projet'!$B$14,Paramètres!$A$1:$I$89,5,0)</f>
        <v>1.1783986609299915</v>
      </c>
      <c r="DQ4" s="13">
        <f>EXP(-1.0587+0.8836*LN(DP4)+0.284)</f>
        <v>0.53277751568396181</v>
      </c>
      <c r="DR4" s="20">
        <f t="shared" ref="DR4:DR67" si="16">(DP4+DQ4)*0.475*44/12</f>
        <v>2.9802985076026349</v>
      </c>
      <c r="DS4" s="59">
        <f t="shared" ref="DS4:DS67" si="17">DR4+(DJ4+DK4)*44/12</f>
        <v>260.8691873964915</v>
      </c>
      <c r="DT4" s="59">
        <f ca="1">AVERAGE(OFFSET($DS$3,0,0,'Données projet'!$E$14+1,1))-AVERAGE(OFFSET($H$3,0,0,'Données projet'!$E$14+1,1))</f>
        <v>197.34725966440715</v>
      </c>
      <c r="DU4" s="59">
        <f>$DU$3</f>
        <v>240.16326570529532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2.6666666666666665</v>
      </c>
      <c r="EJ4" s="12">
        <f>IF('Données projet'!$A$192&gt;35,EJ3+EI4-ER3,IF(A4&lt;'Données projet'!$A$192,$EG$205^A4,IF(A4='Données projet'!$A$192,'Données projet'!$B$192,EJ3+EI4-ER3)))</f>
        <v>1.2788040393997409</v>
      </c>
      <c r="EK4" s="17">
        <f>EJ4*VLOOKUP('Données projet'!$B$15,Paramètres!$A$1:$I$89,3,0)*VLOOKUP('Données projet'!$B$15,Paramètres!$A$1:$I$89,5,0)</f>
        <v>0.99746715073179792</v>
      </c>
      <c r="EL4" s="13">
        <f>EXP(-1.0587+0.8836*LN(EK4)+0.284)</f>
        <v>0.45981048445793882</v>
      </c>
      <c r="EM4" s="20">
        <f t="shared" ref="EM4:EM67" si="19">(EK4+EL4)*0.475*44/12</f>
        <v>2.5380918812887914</v>
      </c>
      <c r="EN4" s="59">
        <f t="shared" ref="EN4:EN67" si="20">EM4+(EE4+EF4)*44/12</f>
        <v>260.42698077017764</v>
      </c>
      <c r="EO4" s="59">
        <f ca="1">AVERAGE(OFFSET($EN$3,0,0,'Données projet'!$E$15+1,1))-AVERAGE(OFFSET($H$3,0,0,'Données projet'!$E$15+1,1))</f>
        <v>288.82868507674738</v>
      </c>
      <c r="EP4" s="59">
        <f>$EP$3</f>
        <v>283.48738729114024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3.887142857142857</v>
      </c>
      <c r="N5" s="13">
        <f>IF('Données projet'!$A$36&gt;35,N4+M5-V4,IF(A5&lt;'Données projet'!$A$36,$K$205^A5,IF(A5='Données projet'!$A$36,'Données projet'!$B$36,N4+M5-V4)))</f>
        <v>7.774285714285714</v>
      </c>
      <c r="O5" s="13">
        <f>N5*VLOOKUP('Données projet'!$B$9,Paramètres!$A$1:$I$89,3,0)*VLOOKUP('Données projet'!$B$9,Paramètres!$A$1:$I$89,5,0)</f>
        <v>7.0341737142857141</v>
      </c>
      <c r="P5" s="13">
        <f t="shared" ref="P5:P68" si="33">EXP(-1.0587+0.8836*LN(O5)+0.284)</f>
        <v>2.5831495528484112</v>
      </c>
      <c r="Q5" s="20">
        <f t="shared" si="2"/>
        <v>16.750171356925268</v>
      </c>
      <c r="R5" s="59">
        <f t="shared" si="0"/>
        <v>275.86128246803639</v>
      </c>
      <c r="S5" s="59">
        <f ca="1">AVERAGE(OFFSET($R$3,0,0,'Données projet'!$E$9+1,1))-AVERAGE(OFFSET($H$3,0,0,'Données projet'!$E$9+1,1))</f>
        <v>581.88778927327667</v>
      </c>
      <c r="T5" s="59">
        <f t="shared" ref="T5:T68" si="34">$T$3</f>
        <v>269.67340993773422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</v>
      </c>
      <c r="AI5" s="13">
        <f>IF('Données projet'!$A$62&gt;35,AI4+AH5-AQ4,IF(A5&lt;'Données projet'!$A$62,$AF$205^A5,IF(A5='Données projet'!$A$62,'Données projet'!$B$62,AI4+AH5-AQ4)))</f>
        <v>1.5518455739153598</v>
      </c>
      <c r="AJ5" s="13">
        <f>AI5*VLOOKUP('Données projet'!$B$10,Paramètres!$A$1:$I$89,3,0)*VLOOKUP('Données projet'!$B$10,Paramètres!$A$1:$I$89,5,0)</f>
        <v>1.0167692200293437</v>
      </c>
      <c r="AK5" s="13">
        <f t="shared" ref="AK5:AK68" si="35">EXP(-1.0587+0.8836*LN(AJ5)+0.284)</f>
        <v>0.46766381619902025</v>
      </c>
      <c r="AL5" s="20">
        <f t="shared" si="4"/>
        <v>2.5853875380977338</v>
      </c>
      <c r="AM5" s="59">
        <f t="shared" si="5"/>
        <v>261.69649864920888</v>
      </c>
      <c r="AN5" s="59">
        <f ca="1">AVERAGE(OFFSET($AM$3,0,0,'Données projet'!$E$10+1,1))-AVERAGE(OFFSET($H$3,0,0,'Données projet'!$E$10+1,1))</f>
        <v>230.58262378842818</v>
      </c>
      <c r="AO5" s="59">
        <f t="shared" ref="AO5:AO68" si="36">$AO$3</f>
        <v>235.68746142880792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7.0341737142857141</v>
      </c>
      <c r="BF5" s="13">
        <f t="shared" ref="BF5:BF68" si="37">EXP(-1.0587+0.8836*LN(BE5)+0.284)</f>
        <v>2.5831495528484112</v>
      </c>
      <c r="BG5" s="20">
        <f t="shared" si="7"/>
        <v>16.750171356925268</v>
      </c>
      <c r="BH5" s="59">
        <f t="shared" si="8"/>
        <v>275.86128246803639</v>
      </c>
      <c r="BI5" s="59">
        <f ca="1">AVERAGE(OFFSET($BH$3,0,0,'Données projet'!$E$11+1,1))-AVERAGE(OFFSET($H$3,0,0,'Données projet'!$E$11+1,1))</f>
        <v>581.88778927327667</v>
      </c>
      <c r="BJ5" s="59">
        <f t="shared" ref="BJ5:BJ68" si="38">$BJ$3</f>
        <v>269.67340993773422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7.3980102857142853</v>
      </c>
      <c r="CA5" s="13">
        <f t="shared" ref="CA5:CA68" si="39">EXP(-1.0587+0.8836*LN(BZ5)+0.284)</f>
        <v>2.7008596564123262</v>
      </c>
      <c r="CB5" s="20">
        <f t="shared" si="10"/>
        <v>17.588865149203851</v>
      </c>
      <c r="CC5" s="59">
        <f t="shared" si="11"/>
        <v>276.699976260315</v>
      </c>
      <c r="CD5" s="59">
        <f ca="1">AVERAGE(OFFSET($CC$3,0,0,'Données projet'!$E$12+1,1))-AVERAGE(OFFSET($H$3,0,0,'Données projet'!$E$12+1,1))</f>
        <v>609.60019207204277</v>
      </c>
      <c r="CE5" s="59">
        <f t="shared" ref="CE5:CE68" si="40">$CE$3</f>
        <v>281.42238288764503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0.55877500000000002</v>
      </c>
      <c r="CT5" s="12">
        <f>IF('Données projet'!$A$140&gt;35,CT4+CS5-DB4,IF(A5&lt;'Données projet'!$A$140,$CQ$205^A5,IF(A5='Données projet'!$A$140,'Données projet'!$B$140,CT4+CS5-DB4)))</f>
        <v>1.4107413415011876</v>
      </c>
      <c r="CU5" s="17">
        <f>CT5*VLOOKUP('Données projet'!$B$13,Paramètres!$A$1:$I$89,3,0)*VLOOKUP('Données projet'!$B$13,Paramètres!$A$1:$I$89,5,0)</f>
        <v>1.1223858112983449</v>
      </c>
      <c r="CV5" s="13">
        <f t="shared" ref="CV5:CV68" si="41">EXP(-1.0587+0.8836*LN(CU5)+0.284)</f>
        <v>0.51033773809756844</v>
      </c>
      <c r="CW5" s="20">
        <f t="shared" si="13"/>
        <v>2.8436601818645486</v>
      </c>
      <c r="CX5" s="59">
        <f t="shared" si="14"/>
        <v>261.95477129297569</v>
      </c>
      <c r="CY5" s="59">
        <f ca="1">AVERAGE(OFFSET($CX$3,0,0,'Données projet'!$E$13+1,1))-AVERAGE(OFFSET($H$3,0,0,'Données projet'!$E$13+1,1))</f>
        <v>172.13940525084604</v>
      </c>
      <c r="CZ5" s="59">
        <f t="shared" ref="CZ5:CZ68" si="42">$CZ$3</f>
        <v>172.82328007157236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11.5</v>
      </c>
      <c r="DO5" s="12">
        <f>IF('Données projet'!$A$166&gt;35,DO4+DN5-DW4,IF(A5&lt;'Données projet'!$A$166,$DL$205^A5,IF(A5='Données projet'!$A$166,'Données projet'!$B$166,DO4+DN5-DW4)))</f>
        <v>2.5830901781308793</v>
      </c>
      <c r="DP5" s="17">
        <f>DO5*VLOOKUP('Données projet'!$B$14,Paramètres!$A$1:$I$89,3,0)*VLOOKUP('Données projet'!$B$14,Paramètres!$A$1:$I$89,5,0)</f>
        <v>1.8939217186055606</v>
      </c>
      <c r="DQ5" s="13">
        <f t="shared" ref="DQ5:DQ68" si="43">EXP(-1.0587+0.8836*LN(DP5)+0.284)</f>
        <v>0.81026886193479808</v>
      </c>
      <c r="DR5" s="20">
        <f t="shared" si="16"/>
        <v>4.709798594441124</v>
      </c>
      <c r="DS5" s="59">
        <f t="shared" si="17"/>
        <v>263.82090970555225</v>
      </c>
      <c r="DT5" s="59">
        <f ca="1">AVERAGE(OFFSET($DS$3,0,0,'Données projet'!$E$14+1,1))-AVERAGE(OFFSET($H$3,0,0,'Données projet'!$E$14+1,1))</f>
        <v>197.34725966440715</v>
      </c>
      <c r="DU5" s="59">
        <f t="shared" ref="DU5:DU68" si="44">$DU$3</f>
        <v>240.16326570529532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2.6666666666666665</v>
      </c>
      <c r="EJ5" s="12">
        <f>IF('Données projet'!$A$192&gt;35,EJ4+EI5-ER4,IF(A5&lt;'Données projet'!$A$192,$EG$205^A5,IF(A5='Données projet'!$A$192,'Données projet'!$B$192,EJ4+EI5-ER4)))</f>
        <v>1.6353397711850939</v>
      </c>
      <c r="EK5" s="17">
        <f>EJ5*VLOOKUP('Données projet'!$B$15,Paramètres!$A$1:$I$89,3,0)*VLOOKUP('Données projet'!$B$15,Paramètres!$A$1:$I$89,5,0)</f>
        <v>1.2755650215243732</v>
      </c>
      <c r="EL5" s="13">
        <f t="shared" ref="EL5:EL68" si="45">EXP(-1.0587+0.8836*LN(EK5)+0.284)</f>
        <v>0.57141400910743001</v>
      </c>
      <c r="EM5" s="20">
        <f t="shared" si="19"/>
        <v>3.2168218116837237</v>
      </c>
      <c r="EN5" s="59">
        <f t="shared" si="20"/>
        <v>262.32793292279484</v>
      </c>
      <c r="EO5" s="59">
        <f ca="1">AVERAGE(OFFSET($EN$3,0,0,'Données projet'!$E$15+1,1))-AVERAGE(OFFSET($H$3,0,0,'Données projet'!$E$15+1,1))</f>
        <v>288.82868507674738</v>
      </c>
      <c r="EP5" s="59">
        <f t="shared" ref="EP5:EP68" si="46">$EP$3</f>
        <v>283.48738729114024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3.887142857142857</v>
      </c>
      <c r="N6" s="13">
        <f>IF('Données projet'!$A$36&gt;35,N5+M6-V5,IF(A6&lt;'Données projet'!$A$36,$K$205^A6,IF(A6='Données projet'!$A$36,'Données projet'!$B$36,N5+M6-V5)))</f>
        <v>11.661428571428571</v>
      </c>
      <c r="O6" s="13">
        <f>N6*VLOOKUP('Données projet'!$B$9,Paramètres!$A$1:$I$89,3,0)*VLOOKUP('Données projet'!$B$9,Paramètres!$A$1:$I$89,5,0)</f>
        <v>10.551260571428571</v>
      </c>
      <c r="P6" s="13">
        <f t="shared" si="33"/>
        <v>3.6961006326523931</v>
      </c>
      <c r="Q6" s="20">
        <f t="shared" si="2"/>
        <v>24.814154097107675</v>
      </c>
      <c r="R6" s="59">
        <f t="shared" si="0"/>
        <v>285.147487430441</v>
      </c>
      <c r="S6" s="59">
        <f ca="1">AVERAGE(OFFSET($R$3,0,0,'Données projet'!$E$9+1,1))-AVERAGE(OFFSET($H$3,0,0,'Données projet'!$E$9+1,1))</f>
        <v>581.88778927327667</v>
      </c>
      <c r="T6" s="59">
        <f t="shared" si="34"/>
        <v>269.67340993773422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</v>
      </c>
      <c r="AI6" s="13">
        <f>IF('Données projet'!$A$62&gt;35,AI5+AH6-AQ5,IF(A6&lt;'Données projet'!$A$62,$AF$205^A6,IF(A6='Données projet'!$A$62,'Données projet'!$B$62,AI5+AH6-AQ5)))</f>
        <v>1.9331820449317632</v>
      </c>
      <c r="AJ6" s="13">
        <f>AI6*VLOOKUP('Données projet'!$B$10,Paramètres!$A$1:$I$89,3,0)*VLOOKUP('Données projet'!$B$10,Paramètres!$A$1:$I$89,5,0)</f>
        <v>1.2666208758392912</v>
      </c>
      <c r="AK6" s="13">
        <f t="shared" si="35"/>
        <v>0.56787223780909624</v>
      </c>
      <c r="AL6" s="20">
        <f t="shared" si="4"/>
        <v>3.1950755062709413</v>
      </c>
      <c r="AM6" s="59">
        <f t="shared" si="5"/>
        <v>263.52840883960425</v>
      </c>
      <c r="AN6" s="59">
        <f ca="1">AVERAGE(OFFSET($AM$3,0,0,'Données projet'!$E$10+1,1))-AVERAGE(OFFSET($H$3,0,0,'Données projet'!$E$10+1,1))</f>
        <v>230.58262378842818</v>
      </c>
      <c r="AO6" s="59">
        <f t="shared" si="36"/>
        <v>235.68746142880792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10.551260571428571</v>
      </c>
      <c r="BF6" s="13">
        <f t="shared" si="37"/>
        <v>3.6961006326523931</v>
      </c>
      <c r="BG6" s="20">
        <f t="shared" si="7"/>
        <v>24.814154097107675</v>
      </c>
      <c r="BH6" s="59">
        <f t="shared" si="8"/>
        <v>285.147487430441</v>
      </c>
      <c r="BI6" s="59">
        <f ca="1">AVERAGE(OFFSET($BH$3,0,0,'Données projet'!$E$11+1,1))-AVERAGE(OFFSET($H$3,0,0,'Données projet'!$E$11+1,1))</f>
        <v>581.88778927327667</v>
      </c>
      <c r="BJ6" s="59">
        <f t="shared" si="38"/>
        <v>269.67340993773422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11.097015428571428</v>
      </c>
      <c r="CA6" s="13">
        <f t="shared" si="39"/>
        <v>3.8645261842324077</v>
      </c>
      <c r="CB6" s="20">
        <f t="shared" si="10"/>
        <v>26.05801830896668</v>
      </c>
      <c r="CC6" s="59">
        <f t="shared" si="11"/>
        <v>286.39135164229998</v>
      </c>
      <c r="CD6" s="59">
        <f ca="1">AVERAGE(OFFSET($CC$3,0,0,'Données projet'!$E$12+1,1))-AVERAGE(OFFSET($H$3,0,0,'Données projet'!$E$12+1,1))</f>
        <v>609.60019207204277</v>
      </c>
      <c r="CE6" s="59">
        <f t="shared" si="40"/>
        <v>281.42238288764503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0.55877500000000002</v>
      </c>
      <c r="CT6" s="12">
        <f>IF('Données projet'!$A$140&gt;35,CT5+CS6-DB5,IF(A6&lt;'Données projet'!$A$140,$CQ$205^A6,IF(A6='Données projet'!$A$140,'Données projet'!$B$140,CT5+CS6-DB5)))</f>
        <v>1.6756028492088784</v>
      </c>
      <c r="CU6" s="17">
        <f>CT6*VLOOKUP('Données projet'!$B$13,Paramètres!$A$1:$I$89,3,0)*VLOOKUP('Données projet'!$B$13,Paramètres!$A$1:$I$89,5,0)</f>
        <v>1.3331096268305838</v>
      </c>
      <c r="CV6" s="13">
        <f t="shared" si="41"/>
        <v>0.59413281905067539</v>
      </c>
      <c r="CW6" s="20">
        <f t="shared" si="13"/>
        <v>3.3566139265765265</v>
      </c>
      <c r="CX6" s="59">
        <f t="shared" si="14"/>
        <v>263.68994725990984</v>
      </c>
      <c r="CY6" s="59">
        <f ca="1">AVERAGE(OFFSET($CX$3,0,0,'Données projet'!$E$13+1,1))-AVERAGE(OFFSET($H$3,0,0,'Données projet'!$E$13+1,1))</f>
        <v>172.13940525084604</v>
      </c>
      <c r="CZ6" s="59">
        <f t="shared" si="42"/>
        <v>172.82328007157236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11.5</v>
      </c>
      <c r="DO6" s="12">
        <f>IF('Données projet'!$A$166&gt;35,DO5+DN6-DW5,IF(A6&lt;'Données projet'!$A$166,$DL$205^A6,IF(A6='Données projet'!$A$166,'Données projet'!$B$166,DO5+DN6-DW5)))</f>
        <v>4.1515411988145683</v>
      </c>
      <c r="DP6" s="17">
        <f>DO6*VLOOKUP('Données projet'!$B$14,Paramètres!$A$1:$I$89,3,0)*VLOOKUP('Données projet'!$B$14,Paramètres!$A$1:$I$89,5,0)</f>
        <v>3.0439100069708416</v>
      </c>
      <c r="DQ6" s="13">
        <f t="shared" si="43"/>
        <v>1.2322885431422059</v>
      </c>
      <c r="DR6" s="20">
        <f t="shared" si="16"/>
        <v>7.447712474780225</v>
      </c>
      <c r="DS6" s="59">
        <f t="shared" si="17"/>
        <v>267.78104580811356</v>
      </c>
      <c r="DT6" s="59">
        <f ca="1">AVERAGE(OFFSET($DS$3,0,0,'Données projet'!$E$14+1,1))-AVERAGE(OFFSET($H$3,0,0,'Données projet'!$E$14+1,1))</f>
        <v>197.34725966440715</v>
      </c>
      <c r="DU6" s="59">
        <f t="shared" si="44"/>
        <v>240.16326570529532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2.6666666666666665</v>
      </c>
      <c r="EJ6" s="12">
        <f>IF('Données projet'!$A$192&gt;35,EJ5+EI6-ER5,IF(A6&lt;'Données projet'!$A$192,$EG$205^A6,IF(A6='Données projet'!$A$192,'Données projet'!$B$192,EJ5+EI6-ER5)))</f>
        <v>2.0912791051825459</v>
      </c>
      <c r="EK6" s="17">
        <f>EJ6*VLOOKUP('Données projet'!$B$15,Paramètres!$A$1:$I$89,3,0)*VLOOKUP('Données projet'!$B$15,Paramètres!$A$1:$I$89,5,0)</f>
        <v>1.6311977020423858</v>
      </c>
      <c r="EL6" s="13">
        <f t="shared" si="45"/>
        <v>0.71010553443370616</v>
      </c>
      <c r="EM6" s="20">
        <f t="shared" si="19"/>
        <v>4.0777698035291934</v>
      </c>
      <c r="EN6" s="59">
        <f t="shared" si="20"/>
        <v>264.41110313686249</v>
      </c>
      <c r="EO6" s="59">
        <f ca="1">AVERAGE(OFFSET($EN$3,0,0,'Données projet'!$E$15+1,1))-AVERAGE(OFFSET($H$3,0,0,'Données projet'!$E$15+1,1))</f>
        <v>288.82868507674738</v>
      </c>
      <c r="EP6" s="59">
        <f t="shared" si="46"/>
        <v>283.48738729114024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3.887142857142857</v>
      </c>
      <c r="N7" s="13">
        <f>IF('Données projet'!$A$36&gt;35,N6+M7-V6,IF(A7&lt;'Données projet'!$A$36,$K$205^A7,IF(A7='Données projet'!$A$36,'Données projet'!$B$36,N6+M7-V6)))</f>
        <v>15.548571428571428</v>
      </c>
      <c r="O7" s="13">
        <f>N7*VLOOKUP('Données projet'!$B$9,Paramètres!$A$1:$I$89,3,0)*VLOOKUP('Données projet'!$B$9,Paramètres!$A$1:$I$89,5,0)</f>
        <v>14.068347428571428</v>
      </c>
      <c r="P7" s="13">
        <f t="shared" si="33"/>
        <v>4.7658421593654818</v>
      </c>
      <c r="Q7" s="20">
        <f t="shared" si="2"/>
        <v>32.802880198990124</v>
      </c>
      <c r="R7" s="59">
        <f t="shared" si="0"/>
        <v>294.35843575454567</v>
      </c>
      <c r="S7" s="59">
        <f ca="1">AVERAGE(OFFSET($R$3,0,0,'Données projet'!$E$9+1,1))-AVERAGE(OFFSET($H$3,0,0,'Données projet'!$E$9+1,1))</f>
        <v>581.88778927327667</v>
      </c>
      <c r="T7" s="59">
        <f t="shared" si="34"/>
        <v>269.67340993773422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</v>
      </c>
      <c r="AI7" s="13">
        <f>IF('Données projet'!$A$62&gt;35,AI6+AH7-AQ6,IF(A7&lt;'Données projet'!$A$62,$AF$205^A7,IF(A7='Données projet'!$A$62,'Données projet'!$B$62,AI6+AH7-AQ6)))</f>
        <v>2.4082246852806923</v>
      </c>
      <c r="AJ7" s="13">
        <f>AI7*VLOOKUP('Données projet'!$B$10,Paramètres!$A$1:$I$89,3,0)*VLOOKUP('Données projet'!$B$10,Paramètres!$A$1:$I$89,5,0)</f>
        <v>1.5778688137959096</v>
      </c>
      <c r="AK7" s="13">
        <f t="shared" si="35"/>
        <v>0.68955276697540291</v>
      </c>
      <c r="AL7" s="20">
        <f t="shared" si="4"/>
        <v>3.9490925865100355</v>
      </c>
      <c r="AM7" s="59">
        <f t="shared" si="5"/>
        <v>265.50464814206561</v>
      </c>
      <c r="AN7" s="59">
        <f ca="1">AVERAGE(OFFSET($AM$3,0,0,'Données projet'!$E$10+1,1))-AVERAGE(OFFSET($H$3,0,0,'Données projet'!$E$10+1,1))</f>
        <v>230.58262378842818</v>
      </c>
      <c r="AO7" s="59">
        <f t="shared" si="36"/>
        <v>235.68746142880792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14.068347428571428</v>
      </c>
      <c r="BF7" s="13">
        <f t="shared" si="37"/>
        <v>4.7658421593654818</v>
      </c>
      <c r="BG7" s="20">
        <f t="shared" si="7"/>
        <v>32.802880198990124</v>
      </c>
      <c r="BH7" s="59">
        <f t="shared" si="8"/>
        <v>294.35843575454567</v>
      </c>
      <c r="BI7" s="59">
        <f ca="1">AVERAGE(OFFSET($BH$3,0,0,'Données projet'!$E$11+1,1))-AVERAGE(OFFSET($H$3,0,0,'Données projet'!$E$11+1,1))</f>
        <v>581.88778927327667</v>
      </c>
      <c r="BJ7" s="59">
        <f t="shared" si="38"/>
        <v>269.67340993773422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14.796020571428571</v>
      </c>
      <c r="CA7" s="13">
        <f t="shared" si="39"/>
        <v>4.9830141668977559</v>
      </c>
      <c r="CB7" s="20">
        <f t="shared" si="10"/>
        <v>34.448485502585022</v>
      </c>
      <c r="CC7" s="59">
        <f t="shared" si="11"/>
        <v>296.00404105814056</v>
      </c>
      <c r="CD7" s="59">
        <f ca="1">AVERAGE(OFFSET($CC$3,0,0,'Données projet'!$E$12+1,1))-AVERAGE(OFFSET($H$3,0,0,'Données projet'!$E$12+1,1))</f>
        <v>609.60019207204277</v>
      </c>
      <c r="CE7" s="59">
        <f t="shared" si="40"/>
        <v>281.42238288764503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0.55877500000000002</v>
      </c>
      <c r="CT7" s="12">
        <f>IF('Données projet'!$A$140&gt;35,CT6+CS7-DB6,IF(A7&lt;'Données projet'!$A$140,$CQ$205^A7,IF(A7='Données projet'!$A$140,'Données projet'!$B$140,CT6+CS7-DB6)))</f>
        <v>1.9901911326205703</v>
      </c>
      <c r="CU7" s="17">
        <f>CT7*VLOOKUP('Données projet'!$B$13,Paramètres!$A$1:$I$89,3,0)*VLOOKUP('Données projet'!$B$13,Paramètres!$A$1:$I$89,5,0)</f>
        <v>1.583396065112926</v>
      </c>
      <c r="CV7" s="13">
        <f t="shared" si="41"/>
        <v>0.69168666222684028</v>
      </c>
      <c r="CW7" s="20">
        <f t="shared" si="13"/>
        <v>3.9624357501167595</v>
      </c>
      <c r="CX7" s="59">
        <f t="shared" si="14"/>
        <v>265.5179913056723</v>
      </c>
      <c r="CY7" s="59">
        <f ca="1">AVERAGE(OFFSET($CX$3,0,0,'Données projet'!$E$13+1,1))-AVERAGE(OFFSET($H$3,0,0,'Données projet'!$E$13+1,1))</f>
        <v>172.13940525084604</v>
      </c>
      <c r="CZ7" s="59">
        <f t="shared" si="42"/>
        <v>172.82328007157236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11.5</v>
      </c>
      <c r="DO7" s="12">
        <f>IF('Données projet'!$A$166&gt;35,DO6+DN7-DW6,IF(A7&lt;'Données projet'!$A$166,$DL$205^A7,IF(A7='Données projet'!$A$166,'Données projet'!$B$166,DO6+DN7-DW6)))</f>
        <v>6.6723548683562175</v>
      </c>
      <c r="DP7" s="17">
        <f>DO7*VLOOKUP('Données projet'!$B$14,Paramètres!$A$1:$I$89,3,0)*VLOOKUP('Données projet'!$B$14,Paramètres!$A$1:$I$89,5,0)</f>
        <v>4.8921705894787788</v>
      </c>
      <c r="DQ7" s="13">
        <f t="shared" si="43"/>
        <v>1.8741125629997808</v>
      </c>
      <c r="DR7" s="20">
        <f t="shared" si="16"/>
        <v>11.784609823900155</v>
      </c>
      <c r="DS7" s="59">
        <f t="shared" si="17"/>
        <v>273.3401653794557</v>
      </c>
      <c r="DT7" s="59">
        <f ca="1">AVERAGE(OFFSET($DS$3,0,0,'Données projet'!$E$14+1,1))-AVERAGE(OFFSET($H$3,0,0,'Données projet'!$E$14+1,1))</f>
        <v>197.34725966440715</v>
      </c>
      <c r="DU7" s="59">
        <f t="shared" si="44"/>
        <v>240.16326570529532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2.6666666666666665</v>
      </c>
      <c r="EJ7" s="12">
        <f>IF('Données projet'!$A$192&gt;35,EJ6+EI7-ER6,IF(A7&lt;'Données projet'!$A$192,$EG$205^A7,IF(A7='Données projet'!$A$192,'Données projet'!$B$192,EJ6+EI7-ER6)))</f>
        <v>2.6743361672197152</v>
      </c>
      <c r="EK7" s="17">
        <f>EJ7*VLOOKUP('Données projet'!$B$15,Paramètres!$A$1:$I$89,3,0)*VLOOKUP('Données projet'!$B$15,Paramètres!$A$1:$I$89,5,0)</f>
        <v>2.0859822104313781</v>
      </c>
      <c r="EL7" s="13">
        <f t="shared" si="45"/>
        <v>0.88245976121767966</v>
      </c>
      <c r="EM7" s="20">
        <f t="shared" si="19"/>
        <v>5.1700364339554419</v>
      </c>
      <c r="EN7" s="59">
        <f t="shared" si="20"/>
        <v>266.72559198951097</v>
      </c>
      <c r="EO7" s="59">
        <f ca="1">AVERAGE(OFFSET($EN$3,0,0,'Données projet'!$E$15+1,1))-AVERAGE(OFFSET($H$3,0,0,'Données projet'!$E$15+1,1))</f>
        <v>288.82868507674738</v>
      </c>
      <c r="EP7" s="59">
        <f t="shared" si="46"/>
        <v>283.48738729114024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3.887142857142857</v>
      </c>
      <c r="N8" s="13">
        <f>IF('Données projet'!$A$36&gt;35,N7+M8-V7,IF(A8&lt;'Données projet'!$A$36,$K$205^A8,IF(A8='Données projet'!$A$36,'Données projet'!$B$36,N7+M8-V7)))</f>
        <v>19.435714285714283</v>
      </c>
      <c r="O8" s="13">
        <f>N8*VLOOKUP('Données projet'!$B$9,Paramètres!$A$1:$I$89,3,0)*VLOOKUP('Données projet'!$B$9,Paramètres!$A$1:$I$89,5,0)</f>
        <v>17.585434285714282</v>
      </c>
      <c r="P8" s="13">
        <f t="shared" si="33"/>
        <v>5.804560501905633</v>
      </c>
      <c r="Q8" s="20">
        <f t="shared" si="2"/>
        <v>40.737574255104683</v>
      </c>
      <c r="R8" s="59">
        <f t="shared" si="0"/>
        <v>303.51535203288245</v>
      </c>
      <c r="S8" s="59">
        <f ca="1">AVERAGE(OFFSET($R$3,0,0,'Données projet'!$E$9+1,1))-AVERAGE(OFFSET($H$3,0,0,'Données projet'!$E$9+1,1))</f>
        <v>581.88778927327667</v>
      </c>
      <c r="T8" s="59">
        <f t="shared" si="34"/>
        <v>269.67340993773422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</v>
      </c>
      <c r="AI8" s="13">
        <f>IF('Données projet'!$A$62&gt;35,AI7+AH8-AQ7,IF(A8&lt;'Données projet'!$A$62,$AF$205^A8,IF(A8='Données projet'!$A$62,'Données projet'!$B$62,AI7+AH8-AQ7)))</f>
        <v>3.0000000000000004</v>
      </c>
      <c r="AJ8" s="13">
        <f>AI8*VLOOKUP('Données projet'!$B$10,Paramètres!$A$1:$I$89,3,0)*VLOOKUP('Données projet'!$B$10,Paramètres!$A$1:$I$89,5,0)</f>
        <v>1.9656000000000005</v>
      </c>
      <c r="AK8" s="13">
        <f t="shared" si="35"/>
        <v>0.83730632840564978</v>
      </c>
      <c r="AL8" s="20">
        <f t="shared" si="4"/>
        <v>4.8817285219731739</v>
      </c>
      <c r="AM8" s="59">
        <f t="shared" si="5"/>
        <v>267.65950629975094</v>
      </c>
      <c r="AN8" s="59">
        <f ca="1">AVERAGE(OFFSET($AM$3,0,0,'Données projet'!$E$10+1,1))-AVERAGE(OFFSET($H$3,0,0,'Données projet'!$E$10+1,1))</f>
        <v>230.58262378842818</v>
      </c>
      <c r="AO8" s="59">
        <f t="shared" si="36"/>
        <v>235.68746142880792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17.585434285714282</v>
      </c>
      <c r="BF8" s="13">
        <f t="shared" si="37"/>
        <v>5.804560501905633</v>
      </c>
      <c r="BG8" s="20">
        <f t="shared" si="7"/>
        <v>40.737574255104683</v>
      </c>
      <c r="BH8" s="59">
        <f t="shared" si="8"/>
        <v>303.51535203288245</v>
      </c>
      <c r="BI8" s="59">
        <f ca="1">AVERAGE(OFFSET($BH$3,0,0,'Données projet'!$E$11+1,1))-AVERAGE(OFFSET($H$3,0,0,'Données projet'!$E$11+1,1))</f>
        <v>581.88778927327667</v>
      </c>
      <c r="BJ8" s="59">
        <f t="shared" si="38"/>
        <v>269.67340993773422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18.495025714285713</v>
      </c>
      <c r="CA8" s="13">
        <f t="shared" si="39"/>
        <v>6.0690652871856443</v>
      </c>
      <c r="CB8" s="20">
        <f t="shared" si="10"/>
        <v>42.782458494229274</v>
      </c>
      <c r="CC8" s="59">
        <f t="shared" si="11"/>
        <v>305.56023627200705</v>
      </c>
      <c r="CD8" s="59">
        <f ca="1">AVERAGE(OFFSET($CC$3,0,0,'Données projet'!$E$12+1,1))-AVERAGE(OFFSET($H$3,0,0,'Données projet'!$E$12+1,1))</f>
        <v>609.60019207204277</v>
      </c>
      <c r="CE8" s="59">
        <f t="shared" si="40"/>
        <v>281.42238288764503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0.55877500000000002</v>
      </c>
      <c r="CT8" s="12">
        <f>IF('Données projet'!$A$140&gt;35,CT7+CS8-DB7,IF(A8&lt;'Données projet'!$A$140,$CQ$205^A8,IF(A8='Données projet'!$A$140,'Données projet'!$B$140,CT7+CS8-DB7)))</f>
        <v>2.3638422113161455</v>
      </c>
      <c r="CU8" s="17">
        <f>CT8*VLOOKUP('Données projet'!$B$13,Paramètres!$A$1:$I$89,3,0)*VLOOKUP('Données projet'!$B$13,Paramètres!$A$1:$I$89,5,0)</f>
        <v>1.8806728633231256</v>
      </c>
      <c r="CV8" s="13">
        <f t="shared" si="41"/>
        <v>0.805258392335503</v>
      </c>
      <c r="CW8" s="20">
        <f t="shared" si="13"/>
        <v>4.6779969369387784</v>
      </c>
      <c r="CX8" s="59">
        <f t="shared" si="14"/>
        <v>267.45577471471654</v>
      </c>
      <c r="CY8" s="59">
        <f ca="1">AVERAGE(OFFSET($CX$3,0,0,'Données projet'!$E$13+1,1))-AVERAGE(OFFSET($H$3,0,0,'Données projet'!$E$13+1,1))</f>
        <v>172.13940525084604</v>
      </c>
      <c r="CZ8" s="59">
        <f t="shared" si="42"/>
        <v>172.82328007157236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11.5</v>
      </c>
      <c r="DO8" s="12">
        <f>IF('Données projet'!$A$166&gt;35,DO7+DN8-DW7,IF(A8&lt;'Données projet'!$A$166,$DL$205^A8,IF(A8='Données projet'!$A$166,'Données projet'!$B$166,DO7+DN8-DW7)))</f>
        <v>10.723805294763606</v>
      </c>
      <c r="DP8" s="17">
        <f>DO8*VLOOKUP('Données projet'!$B$14,Paramètres!$A$1:$I$89,3,0)*VLOOKUP('Données projet'!$B$14,Paramètres!$A$1:$I$89,5,0)</f>
        <v>7.8626940421206752</v>
      </c>
      <c r="DQ8" s="13">
        <f t="shared" si="43"/>
        <v>2.8502236090239195</v>
      </c>
      <c r="DR8" s="20">
        <f t="shared" si="16"/>
        <v>18.658331575743503</v>
      </c>
      <c r="DS8" s="59">
        <f t="shared" si="17"/>
        <v>281.43610935352126</v>
      </c>
      <c r="DT8" s="59">
        <f ca="1">AVERAGE(OFFSET($DS$3,0,0,'Données projet'!$E$14+1,1))-AVERAGE(OFFSET($H$3,0,0,'Données projet'!$E$14+1,1))</f>
        <v>197.34725966440715</v>
      </c>
      <c r="DU8" s="59">
        <f t="shared" si="44"/>
        <v>240.16326570529532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2.6666666666666665</v>
      </c>
      <c r="EJ8" s="12">
        <f>IF('Données projet'!$A$192&gt;35,EJ7+EI8-ER7,IF(A8&lt;'Données projet'!$A$192,$EG$205^A8,IF(A8='Données projet'!$A$192,'Données projet'!$B$192,EJ7+EI8-ER7)))</f>
        <v>3.4199518933533928</v>
      </c>
      <c r="EK8" s="17">
        <f>EJ8*VLOOKUP('Données projet'!$B$15,Paramètres!$A$1:$I$89,3,0)*VLOOKUP('Données projet'!$B$15,Paramètres!$A$1:$I$89,5,0)</f>
        <v>2.6675624768156463</v>
      </c>
      <c r="EL8" s="13">
        <f t="shared" si="45"/>
        <v>1.0966471776471767</v>
      </c>
      <c r="EM8" s="20">
        <f t="shared" si="19"/>
        <v>6.5559984815227494</v>
      </c>
      <c r="EN8" s="59">
        <f t="shared" si="20"/>
        <v>269.33377625930052</v>
      </c>
      <c r="EO8" s="59">
        <f ca="1">AVERAGE(OFFSET($EN$3,0,0,'Données projet'!$E$15+1,1))-AVERAGE(OFFSET($H$3,0,0,'Données projet'!$E$15+1,1))</f>
        <v>288.82868507674738</v>
      </c>
      <c r="EP8" s="59">
        <f t="shared" si="46"/>
        <v>283.48738729114024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3.887142857142857</v>
      </c>
      <c r="N9" s="13">
        <f>IF('Données projet'!$A$36&gt;35,N8+M9-V8,IF(A9&lt;'Données projet'!$A$36,$K$205^A9,IF(A9='Données projet'!$A$36,'Données projet'!$B$36,N8+M9-V8)))</f>
        <v>23.322857142857139</v>
      </c>
      <c r="O9" s="13">
        <f>N9*VLOOKUP('Données projet'!$B$9,Paramètres!$A$1:$I$89,3,0)*VLOOKUP('Données projet'!$B$9,Paramètres!$A$1:$I$89,5,0)</f>
        <v>21.102521142857139</v>
      </c>
      <c r="P9" s="13">
        <f t="shared" si="33"/>
        <v>6.8192072738987575</v>
      </c>
      <c r="Q9" s="20">
        <f t="shared" si="2"/>
        <v>48.630343659183183</v>
      </c>
      <c r="R9" s="59">
        <f t="shared" si="0"/>
        <v>312.63034365918315</v>
      </c>
      <c r="S9" s="59">
        <f ca="1">AVERAGE(OFFSET($R$3,0,0,'Données projet'!$E$9+1,1))-AVERAGE(OFFSET($H$3,0,0,'Données projet'!$E$9+1,1))</f>
        <v>581.88778927327667</v>
      </c>
      <c r="T9" s="59">
        <f t="shared" si="34"/>
        <v>269.67340993773422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</v>
      </c>
      <c r="AI9" s="13">
        <f>IF('Données projet'!$A$62&gt;35,AI8+AH9-AQ8,IF(A9&lt;'Données projet'!$A$62,$AF$205^A9,IF(A9='Données projet'!$A$62,'Données projet'!$B$62,AI8+AH9-AQ8)))</f>
        <v>3.7371928188465526</v>
      </c>
      <c r="AJ9" s="13">
        <f>AI9*VLOOKUP('Données projet'!$B$10,Paramètres!$A$1:$I$89,3,0)*VLOOKUP('Données projet'!$B$10,Paramètres!$A$1:$I$89,5,0)</f>
        <v>2.448608734908261</v>
      </c>
      <c r="AK9" s="13">
        <f t="shared" si="35"/>
        <v>1.0167197075625076</v>
      </c>
      <c r="AL9" s="20">
        <f t="shared" si="4"/>
        <v>6.035447037303256</v>
      </c>
      <c r="AM9" s="59">
        <f t="shared" si="5"/>
        <v>270.03544703730324</v>
      </c>
      <c r="AN9" s="59">
        <f ca="1">AVERAGE(OFFSET($AM$3,0,0,'Données projet'!$E$10+1,1))-AVERAGE(OFFSET($H$3,0,0,'Données projet'!$E$10+1,1))</f>
        <v>230.58262378842818</v>
      </c>
      <c r="AO9" s="59">
        <f t="shared" si="36"/>
        <v>235.68746142880792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21.102521142857139</v>
      </c>
      <c r="BF9" s="13">
        <f t="shared" si="37"/>
        <v>6.8192072738987575</v>
      </c>
      <c r="BG9" s="20">
        <f t="shared" si="7"/>
        <v>48.630343659183183</v>
      </c>
      <c r="BH9" s="59">
        <f t="shared" si="8"/>
        <v>312.63034365918315</v>
      </c>
      <c r="BI9" s="59">
        <f ca="1">AVERAGE(OFFSET($BH$3,0,0,'Données projet'!$E$11+1,1))-AVERAGE(OFFSET($H$3,0,0,'Données projet'!$E$11+1,1))</f>
        <v>581.88778927327667</v>
      </c>
      <c r="BJ9" s="59">
        <f t="shared" si="38"/>
        <v>269.67340993773422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22.194030857142852</v>
      </c>
      <c r="CA9" s="13">
        <f t="shared" si="39"/>
        <v>7.1299479329323407</v>
      </c>
      <c r="CB9" s="20">
        <f t="shared" si="10"/>
        <v>51.072596392714296</v>
      </c>
      <c r="CC9" s="59">
        <f t="shared" si="11"/>
        <v>315.07259639271427</v>
      </c>
      <c r="CD9" s="59">
        <f ca="1">AVERAGE(OFFSET($CC$3,0,0,'Données projet'!$E$12+1,1))-AVERAGE(OFFSET($H$3,0,0,'Données projet'!$E$12+1,1))</f>
        <v>609.60019207204277</v>
      </c>
      <c r="CE9" s="59">
        <f t="shared" si="40"/>
        <v>281.42238288764503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0.55877500000000002</v>
      </c>
      <c r="CT9" s="12">
        <f>IF('Données projet'!$A$140&gt;35,CT8+CS9-DB8,IF(A9&lt;'Données projet'!$A$140,$CQ$205^A9,IF(A9='Données projet'!$A$140,'Données projet'!$B$140,CT8+CS9-DB8)))</f>
        <v>2.8076449082769113</v>
      </c>
      <c r="CU9" s="17">
        <f>CT9*VLOOKUP('Données projet'!$B$13,Paramètres!$A$1:$I$89,3,0)*VLOOKUP('Données projet'!$B$13,Paramètres!$A$1:$I$89,5,0)</f>
        <v>2.233762289025111</v>
      </c>
      <c r="CV9" s="13">
        <f t="shared" si="41"/>
        <v>0.93747807184707699</v>
      </c>
      <c r="CW9" s="20">
        <f t="shared" si="13"/>
        <v>5.5232436285190607</v>
      </c>
      <c r="CX9" s="59">
        <f t="shared" si="14"/>
        <v>269.52324362851908</v>
      </c>
      <c r="CY9" s="59">
        <f ca="1">AVERAGE(OFFSET($CX$3,0,0,'Données projet'!$E$13+1,1))-AVERAGE(OFFSET($H$3,0,0,'Données projet'!$E$13+1,1))</f>
        <v>172.13940525084604</v>
      </c>
      <c r="CZ9" s="59">
        <f t="shared" si="42"/>
        <v>172.82328007157236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11.5</v>
      </c>
      <c r="DO9" s="12">
        <f>IF('Données projet'!$A$166&gt;35,DO8+DN9-DW8,IF(A9&lt;'Données projet'!$A$166,$DL$205^A9,IF(A9='Données projet'!$A$166,'Données projet'!$B$166,DO8+DN9-DW8)))</f>
        <v>17.235294325454703</v>
      </c>
      <c r="DP9" s="17">
        <f>DO9*VLOOKUP('Données projet'!$B$14,Paramètres!$A$1:$I$89,3,0)*VLOOKUP('Données projet'!$B$14,Paramètres!$A$1:$I$89,5,0)</f>
        <v>12.636917799423388</v>
      </c>
      <c r="DQ9" s="13">
        <f t="shared" si="43"/>
        <v>4.3347314253281013</v>
      </c>
      <c r="DR9" s="20">
        <f t="shared" si="16"/>
        <v>29.558955733108835</v>
      </c>
      <c r="DS9" s="59">
        <f t="shared" si="17"/>
        <v>293.55895573310886</v>
      </c>
      <c r="DT9" s="59">
        <f ca="1">AVERAGE(OFFSET($DS$3,0,0,'Données projet'!$E$14+1,1))-AVERAGE(OFFSET($H$3,0,0,'Données projet'!$E$14+1,1))</f>
        <v>197.34725966440715</v>
      </c>
      <c r="DU9" s="59">
        <f t="shared" si="44"/>
        <v>240.16326570529532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2.6666666666666665</v>
      </c>
      <c r="EJ9" s="12">
        <f>IF('Données projet'!$A$192&gt;35,EJ8+EI9-ER8,IF(A9&lt;'Données projet'!$A$192,$EG$205^A9,IF(A9='Données projet'!$A$192,'Données projet'!$B$192,EJ8+EI9-ER8)))</f>
        <v>4.3734482957731098</v>
      </c>
      <c r="EK9" s="17">
        <f>EJ9*VLOOKUP('Données projet'!$B$15,Paramètres!$A$1:$I$89,3,0)*VLOOKUP('Données projet'!$B$15,Paramètres!$A$1:$I$89,5,0)</f>
        <v>3.4112896707030256</v>
      </c>
      <c r="EL9" s="13">
        <f t="shared" si="45"/>
        <v>1.3628213830192535</v>
      </c>
      <c r="EM9" s="20">
        <f t="shared" si="19"/>
        <v>8.3149100852329703</v>
      </c>
      <c r="EN9" s="59">
        <f t="shared" si="20"/>
        <v>272.31491008523295</v>
      </c>
      <c r="EO9" s="59">
        <f ca="1">AVERAGE(OFFSET($EN$3,0,0,'Données projet'!$E$15+1,1))-AVERAGE(OFFSET($H$3,0,0,'Données projet'!$E$15+1,1))</f>
        <v>288.82868507674738</v>
      </c>
      <c r="EP9" s="59">
        <f t="shared" si="46"/>
        <v>283.48738729114024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3.887142857142857</v>
      </c>
      <c r="N10" s="13">
        <f>IF('Données projet'!$A$36&gt;35,N9+M10-V9,IF(A10&lt;'Données projet'!$A$36,$K$205^A10,IF(A10='Données projet'!$A$36,'Données projet'!$B$36,N9+M10-V9)))</f>
        <v>27.209999999999994</v>
      </c>
      <c r="O10" s="13">
        <f>N10*VLOOKUP('Données projet'!$B$9,Paramètres!$A$1:$I$89,3,0)*VLOOKUP('Données projet'!$B$9,Paramètres!$A$1:$I$89,5,0)</f>
        <v>24.619607999999992</v>
      </c>
      <c r="P10" s="13">
        <f t="shared" si="33"/>
        <v>7.8142639118614152</v>
      </c>
      <c r="Q10" s="20">
        <f t="shared" si="2"/>
        <v>56.488993579825284</v>
      </c>
      <c r="R10" s="59">
        <f t="shared" si="0"/>
        <v>321.71121580204749</v>
      </c>
      <c r="S10" s="59">
        <f ca="1">AVERAGE(OFFSET($R$3,0,0,'Données projet'!$E$9+1,1))-AVERAGE(OFFSET($H$3,0,0,'Données projet'!$E$9+1,1))</f>
        <v>581.88778927327667</v>
      </c>
      <c r="T10" s="59">
        <f t="shared" si="34"/>
        <v>269.67340993773422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</v>
      </c>
      <c r="AI10" s="13">
        <f>IF('Données projet'!$A$62&gt;35,AI9+AH10-AQ9,IF(A10&lt;'Données projet'!$A$62,$AF$205^A10,IF(A10='Données projet'!$A$62,'Données projet'!$B$62,AI9+AH10-AQ9)))</f>
        <v>4.6555367217460804</v>
      </c>
      <c r="AJ10" s="13">
        <f>AI10*VLOOKUP('Données projet'!$B$10,Paramètres!$A$1:$I$89,3,0)*VLOOKUP('Données projet'!$B$10,Paramètres!$A$1:$I$89,5,0)</f>
        <v>3.0503076600880319</v>
      </c>
      <c r="AK10" s="13">
        <f t="shared" si="35"/>
        <v>1.2345767954654534</v>
      </c>
      <c r="AL10" s="20">
        <f t="shared" si="4"/>
        <v>7.4628404267556538</v>
      </c>
      <c r="AM10" s="59">
        <f t="shared" si="5"/>
        <v>272.68506264897786</v>
      </c>
      <c r="AN10" s="59">
        <f ca="1">AVERAGE(OFFSET($AM$3,0,0,'Données projet'!$E$10+1,1))-AVERAGE(OFFSET($H$3,0,0,'Données projet'!$E$10+1,1))</f>
        <v>230.58262378842818</v>
      </c>
      <c r="AO10" s="59">
        <f t="shared" si="36"/>
        <v>235.68746142880792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24.619607999999992</v>
      </c>
      <c r="BF10" s="13">
        <f t="shared" si="37"/>
        <v>7.8142639118614152</v>
      </c>
      <c r="BG10" s="20">
        <f t="shared" si="7"/>
        <v>56.488993579825284</v>
      </c>
      <c r="BH10" s="59">
        <f t="shared" si="8"/>
        <v>321.71121580204749</v>
      </c>
      <c r="BI10" s="59">
        <f ca="1">AVERAGE(OFFSET($BH$3,0,0,'Données projet'!$E$11+1,1))-AVERAGE(OFFSET($H$3,0,0,'Données projet'!$E$11+1,1))</f>
        <v>581.88778927327667</v>
      </c>
      <c r="BJ10" s="59">
        <f t="shared" si="38"/>
        <v>269.67340993773422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25.893035999999995</v>
      </c>
      <c r="CA10" s="13">
        <f t="shared" si="39"/>
        <v>8.1703477527395769</v>
      </c>
      <c r="CB10" s="20">
        <f t="shared" si="10"/>
        <v>59.327060036021408</v>
      </c>
      <c r="CC10" s="59">
        <f t="shared" si="11"/>
        <v>324.54928225824364</v>
      </c>
      <c r="CD10" s="59">
        <f ca="1">AVERAGE(OFFSET($CC$3,0,0,'Données projet'!$E$12+1,1))-AVERAGE(OFFSET($H$3,0,0,'Données projet'!$E$12+1,1))</f>
        <v>609.60019207204277</v>
      </c>
      <c r="CE10" s="59">
        <f t="shared" si="40"/>
        <v>281.42238288764503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0.55877500000000002</v>
      </c>
      <c r="CT10" s="12">
        <f>IF('Données projet'!$A$140&gt;35,CT9+CS10-DB9,IF(A10&lt;'Données projet'!$A$140,$CQ$205^A10,IF(A10='Données projet'!$A$140,'Données projet'!$B$140,CT9+CS10-DB9)))</f>
        <v>3.3347699322892725</v>
      </c>
      <c r="CU10" s="17">
        <f>CT10*VLOOKUP('Données projet'!$B$13,Paramètres!$A$1:$I$89,3,0)*VLOOKUP('Données projet'!$B$13,Paramètres!$A$1:$I$89,5,0)</f>
        <v>2.6531429581293455</v>
      </c>
      <c r="CV10" s="13">
        <f t="shared" si="41"/>
        <v>1.091407607246573</v>
      </c>
      <c r="CW10" s="20">
        <f t="shared" si="13"/>
        <v>6.5217589013630581</v>
      </c>
      <c r="CX10" s="59">
        <f t="shared" si="14"/>
        <v>271.74398112358529</v>
      </c>
      <c r="CY10" s="59">
        <f ca="1">AVERAGE(OFFSET($CX$3,0,0,'Données projet'!$E$13+1,1))-AVERAGE(OFFSET($H$3,0,0,'Données projet'!$E$13+1,1))</f>
        <v>172.13940525084604</v>
      </c>
      <c r="CZ10" s="59">
        <f t="shared" si="42"/>
        <v>172.82328007157236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11.5</v>
      </c>
      <c r="DO10" s="12">
        <f>IF('Données projet'!$A$166&gt;35,DO9+DN10-DW9,IF(A10&lt;'Données projet'!$A$166,$DL$205^A10,IF(A10='Données projet'!$A$166,'Données projet'!$B$166,DO9+DN10-DW9)))</f>
        <v>27.700556129091794</v>
      </c>
      <c r="DP10" s="17">
        <f>DO10*VLOOKUP('Données projet'!$B$14,Paramètres!$A$1:$I$89,3,0)*VLOOKUP('Données projet'!$B$14,Paramètres!$A$1:$I$89,5,0)</f>
        <v>20.310047753850103</v>
      </c>
      <c r="DQ10" s="13">
        <f t="shared" si="43"/>
        <v>6.5924289133797958</v>
      </c>
      <c r="DR10" s="20">
        <f t="shared" si="16"/>
        <v>46.855146862092077</v>
      </c>
      <c r="DS10" s="59">
        <f t="shared" si="17"/>
        <v>312.07736908431428</v>
      </c>
      <c r="DT10" s="59">
        <f ca="1">AVERAGE(OFFSET($DS$3,0,0,'Données projet'!$E$14+1,1))-AVERAGE(OFFSET($H$3,0,0,'Données projet'!$E$14+1,1))</f>
        <v>197.34725966440715</v>
      </c>
      <c r="DU10" s="59">
        <f t="shared" si="44"/>
        <v>240.16326570529532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2.6666666666666665</v>
      </c>
      <c r="EJ10" s="12">
        <f>IF('Données projet'!$A$192&gt;35,EJ9+EI10-ER9,IF(A10&lt;'Données projet'!$A$192,$EG$205^A10,IF(A10='Données projet'!$A$192,'Données projet'!$B$192,EJ9+EI10-ER9)))</f>
        <v>5.5927833467405659</v>
      </c>
      <c r="EK10" s="17">
        <f>EJ10*VLOOKUP('Données projet'!$B$15,Paramètres!$A$1:$I$89,3,0)*VLOOKUP('Données projet'!$B$15,Paramètres!$A$1:$I$89,5,0)</f>
        <v>4.3623710104576414</v>
      </c>
      <c r="EL10" s="13">
        <f t="shared" si="45"/>
        <v>1.6936004212396314</v>
      </c>
      <c r="EM10" s="20">
        <f t="shared" si="19"/>
        <v>10.54748357687275</v>
      </c>
      <c r="EN10" s="59">
        <f t="shared" si="20"/>
        <v>275.76970579909499</v>
      </c>
      <c r="EO10" s="59">
        <f ca="1">AVERAGE(OFFSET($EN$3,0,0,'Données projet'!$E$15+1,1))-AVERAGE(OFFSET($H$3,0,0,'Données projet'!$E$15+1,1))</f>
        <v>288.82868507674738</v>
      </c>
      <c r="EP10" s="59">
        <f t="shared" si="46"/>
        <v>283.48738729114024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3.887142857142857</v>
      </c>
      <c r="N11" s="13">
        <f>IF('Données projet'!$A$36&gt;35,N10+M11-V10,IF(A11&lt;'Données projet'!$A$36,$K$205^A11,IF(A11='Données projet'!$A$36,'Données projet'!$B$36,N10+M11-V10)))</f>
        <v>31.097142857142849</v>
      </c>
      <c r="O11" s="13">
        <f>N11*VLOOKUP('Données projet'!$B$9,Paramètres!$A$1:$I$89,3,0)*VLOOKUP('Données projet'!$B$9,Paramètres!$A$1:$I$89,5,0)</f>
        <v>28.136694857142849</v>
      </c>
      <c r="P11" s="13">
        <f t="shared" si="33"/>
        <v>8.792851913254415</v>
      </c>
      <c r="Q11" s="20">
        <f t="shared" si="2"/>
        <v>64.318960625108559</v>
      </c>
      <c r="R11" s="59">
        <f t="shared" si="0"/>
        <v>330.76340506955302</v>
      </c>
      <c r="S11" s="59">
        <f ca="1">AVERAGE(OFFSET($R$3,0,0,'Données projet'!$E$9+1,1))-AVERAGE(OFFSET($H$3,0,0,'Données projet'!$E$9+1,1))</f>
        <v>581.88778927327667</v>
      </c>
      <c r="T11" s="59">
        <f t="shared" si="34"/>
        <v>269.67340993773422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</v>
      </c>
      <c r="AI11" s="13">
        <f>IF('Données projet'!$A$62&gt;35,AI10+AH11-AQ10,IF(A11&lt;'Données projet'!$A$62,$AF$205^A11,IF(A11='Données projet'!$A$62,'Données projet'!$B$62,AI10+AH11-AQ10)))</f>
        <v>5.7995461347952899</v>
      </c>
      <c r="AJ11" s="13">
        <f>AI11*VLOOKUP('Données projet'!$B$10,Paramètres!$A$1:$I$89,3,0)*VLOOKUP('Données projet'!$B$10,Paramètres!$A$1:$I$89,5,0)</f>
        <v>3.7998626275178737</v>
      </c>
      <c r="AK11" s="13">
        <f t="shared" si="35"/>
        <v>1.4991150978629391</v>
      </c>
      <c r="AL11" s="20">
        <f t="shared" si="4"/>
        <v>9.2290528717049156</v>
      </c>
      <c r="AM11" s="59">
        <f t="shared" si="5"/>
        <v>275.67349731614939</v>
      </c>
      <c r="AN11" s="59">
        <f ca="1">AVERAGE(OFFSET($AM$3,0,0,'Données projet'!$E$10+1,1))-AVERAGE(OFFSET($H$3,0,0,'Données projet'!$E$10+1,1))</f>
        <v>230.58262378842818</v>
      </c>
      <c r="AO11" s="59">
        <f t="shared" si="36"/>
        <v>235.68746142880792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28.136694857142849</v>
      </c>
      <c r="BF11" s="13">
        <f t="shared" si="37"/>
        <v>8.792851913254415</v>
      </c>
      <c r="BG11" s="20">
        <f t="shared" si="7"/>
        <v>64.318960625108559</v>
      </c>
      <c r="BH11" s="59">
        <f t="shared" si="8"/>
        <v>330.76340506955302</v>
      </c>
      <c r="BI11" s="59">
        <f ca="1">AVERAGE(OFFSET($BH$3,0,0,'Données projet'!$E$11+1,1))-AVERAGE(OFFSET($H$3,0,0,'Données projet'!$E$11+1,1))</f>
        <v>581.88778927327667</v>
      </c>
      <c r="BJ11" s="59">
        <f t="shared" si="38"/>
        <v>269.67340993773422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29.592041142857138</v>
      </c>
      <c r="CA11" s="13">
        <f t="shared" si="39"/>
        <v>9.1935284858477626</v>
      </c>
      <c r="CB11" s="20">
        <f t="shared" si="10"/>
        <v>67.551533769994364</v>
      </c>
      <c r="CC11" s="59">
        <f t="shared" si="11"/>
        <v>333.99597821443882</v>
      </c>
      <c r="CD11" s="59">
        <f ca="1">AVERAGE(OFFSET($CC$3,0,0,'Données projet'!$E$12+1,1))-AVERAGE(OFFSET($H$3,0,0,'Données projet'!$E$12+1,1))</f>
        <v>609.60019207204277</v>
      </c>
      <c r="CE11" s="59">
        <f t="shared" si="40"/>
        <v>281.42238288764503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0.55877500000000002</v>
      </c>
      <c r="CT11" s="12">
        <f>IF('Données projet'!$A$140&gt;35,CT10+CS11-DB10,IF(A11&lt;'Données projet'!$A$140,$CQ$205^A11,IF(A11='Données projet'!$A$140,'Données projet'!$B$140,CT10+CS11-DB10)))</f>
        <v>3.9608607443615487</v>
      </c>
      <c r="CU11" s="17">
        <f>CT11*VLOOKUP('Données projet'!$B$13,Paramètres!$A$1:$I$89,3,0)*VLOOKUP('Données projet'!$B$13,Paramètres!$A$1:$I$89,5,0)</f>
        <v>3.1512608082140487</v>
      </c>
      <c r="CV11" s="13">
        <f t="shared" si="41"/>
        <v>1.2706116558105431</v>
      </c>
      <c r="CW11" s="20">
        <f t="shared" si="13"/>
        <v>7.7014278748428291</v>
      </c>
      <c r="CX11" s="59">
        <f t="shared" si="14"/>
        <v>274.14587231928726</v>
      </c>
      <c r="CY11" s="59">
        <f ca="1">AVERAGE(OFFSET($CX$3,0,0,'Données projet'!$E$13+1,1))-AVERAGE(OFFSET($H$3,0,0,'Données projet'!$E$13+1,1))</f>
        <v>172.13940525084604</v>
      </c>
      <c r="CZ11" s="59">
        <f t="shared" si="42"/>
        <v>172.82328007157236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11.5</v>
      </c>
      <c r="DO11" s="12">
        <f>IF('Données projet'!$A$166&gt;35,DO10+DN11-DW10,IF(A11&lt;'Données projet'!$A$166,$DL$205^A11,IF(A11='Données projet'!$A$166,'Données projet'!$B$166,DO10+DN11-DW10)))</f>
        <v>44.520319489276915</v>
      </c>
      <c r="DP11" s="17">
        <f>DO11*VLOOKUP('Données projet'!$B$14,Paramètres!$A$1:$I$89,3,0)*VLOOKUP('Données projet'!$B$14,Paramètres!$A$1:$I$89,5,0)</f>
        <v>32.642298249537831</v>
      </c>
      <c r="DQ11" s="13">
        <f t="shared" si="43"/>
        <v>10.026023463420534</v>
      </c>
      <c r="DR11" s="20">
        <f t="shared" si="16"/>
        <v>74.31399365006915</v>
      </c>
      <c r="DS11" s="59">
        <f t="shared" si="17"/>
        <v>340.75843809451362</v>
      </c>
      <c r="DT11" s="59">
        <f ca="1">AVERAGE(OFFSET($DS$3,0,0,'Données projet'!$E$14+1,1))-AVERAGE(OFFSET($H$3,0,0,'Données projet'!$E$14+1,1))</f>
        <v>197.34725966440715</v>
      </c>
      <c r="DU11" s="59">
        <f t="shared" si="44"/>
        <v>240.16326570529532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2.6666666666666665</v>
      </c>
      <c r="EJ11" s="12">
        <f>IF('Données projet'!$A$192&gt;35,EJ10+EI11-ER10,IF(A11&lt;'Données projet'!$A$192,$EG$205^A11,IF(A11='Données projet'!$A$192,'Données projet'!$B$192,EJ10+EI11-ER10)))</f>
        <v>7.1520739352994367</v>
      </c>
      <c r="EK11" s="17">
        <f>EJ11*VLOOKUP('Données projet'!$B$15,Paramètres!$A$1:$I$89,3,0)*VLOOKUP('Données projet'!$B$15,Paramètres!$A$1:$I$89,5,0)</f>
        <v>5.5786176695335605</v>
      </c>
      <c r="EL11" s="13">
        <f t="shared" si="45"/>
        <v>2.1046649418345189</v>
      </c>
      <c r="EM11" s="20">
        <f t="shared" si="19"/>
        <v>13.381717214799407</v>
      </c>
      <c r="EN11" s="59">
        <f t="shared" si="20"/>
        <v>279.82616165924384</v>
      </c>
      <c r="EO11" s="59">
        <f ca="1">AVERAGE(OFFSET($EN$3,0,0,'Données projet'!$E$15+1,1))-AVERAGE(OFFSET($H$3,0,0,'Données projet'!$E$15+1,1))</f>
        <v>288.82868507674738</v>
      </c>
      <c r="EP11" s="59">
        <f t="shared" si="46"/>
        <v>283.48738729114024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3.887142857142857</v>
      </c>
      <c r="N12" s="13">
        <f>IF('Données projet'!$A$36&gt;35,N11+M12-V11,IF(A12&lt;'Données projet'!$A$36,$K$205^A12,IF(A12='Données projet'!$A$36,'Données projet'!$B$36,N11+M12-V11)))</f>
        <v>34.984285714285704</v>
      </c>
      <c r="O12" s="13">
        <f>N12*VLOOKUP('Données projet'!$B$9,Paramètres!$A$1:$I$89,3,0)*VLOOKUP('Données projet'!$B$9,Paramètres!$A$1:$I$89,5,0)</f>
        <v>31.653781714285703</v>
      </c>
      <c r="P12" s="13">
        <f t="shared" si="33"/>
        <v>9.757265618420071</v>
      </c>
      <c r="Q12" s="20">
        <f t="shared" si="2"/>
        <v>72.124240771129223</v>
      </c>
      <c r="R12" s="59">
        <f t="shared" si="0"/>
        <v>339.79090743779591</v>
      </c>
      <c r="S12" s="59">
        <f ca="1">AVERAGE(OFFSET($R$3,0,0,'Données projet'!$E$9+1,1))-AVERAGE(OFFSET($H$3,0,0,'Données projet'!$E$9+1,1))</f>
        <v>581.88778927327667</v>
      </c>
      <c r="T12" s="59">
        <f t="shared" si="34"/>
        <v>269.67340993773422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</v>
      </c>
      <c r="AI12" s="13">
        <f>IF('Données projet'!$A$62&gt;35,AI11+AH12-AQ11,IF(A12&lt;'Données projet'!$A$62,$AF$205^A12,IF(A12='Données projet'!$A$62,'Données projet'!$B$62,AI11+AH12-AQ11)))</f>
        <v>7.2246740558420788</v>
      </c>
      <c r="AJ12" s="13">
        <f>AI12*VLOOKUP('Données projet'!$B$10,Paramètres!$A$1:$I$89,3,0)*VLOOKUP('Données projet'!$B$10,Paramètres!$A$1:$I$89,5,0)</f>
        <v>4.7336064413877299</v>
      </c>
      <c r="AK12" s="13">
        <f t="shared" si="35"/>
        <v>1.8203372077743676</v>
      </c>
      <c r="AL12" s="20">
        <f t="shared" si="4"/>
        <v>11.414785188957319</v>
      </c>
      <c r="AM12" s="59">
        <f t="shared" si="5"/>
        <v>279.08145185562398</v>
      </c>
      <c r="AN12" s="59">
        <f ca="1">AVERAGE(OFFSET($AM$3,0,0,'Données projet'!$E$10+1,1))-AVERAGE(OFFSET($H$3,0,0,'Données projet'!$E$10+1,1))</f>
        <v>230.58262378842818</v>
      </c>
      <c r="AO12" s="59">
        <f t="shared" si="36"/>
        <v>235.68746142880792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31.653781714285703</v>
      </c>
      <c r="BF12" s="13">
        <f t="shared" si="37"/>
        <v>9.757265618420071</v>
      </c>
      <c r="BG12" s="20">
        <f t="shared" si="7"/>
        <v>72.124240771129223</v>
      </c>
      <c r="BH12" s="59">
        <f t="shared" si="8"/>
        <v>339.79090743779591</v>
      </c>
      <c r="BI12" s="59">
        <f ca="1">AVERAGE(OFFSET($BH$3,0,0,'Données projet'!$E$11+1,1))-AVERAGE(OFFSET($H$3,0,0,'Données projet'!$E$11+1,1))</f>
        <v>581.88778927327667</v>
      </c>
      <c r="BJ12" s="59">
        <f t="shared" si="38"/>
        <v>269.67340993773422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33.291046285714273</v>
      </c>
      <c r="CA12" s="13">
        <f t="shared" si="39"/>
        <v>10.201889022116685</v>
      </c>
      <c r="CB12" s="20">
        <f t="shared" si="10"/>
        <v>75.750195661138918</v>
      </c>
      <c r="CC12" s="59">
        <f t="shared" si="11"/>
        <v>343.41686232780557</v>
      </c>
      <c r="CD12" s="59">
        <f ca="1">AVERAGE(OFFSET($CC$3,0,0,'Données projet'!$E$12+1,1))-AVERAGE(OFFSET($H$3,0,0,'Données projet'!$E$12+1,1))</f>
        <v>609.60019207204277</v>
      </c>
      <c r="CE12" s="59">
        <f t="shared" si="40"/>
        <v>281.42238288764503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0.55877500000000002</v>
      </c>
      <c r="CT12" s="12">
        <f>IF('Données projet'!$A$140&gt;35,CT11+CS12-DB11,IF(A12&lt;'Données projet'!$A$140,$CQ$205^A12,IF(A12='Données projet'!$A$140,'Données projet'!$B$140,CT11+CS12-DB11)))</f>
        <v>4.704497807875593</v>
      </c>
      <c r="CU12" s="17">
        <f>CT12*VLOOKUP('Données projet'!$B$13,Paramètres!$A$1:$I$89,3,0)*VLOOKUP('Données projet'!$B$13,Paramètres!$A$1:$I$89,5,0)</f>
        <v>3.7428984559458218</v>
      </c>
      <c r="CV12" s="13">
        <f t="shared" si="41"/>
        <v>1.4792401749467274</v>
      </c>
      <c r="CW12" s="20">
        <f t="shared" si="13"/>
        <v>9.0952247821378549</v>
      </c>
      <c r="CX12" s="59">
        <f t="shared" si="14"/>
        <v>276.76189144880453</v>
      </c>
      <c r="CY12" s="59">
        <f ca="1">AVERAGE(OFFSET($CX$3,0,0,'Données projet'!$E$13+1,1))-AVERAGE(OFFSET($H$3,0,0,'Données projet'!$E$13+1,1))</f>
        <v>172.13940525084604</v>
      </c>
      <c r="CZ12" s="59">
        <f t="shared" si="42"/>
        <v>172.82328007157236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11.5</v>
      </c>
      <c r="DO12" s="12">
        <f>IF('Données projet'!$A$166&gt;35,DO11+DN12-DW11,IF(A12&lt;'Données projet'!$A$166,$DL$205^A12,IF(A12='Données projet'!$A$166,'Données projet'!$B$166,DO11+DN12-DW11)))</f>
        <v>71.553034465820133</v>
      </c>
      <c r="DP12" s="17">
        <f>DO12*VLOOKUP('Données projet'!$B$14,Paramètres!$A$1:$I$89,3,0)*VLOOKUP('Données projet'!$B$14,Paramètres!$A$1:$I$89,5,0)</f>
        <v>52.462684870339316</v>
      </c>
      <c r="DQ12" s="13">
        <f t="shared" si="43"/>
        <v>15.247968208658939</v>
      </c>
      <c r="DR12" s="20">
        <f t="shared" si="16"/>
        <v>117.92938744592196</v>
      </c>
      <c r="DS12" s="59">
        <f t="shared" si="17"/>
        <v>385.59605411258866</v>
      </c>
      <c r="DT12" s="59">
        <f ca="1">AVERAGE(OFFSET($DS$3,0,0,'Données projet'!$E$14+1,1))-AVERAGE(OFFSET($H$3,0,0,'Données projet'!$E$14+1,1))</f>
        <v>197.34725966440715</v>
      </c>
      <c r="DU12" s="59">
        <f t="shared" si="44"/>
        <v>240.16326570529532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2.6666666666666665</v>
      </c>
      <c r="EJ12" s="12">
        <f>IF('Données projet'!$A$192&gt;35,EJ11+EI12-ER11,IF(A12&lt;'Données projet'!$A$192,$EG$205^A12,IF(A12='Données projet'!$A$192,'Données projet'!$B$192,EJ11+EI12-ER11)))</f>
        <v>9.1461010385465205</v>
      </c>
      <c r="EK12" s="17">
        <f>EJ12*VLOOKUP('Données projet'!$B$15,Paramètres!$A$1:$I$89,3,0)*VLOOKUP('Données projet'!$B$15,Paramètres!$A$1:$I$89,5,0)</f>
        <v>7.1339588100662858</v>
      </c>
      <c r="EL12" s="13">
        <f t="shared" si="45"/>
        <v>2.6155015444227643</v>
      </c>
      <c r="EM12" s="20">
        <f t="shared" si="19"/>
        <v>16.980310117401761</v>
      </c>
      <c r="EN12" s="59">
        <f t="shared" si="20"/>
        <v>284.64697678406844</v>
      </c>
      <c r="EO12" s="59">
        <f ca="1">AVERAGE(OFFSET($EN$3,0,0,'Données projet'!$E$15+1,1))-AVERAGE(OFFSET($H$3,0,0,'Données projet'!$E$15+1,1))</f>
        <v>288.82868507674738</v>
      </c>
      <c r="EP12" s="59">
        <f t="shared" si="46"/>
        <v>283.48738729114024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3.887142857142857</v>
      </c>
      <c r="N13" s="13">
        <f>IF('Données projet'!$A$36&gt;35,N12+M13-V12,IF(A13&lt;'Données projet'!$A$36,$K$205^A13,IF(A13='Données projet'!$A$36,'Données projet'!$B$36,N12+M13-V12)))</f>
        <v>38.871428571428559</v>
      </c>
      <c r="O13" s="13">
        <f>N13*VLOOKUP('Données projet'!$B$9,Paramètres!$A$1:$I$89,3,0)*VLOOKUP('Données projet'!$B$9,Paramètres!$A$1:$I$89,5,0)</f>
        <v>35.170868571428556</v>
      </c>
      <c r="P13" s="13">
        <f t="shared" si="33"/>
        <v>10.709259603674569</v>
      </c>
      <c r="Q13" s="20">
        <f t="shared" si="2"/>
        <v>79.90788990497127</v>
      </c>
      <c r="R13" s="59">
        <f t="shared" si="0"/>
        <v>348.79677879386014</v>
      </c>
      <c r="S13" s="59">
        <f ca="1">AVERAGE(OFFSET($R$3,0,0,'Données projet'!$E$9+1,1))-AVERAGE(OFFSET($H$3,0,0,'Données projet'!$E$9+1,1))</f>
        <v>581.88778927327667</v>
      </c>
      <c r="T13" s="59">
        <f t="shared" si="34"/>
        <v>269.67340993773422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9</v>
      </c>
      <c r="AG13" s="12">
        <f>VLOOKUP(A13,'Données projet'!$A$61:$I$81,9,0)</f>
        <v>0.9</v>
      </c>
      <c r="AH13" s="12">
        <f t="array" ref="AH13">INDEX(AG:AG,MIN(IF(ISNUMBER(AG13:AG209),ROW(AG13:AG209),"")))</f>
        <v>0.9</v>
      </c>
      <c r="AI13" s="13">
        <f>IF('Données projet'!$A$62&gt;35,AI12+AH13-AQ12,IF(A13&lt;'Données projet'!$A$62,$AF$205^A13,IF(A13='Données projet'!$A$62,'Données projet'!$B$62,AI12+AH13-AQ12)))</f>
        <v>9</v>
      </c>
      <c r="AJ13" s="13">
        <f>AI13*VLOOKUP('Données projet'!$B$10,Paramètres!$A$1:$I$89,3,0)*VLOOKUP('Données projet'!$B$10,Paramètres!$A$1:$I$89,5,0)</f>
        <v>5.8967999999999998</v>
      </c>
      <c r="AK13" s="13">
        <f t="shared" si="35"/>
        <v>2.210389018649412</v>
      </c>
      <c r="AL13" s="20">
        <f t="shared" si="4"/>
        <v>14.120020874147725</v>
      </c>
      <c r="AM13" s="59">
        <f t="shared" si="5"/>
        <v>283.00890976303657</v>
      </c>
      <c r="AN13" s="59">
        <f ca="1">AVERAGE(OFFSET($AM$3,0,0,'Données projet'!$E$10+1,1))-AVERAGE(OFFSET($H$3,0,0,'Données projet'!$E$10+1,1))</f>
        <v>230.58262378842818</v>
      </c>
      <c r="AO13" s="59">
        <f t="shared" si="36"/>
        <v>235.68746142880792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1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35.170868571428556</v>
      </c>
      <c r="BF13" s="13">
        <f t="shared" si="37"/>
        <v>10.709259603674569</v>
      </c>
      <c r="BG13" s="20">
        <f t="shared" si="7"/>
        <v>79.90788990497127</v>
      </c>
      <c r="BH13" s="59">
        <f t="shared" si="8"/>
        <v>348.79677879386014</v>
      </c>
      <c r="BI13" s="59">
        <f ca="1">AVERAGE(OFFSET($BH$3,0,0,'Données projet'!$E$11+1,1))-AVERAGE(OFFSET($H$3,0,0,'Données projet'!$E$11+1,1))</f>
        <v>581.88778927327667</v>
      </c>
      <c r="BJ13" s="59">
        <f t="shared" si="38"/>
        <v>269.67340993773422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36.990051428571419</v>
      </c>
      <c r="CA13" s="13">
        <f t="shared" si="39"/>
        <v>11.197263891173662</v>
      </c>
      <c r="CB13" s="20">
        <f t="shared" si="10"/>
        <v>83.92624084855602</v>
      </c>
      <c r="CC13" s="59">
        <f t="shared" si="11"/>
        <v>352.81512973744486</v>
      </c>
      <c r="CD13" s="59">
        <f ca="1">AVERAGE(OFFSET($CC$3,0,0,'Données projet'!$E$12+1,1))-AVERAGE(OFFSET($H$3,0,0,'Données projet'!$E$12+1,1))</f>
        <v>609.60019207204277</v>
      </c>
      <c r="CE13" s="59">
        <f t="shared" si="40"/>
        <v>281.42238288764503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>
        <f>VLOOKUP(A13,'Données projet'!$A$139:$I$159,2,0)</f>
        <v>5.5877499999999998</v>
      </c>
      <c r="CR13" s="12">
        <f>VLOOKUP(A13,'Données projet'!$A$139:$I$159,9,0)</f>
        <v>0.55877500000000002</v>
      </c>
      <c r="CS13" s="12">
        <f t="array" ref="CS13">INDEX(CR:CR,MIN(IF(ISNUMBER(CR13:CR209),ROW(CR13:CR209),"")))</f>
        <v>0.55877500000000002</v>
      </c>
      <c r="CT13" s="12">
        <f>IF('Données projet'!$A$140&gt;35,CT12+CS13-DB12,IF(A13&lt;'Données projet'!$A$140,$CQ$205^A13,IF(A13='Données projet'!$A$140,'Données projet'!$B$140,CT12+CS13-DB12)))</f>
        <v>5.5877499999999998</v>
      </c>
      <c r="CU13" s="17">
        <f>CT13*VLOOKUP('Données projet'!$B$13,Paramètres!$A$1:$I$89,3,0)*VLOOKUP('Données projet'!$B$13,Paramètres!$A$1:$I$89,5,0)</f>
        <v>4.4456139000000006</v>
      </c>
      <c r="CV13" s="13">
        <f t="shared" si="41"/>
        <v>1.7221245257509998</v>
      </c>
      <c r="CW13" s="20">
        <f t="shared" si="13"/>
        <v>10.742144424849657</v>
      </c>
      <c r="CX13" s="59">
        <f t="shared" si="14"/>
        <v>279.6310333137385</v>
      </c>
      <c r="CY13" s="59">
        <f ca="1">AVERAGE(OFFSET($CX$3,0,0,'Données projet'!$E$13+1,1))-AVERAGE(OFFSET($H$3,0,0,'Données projet'!$E$13+1,1))</f>
        <v>172.13940525084604</v>
      </c>
      <c r="CZ13" s="59">
        <f t="shared" si="42"/>
        <v>172.82328007157236</v>
      </c>
      <c r="DA13" s="15">
        <f>IF(ISNA(VLOOKUP(A13,'Données projet'!$A$139:$I$159,3,0)),0,VLOOKUP(A13,'Données projet'!$A$139:$I$159,3,0))</f>
        <v>1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115</v>
      </c>
      <c r="DM13" s="12">
        <f>VLOOKUP(A13,'Données projet'!$A$165:$I$185,9,0)</f>
        <v>11.5</v>
      </c>
      <c r="DN13" s="12">
        <f t="array" ref="DN13">INDEX(DM:DM,MIN(IF(ISNUMBER(DM13:DM209),ROW(DM13:DM209),"")))</f>
        <v>11.5</v>
      </c>
      <c r="DO13" s="12">
        <f>IF('Données projet'!$A$166&gt;35,DO12+DN13-DW12,IF(A13&lt;'Données projet'!$A$166,$DL$205^A13,IF(A13='Données projet'!$A$166,'Données projet'!$B$166,DO12+DN13-DW12)))</f>
        <v>115</v>
      </c>
      <c r="DP13" s="17">
        <f>DO13*VLOOKUP('Données projet'!$B$14,Paramètres!$A$1:$I$89,3,0)*VLOOKUP('Données projet'!$B$14,Paramètres!$A$1:$I$89,5,0)</f>
        <v>84.317999999999998</v>
      </c>
      <c r="DQ13" s="13">
        <f t="shared" si="43"/>
        <v>23.189705803157239</v>
      </c>
      <c r="DR13" s="20">
        <f t="shared" si="16"/>
        <v>187.24258760716552</v>
      </c>
      <c r="DS13" s="59">
        <f t="shared" si="17"/>
        <v>456.13147649605435</v>
      </c>
      <c r="DT13" s="59">
        <f ca="1">AVERAGE(OFFSET($DS$3,0,0,'Données projet'!$E$14+1,1))-AVERAGE(OFFSET($H$3,0,0,'Données projet'!$E$14+1,1))</f>
        <v>197.34725966440715</v>
      </c>
      <c r="DU13" s="59">
        <f t="shared" si="44"/>
        <v>240.16326570529532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71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0.215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12.324037671342237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12.324037671342237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2.6666666666666665</v>
      </c>
      <c r="EJ13" s="12">
        <f>IF('Données projet'!$A$192&gt;35,EJ12+EI13-ER12,IF(A13&lt;'Données projet'!$A$192,$EG$205^A13,IF(A13='Données projet'!$A$192,'Données projet'!$B$192,EJ12+EI13-ER12)))</f>
        <v>11.696070952851455</v>
      </c>
      <c r="EK13" s="17">
        <f>EJ13*VLOOKUP('Données projet'!$B$15,Paramètres!$A$1:$I$89,3,0)*VLOOKUP('Données projet'!$B$15,Paramètres!$A$1:$I$89,5,0)</f>
        <v>9.1229353432241354</v>
      </c>
      <c r="EL13" s="13">
        <f t="shared" si="45"/>
        <v>3.2503265450485803</v>
      </c>
      <c r="EM13" s="20">
        <f t="shared" si="19"/>
        <v>21.550097788741649</v>
      </c>
      <c r="EN13" s="59">
        <f t="shared" si="20"/>
        <v>290.43898667763051</v>
      </c>
      <c r="EO13" s="59">
        <f ca="1">AVERAGE(OFFSET($EN$3,0,0,'Données projet'!$E$15+1,1))-AVERAGE(OFFSET($H$3,0,0,'Données projet'!$E$15+1,1))</f>
        <v>288.82868507674738</v>
      </c>
      <c r="EP13" s="59">
        <f t="shared" si="46"/>
        <v>283.48738729114024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3.887142857142857</v>
      </c>
      <c r="N14" s="13">
        <f>IF('Données projet'!$A$36&gt;35,N13+M14-V13,IF(A14&lt;'Données projet'!$A$36,$K$205^A14,IF(A14='Données projet'!$A$36,'Données projet'!$B$36,N13+M14-V13)))</f>
        <v>42.758571428571415</v>
      </c>
      <c r="O14" s="13">
        <f>N14*VLOOKUP('Données projet'!$B$9,Paramètres!$A$1:$I$89,3,0)*VLOOKUP('Données projet'!$B$9,Paramètres!$A$1:$I$89,5,0)</f>
        <v>38.687955428571414</v>
      </c>
      <c r="P14" s="13">
        <f t="shared" si="33"/>
        <v>11.650217223542473</v>
      </c>
      <c r="Q14" s="20">
        <f t="shared" si="2"/>
        <v>87.672317369098337</v>
      </c>
      <c r="R14" s="59">
        <f t="shared" si="0"/>
        <v>357.78342848020947</v>
      </c>
      <c r="S14" s="59">
        <f ca="1">AVERAGE(OFFSET($R$3,0,0,'Données projet'!$E$9+1,1))-AVERAGE(OFFSET($H$3,0,0,'Données projet'!$E$9+1,1))</f>
        <v>581.88778927327667</v>
      </c>
      <c r="T14" s="59">
        <f t="shared" si="34"/>
        <v>269.67340993773422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5.6</v>
      </c>
      <c r="AI14" s="13">
        <f>IF('Données projet'!$A$62&gt;35,AI13+AH14-AQ13,IF(A14&lt;'Données projet'!$A$62,$AF$205^A14,IF(A14='Données projet'!$A$62,'Données projet'!$B$62,AI13+AH14-AQ13)))</f>
        <v>13.6</v>
      </c>
      <c r="AJ14" s="13">
        <f>AI14*VLOOKUP('Données projet'!$B$10,Paramètres!$A$1:$I$89,3,0)*VLOOKUP('Données projet'!$B$10,Paramètres!$A$1:$I$89,5,0)</f>
        <v>8.9107199999999995</v>
      </c>
      <c r="AK14" s="13">
        <f t="shared" si="35"/>
        <v>3.1834278577240251</v>
      </c>
      <c r="AL14" s="20">
        <f t="shared" si="4"/>
        <v>21.063974185536008</v>
      </c>
      <c r="AM14" s="59">
        <f t="shared" si="5"/>
        <v>291.17508529664713</v>
      </c>
      <c r="AN14" s="59">
        <f ca="1">AVERAGE(OFFSET($AM$3,0,0,'Données projet'!$E$10+1,1))-AVERAGE(OFFSET($H$3,0,0,'Données projet'!$E$10+1,1))</f>
        <v>230.58262378842818</v>
      </c>
      <c r="AO14" s="59">
        <f t="shared" si="36"/>
        <v>235.68746142880792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38.687955428571414</v>
      </c>
      <c r="BF14" s="13">
        <f t="shared" si="37"/>
        <v>11.650217223542473</v>
      </c>
      <c r="BG14" s="20">
        <f t="shared" si="7"/>
        <v>87.672317369098337</v>
      </c>
      <c r="BH14" s="59">
        <f t="shared" si="8"/>
        <v>357.78342848020947</v>
      </c>
      <c r="BI14" s="59">
        <f ca="1">AVERAGE(OFFSET($BH$3,0,0,'Données projet'!$E$11+1,1))-AVERAGE(OFFSET($H$3,0,0,'Données projet'!$E$11+1,1))</f>
        <v>581.88778927327667</v>
      </c>
      <c r="BJ14" s="59">
        <f t="shared" si="38"/>
        <v>269.67340993773422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40.689056571428559</v>
      </c>
      <c r="CA14" s="13">
        <f t="shared" si="39"/>
        <v>12.181099484855261</v>
      </c>
      <c r="CB14" s="20">
        <f t="shared" si="10"/>
        <v>92.082188464694312</v>
      </c>
      <c r="CC14" s="59">
        <f t="shared" si="11"/>
        <v>362.19329957580544</v>
      </c>
      <c r="CD14" s="59">
        <f ca="1">AVERAGE(OFFSET($CC$3,0,0,'Données projet'!$E$12+1,1))-AVERAGE(OFFSET($H$3,0,0,'Données projet'!$E$12+1,1))</f>
        <v>609.60019207204277</v>
      </c>
      <c r="CE14" s="59">
        <f t="shared" si="40"/>
        <v>281.42238288764503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4.8667499999999997</v>
      </c>
      <c r="CT14" s="12">
        <f>IF('Données projet'!$A$140&gt;35,CT13+CS14-DB13,IF(A14&lt;'Données projet'!$A$140,$CQ$205^A14,IF(A14='Données projet'!$A$140,'Données projet'!$B$140,CT13+CS14-DB13)))</f>
        <v>10.454499999999999</v>
      </c>
      <c r="CU14" s="17">
        <f>CT14*VLOOKUP('Données projet'!$B$13,Paramètres!$A$1:$I$89,3,0)*VLOOKUP('Données projet'!$B$13,Paramètres!$A$1:$I$89,5,0)</f>
        <v>8.3176001999999993</v>
      </c>
      <c r="CV14" s="13">
        <f t="shared" si="41"/>
        <v>2.9954517898840076</v>
      </c>
      <c r="CW14" s="20">
        <f t="shared" si="13"/>
        <v>19.70356554904798</v>
      </c>
      <c r="CX14" s="59">
        <f t="shared" si="14"/>
        <v>289.81467666015914</v>
      </c>
      <c r="CY14" s="59">
        <f ca="1">AVERAGE(OFFSET($CX$3,0,0,'Données projet'!$E$13+1,1))-AVERAGE(OFFSET($H$3,0,0,'Données projet'!$E$13+1,1))</f>
        <v>172.13940525084604</v>
      </c>
      <c r="CZ14" s="59">
        <f t="shared" si="42"/>
        <v>172.82328007157236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8</v>
      </c>
      <c r="DO14" s="12">
        <f>IF('Données projet'!$A$166&gt;35,DO13+DN14-DW13,IF(A14&lt;'Données projet'!$A$166,$DL$205^A14,IF(A14='Données projet'!$A$166,'Données projet'!$B$166,DO13+DN14-DW13)))</f>
        <v>52</v>
      </c>
      <c r="DP14" s="17">
        <f>DO14*VLOOKUP('Données projet'!$B$14,Paramètres!$A$1:$I$89,3,0)*VLOOKUP('Données projet'!$B$14,Paramètres!$A$1:$I$89,5,0)</f>
        <v>38.126399999999997</v>
      </c>
      <c r="DQ14" s="13">
        <f t="shared" si="43"/>
        <v>11.500671051108634</v>
      </c>
      <c r="DR14" s="20">
        <f t="shared" si="16"/>
        <v>86.433815414014191</v>
      </c>
      <c r="DS14" s="59">
        <f t="shared" si="17"/>
        <v>356.54492652512533</v>
      </c>
      <c r="DT14" s="59">
        <f ca="1">AVERAGE(OFFSET($DS$3,0,0,'Données projet'!$E$14+1,1))-AVERAGE(OFFSET($H$3,0,0,'Données projet'!$E$14+1,1))</f>
        <v>197.34725966440715</v>
      </c>
      <c r="DU14" s="59">
        <f t="shared" si="44"/>
        <v>240.16326570529532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11.987036213126411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11.987036213126411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2.6666666666666665</v>
      </c>
      <c r="EJ14" s="12">
        <f>IF('Données projet'!$A$192&gt;35,EJ13+EI14-ER13,IF(A14&lt;'Données projet'!$A$192,$EG$205^A14,IF(A14='Données projet'!$A$192,'Données projet'!$B$192,EJ13+EI14-ER13)))</f>
        <v>14.956982779612416</v>
      </c>
      <c r="EK14" s="17">
        <f>EJ14*VLOOKUP('Données projet'!$B$15,Paramètres!$A$1:$I$89,3,0)*VLOOKUP('Données projet'!$B$15,Paramètres!$A$1:$I$89,5,0)</f>
        <v>11.666446568097685</v>
      </c>
      <c r="EL14" s="13">
        <f t="shared" si="45"/>
        <v>4.0392339557111736</v>
      </c>
      <c r="EM14" s="20">
        <f t="shared" si="19"/>
        <v>27.354060245633761</v>
      </c>
      <c r="EN14" s="59">
        <f t="shared" si="20"/>
        <v>297.46517135674492</v>
      </c>
      <c r="EO14" s="59">
        <f ca="1">AVERAGE(OFFSET($EN$3,0,0,'Données projet'!$E$15+1,1))-AVERAGE(OFFSET($H$3,0,0,'Données projet'!$E$15+1,1))</f>
        <v>288.82868507674738</v>
      </c>
      <c r="EP14" s="59">
        <f t="shared" si="46"/>
        <v>283.48738729114024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3.887142857142857</v>
      </c>
      <c r="N15" s="13">
        <f>IF('Données projet'!$A$36&gt;35,N14+M15-V14,IF(A15&lt;'Données projet'!$A$36,$K$205^A15,IF(A15='Données projet'!$A$36,'Données projet'!$B$36,N14+M15-V14)))</f>
        <v>46.64571428571427</v>
      </c>
      <c r="O15" s="13">
        <f>N15*VLOOKUP('Données projet'!$B$9,Paramètres!$A$1:$I$89,3,0)*VLOOKUP('Données projet'!$B$9,Paramètres!$A$1:$I$89,5,0)</f>
        <v>42.205042285714271</v>
      </c>
      <c r="P15" s="13">
        <f t="shared" si="33"/>
        <v>12.581255887241159</v>
      </c>
      <c r="Q15" s="20">
        <f t="shared" si="2"/>
        <v>95.419469317897367</v>
      </c>
      <c r="R15" s="59">
        <f t="shared" si="0"/>
        <v>366.7528026512307</v>
      </c>
      <c r="S15" s="59">
        <f ca="1">AVERAGE(OFFSET($R$3,0,0,'Données projet'!$E$9+1,1))-AVERAGE(OFFSET($H$3,0,0,'Données projet'!$E$9+1,1))</f>
        <v>581.88778927327667</v>
      </c>
      <c r="T15" s="59">
        <f t="shared" si="34"/>
        <v>269.67340993773422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5.6</v>
      </c>
      <c r="AI15" s="13">
        <f>IF('Données projet'!$A$62&gt;35,AI14+AH15-AQ14,IF(A15&lt;'Données projet'!$A$62,$AF$205^A15,IF(A15='Données projet'!$A$62,'Données projet'!$B$62,AI14+AH15-AQ14)))</f>
        <v>19.2</v>
      </c>
      <c r="AJ15" s="13">
        <f>AI15*VLOOKUP('Données projet'!$B$10,Paramètres!$A$1:$I$89,3,0)*VLOOKUP('Données projet'!$B$10,Paramètres!$A$1:$I$89,5,0)</f>
        <v>12.579840000000001</v>
      </c>
      <c r="AK15" s="13">
        <f t="shared" si="35"/>
        <v>4.3174269552455735</v>
      </c>
      <c r="AL15" s="20">
        <f t="shared" si="4"/>
        <v>29.429406613719376</v>
      </c>
      <c r="AM15" s="59">
        <f t="shared" si="5"/>
        <v>300.76273994705269</v>
      </c>
      <c r="AN15" s="59">
        <f ca="1">AVERAGE(OFFSET($AM$3,0,0,'Données projet'!$E$10+1,1))-AVERAGE(OFFSET($H$3,0,0,'Données projet'!$E$10+1,1))</f>
        <v>230.58262378842818</v>
      </c>
      <c r="AO15" s="59">
        <f t="shared" si="36"/>
        <v>235.68746142880792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42.205042285714271</v>
      </c>
      <c r="BF15" s="13">
        <f t="shared" si="37"/>
        <v>12.581255887241159</v>
      </c>
      <c r="BG15" s="20">
        <f t="shared" si="7"/>
        <v>95.419469317897367</v>
      </c>
      <c r="BH15" s="59">
        <f t="shared" si="8"/>
        <v>366.7528026512307</v>
      </c>
      <c r="BI15" s="59">
        <f ca="1">AVERAGE(OFFSET($BH$3,0,0,'Données projet'!$E$11+1,1))-AVERAGE(OFFSET($H$3,0,0,'Données projet'!$E$11+1,1))</f>
        <v>581.88778927327667</v>
      </c>
      <c r="BJ15" s="59">
        <f t="shared" si="38"/>
        <v>269.67340993773422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44.388061714285698</v>
      </c>
      <c r="CA15" s="13">
        <f t="shared" si="39"/>
        <v>13.154564130977278</v>
      </c>
      <c r="CB15" s="20">
        <f t="shared" si="10"/>
        <v>100.22007334716635</v>
      </c>
      <c r="CC15" s="59">
        <f t="shared" si="11"/>
        <v>371.55340668049968</v>
      </c>
      <c r="CD15" s="59">
        <f ca="1">AVERAGE(OFFSET($CC$3,0,0,'Données projet'!$E$12+1,1))-AVERAGE(OFFSET($H$3,0,0,'Données projet'!$E$12+1,1))</f>
        <v>609.60019207204277</v>
      </c>
      <c r="CE15" s="59">
        <f t="shared" si="40"/>
        <v>281.42238288764503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4.8667499999999997</v>
      </c>
      <c r="CT15" s="12">
        <f>IF('Données projet'!$A$140&gt;35,CT14+CS15-DB14,IF(A15&lt;'Données projet'!$A$140,$CQ$205^A15,IF(A15='Données projet'!$A$140,'Données projet'!$B$140,CT14+CS15-DB14)))</f>
        <v>15.321249999999999</v>
      </c>
      <c r="CU15" s="17">
        <f>CT15*VLOOKUP('Données projet'!$B$13,Paramètres!$A$1:$I$89,3,0)*VLOOKUP('Données projet'!$B$13,Paramètres!$A$1:$I$89,5,0)</f>
        <v>12.189586500000001</v>
      </c>
      <c r="CV15" s="13">
        <f t="shared" si="41"/>
        <v>4.1988650994091072</v>
      </c>
      <c r="CW15" s="20">
        <f t="shared" si="13"/>
        <v>28.543219868970862</v>
      </c>
      <c r="CX15" s="59">
        <f t="shared" si="14"/>
        <v>299.87655320230419</v>
      </c>
      <c r="CY15" s="59">
        <f ca="1">AVERAGE(OFFSET($CX$3,0,0,'Données projet'!$E$13+1,1))-AVERAGE(OFFSET($H$3,0,0,'Données projet'!$E$13+1,1))</f>
        <v>172.13940525084604</v>
      </c>
      <c r="CZ15" s="59">
        <f t="shared" si="42"/>
        <v>172.82328007157236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8</v>
      </c>
      <c r="DO15" s="12">
        <f>IF('Données projet'!$A$166&gt;35,DO14+DN15-DW14,IF(A15&lt;'Données projet'!$A$166,$DL$205^A15,IF(A15='Données projet'!$A$166,'Données projet'!$B$166,DO14+DN15-DW14)))</f>
        <v>60</v>
      </c>
      <c r="DP15" s="17">
        <f>DO15*VLOOKUP('Données projet'!$B$14,Paramètres!$A$1:$I$89,3,0)*VLOOKUP('Données projet'!$B$14,Paramètres!$A$1:$I$89,5,0)</f>
        <v>43.991999999999997</v>
      </c>
      <c r="DQ15" s="13">
        <f t="shared" si="43"/>
        <v>13.05079813120688</v>
      </c>
      <c r="DR15" s="20">
        <f t="shared" si="16"/>
        <v>99.349540078518643</v>
      </c>
      <c r="DS15" s="59">
        <f t="shared" si="17"/>
        <v>370.68287341185197</v>
      </c>
      <c r="DT15" s="59">
        <f ca="1">AVERAGE(OFFSET($DS$3,0,0,'Données projet'!$E$14+1,1))-AVERAGE(OFFSET($H$3,0,0,'Données projet'!$E$14+1,1))</f>
        <v>197.34725966440715</v>
      </c>
      <c r="DU15" s="59">
        <f t="shared" si="44"/>
        <v>240.16326570529532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11.659250077507631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11.659250077507631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2.6666666666666665</v>
      </c>
      <c r="EJ15" s="12">
        <f>IF('Données projet'!$A$192&gt;35,EJ14+EI15-ER14,IF(A15&lt;'Données projet'!$A$192,$EG$205^A15,IF(A15='Données projet'!$A$192,'Données projet'!$B$192,EJ14+EI15-ER14)))</f>
        <v>19.127049995800721</v>
      </c>
      <c r="EK15" s="17">
        <f>EJ15*VLOOKUP('Données projet'!$B$15,Paramètres!$A$1:$I$89,3,0)*VLOOKUP('Données projet'!$B$15,Paramètres!$A$1:$I$89,5,0)</f>
        <v>14.919098996724562</v>
      </c>
      <c r="EL15" s="13">
        <f t="shared" si="45"/>
        <v>5.019622097301081</v>
      </c>
      <c r="EM15" s="20">
        <f t="shared" si="19"/>
        <v>34.726605905427995</v>
      </c>
      <c r="EN15" s="59">
        <f t="shared" si="20"/>
        <v>306.05993923876133</v>
      </c>
      <c r="EO15" s="59">
        <f ca="1">AVERAGE(OFFSET($EN$3,0,0,'Données projet'!$E$15+1,1))-AVERAGE(OFFSET($H$3,0,0,'Données projet'!$E$15+1,1))</f>
        <v>288.82868507674738</v>
      </c>
      <c r="EP15" s="59">
        <f t="shared" si="46"/>
        <v>283.48738729114024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3.887142857142857</v>
      </c>
      <c r="N16" s="13">
        <f>IF('Données projet'!$A$36&gt;35,N15+M16-V15,IF(A16&lt;'Données projet'!$A$36,$K$205^A16,IF(A16='Données projet'!$A$36,'Données projet'!$B$36,N15+M16-V15)))</f>
        <v>50.532857142857125</v>
      </c>
      <c r="O16" s="13">
        <f>N16*VLOOKUP('Données projet'!$B$9,Paramètres!$A$1:$I$89,3,0)*VLOOKUP('Données projet'!$B$9,Paramètres!$A$1:$I$89,5,0)</f>
        <v>45.722129142857128</v>
      </c>
      <c r="P16" s="13">
        <f t="shared" si="33"/>
        <v>13.50329614922042</v>
      </c>
      <c r="Q16" s="20">
        <f t="shared" si="2"/>
        <v>103.1509490503684</v>
      </c>
      <c r="R16" s="59">
        <f t="shared" si="0"/>
        <v>375.70650460592395</v>
      </c>
      <c r="S16" s="59">
        <f ca="1">AVERAGE(OFFSET($R$3,0,0,'Données projet'!$E$9+1,1))-AVERAGE(OFFSET($H$3,0,0,'Données projet'!$E$9+1,1))</f>
        <v>581.88778927327667</v>
      </c>
      <c r="T16" s="59">
        <f t="shared" si="34"/>
        <v>269.67340993773422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5.6</v>
      </c>
      <c r="AI16" s="13">
        <f>IF('Données projet'!$A$62&gt;35,AI15+AH16-AQ15,IF(A16&lt;'Données projet'!$A$62,$AF$205^A16,IF(A16='Données projet'!$A$62,'Données projet'!$B$62,AI15+AH16-AQ15)))</f>
        <v>24.799999999999997</v>
      </c>
      <c r="AJ16" s="13">
        <f>AI16*VLOOKUP('Données projet'!$B$10,Paramètres!$A$1:$I$89,3,0)*VLOOKUP('Données projet'!$B$10,Paramètres!$A$1:$I$89,5,0)</f>
        <v>16.248959999999997</v>
      </c>
      <c r="AK16" s="13">
        <f t="shared" si="35"/>
        <v>5.4129939058841172</v>
      </c>
      <c r="AL16" s="20">
        <f t="shared" si="4"/>
        <v>37.727903052748168</v>
      </c>
      <c r="AM16" s="59">
        <f t="shared" si="5"/>
        <v>310.2834586083037</v>
      </c>
      <c r="AN16" s="59">
        <f ca="1">AVERAGE(OFFSET($AM$3,0,0,'Données projet'!$E$10+1,1))-AVERAGE(OFFSET($H$3,0,0,'Données projet'!$E$10+1,1))</f>
        <v>230.58262378842818</v>
      </c>
      <c r="AO16" s="59">
        <f t="shared" si="36"/>
        <v>235.68746142880792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45.722129142857128</v>
      </c>
      <c r="BF16" s="13">
        <f t="shared" si="37"/>
        <v>13.50329614922042</v>
      </c>
      <c r="BG16" s="20">
        <f t="shared" si="7"/>
        <v>103.1509490503684</v>
      </c>
      <c r="BH16" s="59">
        <f t="shared" si="8"/>
        <v>375.70650460592395</v>
      </c>
      <c r="BI16" s="59">
        <f ca="1">AVERAGE(OFFSET($BH$3,0,0,'Données projet'!$E$11+1,1))-AVERAGE(OFFSET($H$3,0,0,'Données projet'!$E$11+1,1))</f>
        <v>581.88778927327667</v>
      </c>
      <c r="BJ16" s="59">
        <f t="shared" si="38"/>
        <v>269.67340993773422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48.087066857142844</v>
      </c>
      <c r="CA16" s="13">
        <f t="shared" si="39"/>
        <v>14.118620332222624</v>
      </c>
      <c r="CB16" s="20">
        <f t="shared" si="10"/>
        <v>108.34157185481153</v>
      </c>
      <c r="CC16" s="59">
        <f t="shared" si="11"/>
        <v>380.89712741036709</v>
      </c>
      <c r="CD16" s="59">
        <f ca="1">AVERAGE(OFFSET($CC$3,0,0,'Données projet'!$E$12+1,1))-AVERAGE(OFFSET($H$3,0,0,'Données projet'!$E$12+1,1))</f>
        <v>609.60019207204277</v>
      </c>
      <c r="CE16" s="59">
        <f t="shared" si="40"/>
        <v>281.42238288764503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4.8667499999999997</v>
      </c>
      <c r="CT16" s="12">
        <f>IF('Données projet'!$A$140&gt;35,CT15+CS16-DB15,IF(A16&lt;'Données projet'!$A$140,$CQ$205^A16,IF(A16='Données projet'!$A$140,'Données projet'!$B$140,CT15+CS16-DB15)))</f>
        <v>20.187999999999999</v>
      </c>
      <c r="CU16" s="17">
        <f>CT16*VLOOKUP('Données projet'!$B$13,Paramètres!$A$1:$I$89,3,0)*VLOOKUP('Données projet'!$B$13,Paramètres!$A$1:$I$89,5,0)</f>
        <v>16.0615728</v>
      </c>
      <c r="CV16" s="13">
        <f t="shared" si="41"/>
        <v>5.3577988412427189</v>
      </c>
      <c r="CW16" s="20">
        <f t="shared" si="13"/>
        <v>37.305405608497736</v>
      </c>
      <c r="CX16" s="59">
        <f t="shared" si="14"/>
        <v>309.86096116405326</v>
      </c>
      <c r="CY16" s="59">
        <f ca="1">AVERAGE(OFFSET($CX$3,0,0,'Données projet'!$E$13+1,1))-AVERAGE(OFFSET($H$3,0,0,'Données projet'!$E$13+1,1))</f>
        <v>172.13940525084604</v>
      </c>
      <c r="CZ16" s="59">
        <f t="shared" si="42"/>
        <v>172.82328007157236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8</v>
      </c>
      <c r="DO16" s="12">
        <f>IF('Données projet'!$A$166&gt;35,DO15+DN16-DW15,IF(A16&lt;'Données projet'!$A$166,$DL$205^A16,IF(A16='Données projet'!$A$166,'Données projet'!$B$166,DO15+DN16-DW15)))</f>
        <v>68</v>
      </c>
      <c r="DP16" s="17">
        <f>DO16*VLOOKUP('Données projet'!$B$14,Paramètres!$A$1:$I$89,3,0)*VLOOKUP('Données projet'!$B$14,Paramètres!$A$1:$I$89,5,0)</f>
        <v>49.857599999999998</v>
      </c>
      <c r="DQ16" s="13">
        <f t="shared" si="43"/>
        <v>14.576978140351212</v>
      </c>
      <c r="DR16" s="20">
        <f t="shared" si="16"/>
        <v>112.22355692777835</v>
      </c>
      <c r="DS16" s="59">
        <f t="shared" si="17"/>
        <v>384.7791124833339</v>
      </c>
      <c r="DT16" s="59">
        <f ca="1">AVERAGE(OFFSET($DS$3,0,0,'Données projet'!$E$14+1,1))-AVERAGE(OFFSET($H$3,0,0,'Données projet'!$E$14+1,1))</f>
        <v>197.34725966440715</v>
      </c>
      <c r="DU16" s="59">
        <f t="shared" si="44"/>
        <v>240.16326570529532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11.34042727100487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11.34042727100487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2.6666666666666665</v>
      </c>
      <c r="EJ16" s="12">
        <f>IF('Données projet'!$A$192&gt;35,EJ15+EI16-ER15,IF(A16&lt;'Données projet'!$A$192,$EG$205^A16,IF(A16='Données projet'!$A$192,'Données projet'!$B$192,EJ15+EI16-ER15)))</f>
        <v>24.459748796430759</v>
      </c>
      <c r="EK16" s="17">
        <f>EJ16*VLOOKUP('Données projet'!$B$15,Paramètres!$A$1:$I$89,3,0)*VLOOKUP('Données projet'!$B$15,Paramètres!$A$1:$I$89,5,0)</f>
        <v>19.078604061215994</v>
      </c>
      <c r="EL16" s="13">
        <f t="shared" si="45"/>
        <v>6.2379664748280286</v>
      </c>
      <c r="EM16" s="20">
        <f t="shared" si="19"/>
        <v>44.093027016943331</v>
      </c>
      <c r="EN16" s="59">
        <f t="shared" si="20"/>
        <v>316.64858257249887</v>
      </c>
      <c r="EO16" s="59">
        <f ca="1">AVERAGE(OFFSET($EN$3,0,0,'Données projet'!$E$15+1,1))-AVERAGE(OFFSET($H$3,0,0,'Données projet'!$E$15+1,1))</f>
        <v>288.82868507674738</v>
      </c>
      <c r="EP16" s="59">
        <f t="shared" si="46"/>
        <v>283.48738729114024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3.887142857142857</v>
      </c>
      <c r="N17" s="13">
        <f>IF('Données projet'!$A$36&gt;35,N16+M17-V16,IF(A17&lt;'Données projet'!$A$36,$K$205^A17,IF(A17='Données projet'!$A$36,'Données projet'!$B$36,N16+M17-V16)))</f>
        <v>54.41999999999998</v>
      </c>
      <c r="O17" s="13">
        <f>N17*VLOOKUP('Données projet'!$B$9,Paramètres!$A$1:$I$89,3,0)*VLOOKUP('Données projet'!$B$9,Paramètres!$A$1:$I$89,5,0)</f>
        <v>49.239215999999978</v>
      </c>
      <c r="P17" s="13">
        <f t="shared" si="33"/>
        <v>14.417108895027585</v>
      </c>
      <c r="Q17" s="20">
        <f t="shared" si="2"/>
        <v>110.86809919217301</v>
      </c>
      <c r="R17" s="59">
        <f t="shared" si="0"/>
        <v>384.64587696995079</v>
      </c>
      <c r="S17" s="59">
        <f ca="1">AVERAGE(OFFSET($R$3,0,0,'Données projet'!$E$9+1,1))-AVERAGE(OFFSET($H$3,0,0,'Données projet'!$E$9+1,1))</f>
        <v>581.88778927327667</v>
      </c>
      <c r="T17" s="59">
        <f t="shared" si="34"/>
        <v>269.67340993773422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5.6</v>
      </c>
      <c r="AI17" s="13">
        <f>IF('Données projet'!$A$62&gt;35,AI16+AH17-AQ16,IF(A17&lt;'Données projet'!$A$62,$AF$205^A17,IF(A17='Données projet'!$A$62,'Données projet'!$B$62,AI16+AH17-AQ16)))</f>
        <v>30.4</v>
      </c>
      <c r="AJ17" s="13">
        <f>AI17*VLOOKUP('Données projet'!$B$10,Paramètres!$A$1:$I$89,3,0)*VLOOKUP('Données projet'!$B$10,Paramètres!$A$1:$I$89,5,0)</f>
        <v>19.91808</v>
      </c>
      <c r="AK17" s="13">
        <f t="shared" si="35"/>
        <v>6.4798825087607046</v>
      </c>
      <c r="AL17" s="20">
        <f t="shared" si="4"/>
        <v>45.976451369424893</v>
      </c>
      <c r="AM17" s="59">
        <f t="shared" si="5"/>
        <v>319.75422914720264</v>
      </c>
      <c r="AN17" s="59">
        <f ca="1">AVERAGE(OFFSET($AM$3,0,0,'Données projet'!$E$10+1,1))-AVERAGE(OFFSET($H$3,0,0,'Données projet'!$E$10+1,1))</f>
        <v>230.58262378842818</v>
      </c>
      <c r="AO17" s="59">
        <f t="shared" si="36"/>
        <v>235.68746142880792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49.239215999999978</v>
      </c>
      <c r="BF17" s="13">
        <f t="shared" si="37"/>
        <v>14.417108895027585</v>
      </c>
      <c r="BG17" s="20">
        <f t="shared" si="7"/>
        <v>110.86809919217301</v>
      </c>
      <c r="BH17" s="59">
        <f t="shared" si="8"/>
        <v>384.64587696995079</v>
      </c>
      <c r="BI17" s="59">
        <f ca="1">AVERAGE(OFFSET($BH$3,0,0,'Données projet'!$E$11+1,1))-AVERAGE(OFFSET($H$3,0,0,'Données projet'!$E$11+1,1))</f>
        <v>581.88778927327667</v>
      </c>
      <c r="BJ17" s="59">
        <f t="shared" si="38"/>
        <v>269.67340993773422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51.78607199999999</v>
      </c>
      <c r="CA17" s="13">
        <f t="shared" si="39"/>
        <v>15.07407410219286</v>
      </c>
      <c r="CB17" s="20">
        <f t="shared" si="10"/>
        <v>116.44808779465257</v>
      </c>
      <c r="CC17" s="59">
        <f t="shared" si="11"/>
        <v>390.22586557243034</v>
      </c>
      <c r="CD17" s="59">
        <f ca="1">AVERAGE(OFFSET($CC$3,0,0,'Données projet'!$E$12+1,1))-AVERAGE(OFFSET($H$3,0,0,'Données projet'!$E$12+1,1))</f>
        <v>609.60019207204277</v>
      </c>
      <c r="CE17" s="59">
        <f t="shared" si="40"/>
        <v>281.42238288764503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4.8667499999999997</v>
      </c>
      <c r="CT17" s="12">
        <f>IF('Données projet'!$A$140&gt;35,CT16+CS17-DB16,IF(A17&lt;'Données projet'!$A$140,$CQ$205^A17,IF(A17='Données projet'!$A$140,'Données projet'!$B$140,CT16+CS17-DB16)))</f>
        <v>25.054749999999999</v>
      </c>
      <c r="CU17" s="17">
        <f>CT17*VLOOKUP('Données projet'!$B$13,Paramètres!$A$1:$I$89,3,0)*VLOOKUP('Données projet'!$B$13,Paramètres!$A$1:$I$89,5,0)</f>
        <v>19.9335591</v>
      </c>
      <c r="CV17" s="13">
        <f t="shared" si="41"/>
        <v>6.4843319085976407</v>
      </c>
      <c r="CW17" s="20">
        <f t="shared" si="13"/>
        <v>46.011160173307559</v>
      </c>
      <c r="CX17" s="59">
        <f t="shared" si="14"/>
        <v>319.78893795108536</v>
      </c>
      <c r="CY17" s="59">
        <f ca="1">AVERAGE(OFFSET($CX$3,0,0,'Données projet'!$E$13+1,1))-AVERAGE(OFFSET($H$3,0,0,'Données projet'!$E$13+1,1))</f>
        <v>172.13940525084604</v>
      </c>
      <c r="CZ17" s="59">
        <f t="shared" si="42"/>
        <v>172.82328007157236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8</v>
      </c>
      <c r="DO17" s="12">
        <f>IF('Données projet'!$A$166&gt;35,DO16+DN17-DW16,IF(A17&lt;'Données projet'!$A$166,$DL$205^A17,IF(A17='Données projet'!$A$166,'Données projet'!$B$166,DO16+DN17-DW16)))</f>
        <v>76</v>
      </c>
      <c r="DP17" s="17">
        <f>DO17*VLOOKUP('Données projet'!$B$14,Paramètres!$A$1:$I$89,3,0)*VLOOKUP('Données projet'!$B$14,Paramètres!$A$1:$I$89,5,0)</f>
        <v>55.723199999999999</v>
      </c>
      <c r="DQ17" s="13">
        <f t="shared" si="43"/>
        <v>16.082350294695448</v>
      </c>
      <c r="DR17" s="20">
        <f t="shared" si="16"/>
        <v>125.0613334299279</v>
      </c>
      <c r="DS17" s="59">
        <f t="shared" si="17"/>
        <v>398.83911120770568</v>
      </c>
      <c r="DT17" s="59">
        <f ca="1">AVERAGE(OFFSET($DS$3,0,0,'Données projet'!$E$14+1,1))-AVERAGE(OFFSET($H$3,0,0,'Données projet'!$E$14+1,1))</f>
        <v>197.34725966440715</v>
      </c>
      <c r="DU17" s="59">
        <f t="shared" si="44"/>
        <v>240.16326570529532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11.03032269091209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11.03032269091209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2.6666666666666665</v>
      </c>
      <c r="EJ17" s="12">
        <f>IF('Données projet'!$A$192&gt;35,EJ16+EI17-ER16,IF(A17&lt;'Données projet'!$A$192,$EG$205^A17,IF(A17='Données projet'!$A$192,'Données projet'!$B$192,EJ16+EI17-ER16)))</f>
        <v>31.279225563578599</v>
      </c>
      <c r="EK17" s="17">
        <f>EJ17*VLOOKUP('Données projet'!$B$15,Paramètres!$A$1:$I$89,3,0)*VLOOKUP('Données projet'!$B$15,Paramètres!$A$1:$I$89,5,0)</f>
        <v>24.397795939591308</v>
      </c>
      <c r="EL17" s="13">
        <f t="shared" si="45"/>
        <v>7.75202295846145</v>
      </c>
      <c r="EM17" s="20">
        <f t="shared" si="19"/>
        <v>55.994267914108548</v>
      </c>
      <c r="EN17" s="59">
        <f t="shared" si="20"/>
        <v>329.77204569188632</v>
      </c>
      <c r="EO17" s="59">
        <f ca="1">AVERAGE(OFFSET($EN$3,0,0,'Données projet'!$E$15+1,1))-AVERAGE(OFFSET($H$3,0,0,'Données projet'!$E$15+1,1))</f>
        <v>288.82868507674738</v>
      </c>
      <c r="EP17" s="59">
        <f t="shared" si="46"/>
        <v>283.48738729114024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3.887142857142857</v>
      </c>
      <c r="N18" s="13">
        <f>IF('Données projet'!$A$36&gt;35,N17+M18-V17,IF(A18&lt;'Données projet'!$A$36,$K$205^A18,IF(A18='Données projet'!$A$36,'Données projet'!$B$36,N17+M18-V17)))</f>
        <v>58.307142857142836</v>
      </c>
      <c r="O18" s="13">
        <f>N18*VLOOKUP('Données projet'!$B$9,Paramètres!$A$1:$I$89,3,0)*VLOOKUP('Données projet'!$B$9,Paramètres!$A$1:$I$89,5,0)</f>
        <v>52.756302857142842</v>
      </c>
      <c r="P18" s="13">
        <f t="shared" si="33"/>
        <v>15.323348643415981</v>
      </c>
      <c r="Q18" s="20">
        <f t="shared" si="2"/>
        <v>118.57205969680662</v>
      </c>
      <c r="R18" s="59">
        <f t="shared" si="0"/>
        <v>393.5720596968066</v>
      </c>
      <c r="S18" s="59">
        <f ca="1">AVERAGE(OFFSET($R$3,0,0,'Données projet'!$E$9+1,1))-AVERAGE(OFFSET($H$3,0,0,'Données projet'!$E$9+1,1))</f>
        <v>581.88778927327667</v>
      </c>
      <c r="T18" s="59">
        <f t="shared" si="34"/>
        <v>269.67340993773422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36</v>
      </c>
      <c r="AG18" s="12">
        <f>VLOOKUP(A18,'Données projet'!$A$61:$I$81,9,0)</f>
        <v>5.6</v>
      </c>
      <c r="AH18" s="12">
        <f t="array" ref="AH18">INDEX(AG:AG,MIN(IF(ISNUMBER(AG18:AG214),ROW(AG18:AG214),"")))</f>
        <v>5.6</v>
      </c>
      <c r="AI18" s="13">
        <f>IF('Données projet'!$A$62&gt;35,AI17+AH18-AQ17,IF(A18&lt;'Données projet'!$A$62,$AF$205^A18,IF(A18='Données projet'!$A$62,'Données projet'!$B$62,AI17+AH18-AQ17)))</f>
        <v>36</v>
      </c>
      <c r="AJ18" s="13">
        <f>AI18*VLOOKUP('Données projet'!$B$10,Paramètres!$A$1:$I$89,3,0)*VLOOKUP('Données projet'!$B$10,Paramètres!$A$1:$I$89,5,0)</f>
        <v>23.587199999999999</v>
      </c>
      <c r="AK18" s="13">
        <f t="shared" si="35"/>
        <v>7.5240023521815003</v>
      </c>
      <c r="AL18" s="20">
        <f t="shared" si="4"/>
        <v>54.185344096716108</v>
      </c>
      <c r="AM18" s="59">
        <f t="shared" si="5"/>
        <v>329.18534409671611</v>
      </c>
      <c r="AN18" s="59">
        <f ca="1">AVERAGE(OFFSET($AM$3,0,0,'Données projet'!$E$10+1,1))-AVERAGE(OFFSET($H$3,0,0,'Données projet'!$E$10+1,1))</f>
        <v>230.58262378842818</v>
      </c>
      <c r="AO18" s="59">
        <f t="shared" si="36"/>
        <v>235.68746142880792</v>
      </c>
      <c r="AP18" s="15">
        <f>IF(ISNA(VLOOKUP(A18,'Données projet'!$A$61:$I$81,3,0)),0,VLOOKUP(A18,'Données projet'!$A$61:$I$81,3,0))</f>
        <v>2</v>
      </c>
      <c r="AQ18" s="15">
        <f>IF(ISNA(VLOOKUP(A18,'Données projet'!$A$61:$I$81,4,0)),0,VLOOKUP(A18,'Données projet'!$A$61:$I$81,4,0))</f>
        <v>3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52.756302857142842</v>
      </c>
      <c r="BF18" s="13">
        <f t="shared" si="37"/>
        <v>15.323348643415981</v>
      </c>
      <c r="BG18" s="20">
        <f t="shared" si="7"/>
        <v>118.57205969680662</v>
      </c>
      <c r="BH18" s="59">
        <f t="shared" si="8"/>
        <v>393.5720596968066</v>
      </c>
      <c r="BI18" s="59">
        <f ca="1">AVERAGE(OFFSET($BH$3,0,0,'Données projet'!$E$11+1,1))-AVERAGE(OFFSET($H$3,0,0,'Données projet'!$E$11+1,1))</f>
        <v>581.88778927327667</v>
      </c>
      <c r="BJ18" s="59">
        <f t="shared" si="38"/>
        <v>269.67340993773422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55.485077142857122</v>
      </c>
      <c r="CA18" s="13">
        <f t="shared" si="39"/>
        <v>16.021609785041925</v>
      </c>
      <c r="CB18" s="20">
        <f t="shared" si="10"/>
        <v>124.54081306609082</v>
      </c>
      <c r="CC18" s="59">
        <f t="shared" si="11"/>
        <v>399.54081306609083</v>
      </c>
      <c r="CD18" s="59">
        <f ca="1">AVERAGE(OFFSET($CC$3,0,0,'Données projet'!$E$12+1,1))-AVERAGE(OFFSET($H$3,0,0,'Données projet'!$E$12+1,1))</f>
        <v>609.60019207204277</v>
      </c>
      <c r="CE18" s="59">
        <f t="shared" si="40"/>
        <v>281.42238288764503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29.921499999999998</v>
      </c>
      <c r="CR18" s="12">
        <f>VLOOKUP(A18,'Données projet'!$A$139:$I$159,9,0)</f>
        <v>4.8667499999999997</v>
      </c>
      <c r="CS18" s="12">
        <f t="array" ref="CS18">INDEX(CR:CR,MIN(IF(ISNUMBER(CR18:CR214),ROW(CR18:CR214),"")))</f>
        <v>4.8667499999999997</v>
      </c>
      <c r="CT18" s="12">
        <f>IF('Données projet'!$A$140&gt;35,CT17+CS18-DB17,IF(A18&lt;'Données projet'!$A$140,$CQ$205^A18,IF(A18='Données projet'!$A$140,'Données projet'!$B$140,CT17+CS18-DB17)))</f>
        <v>29.921499999999998</v>
      </c>
      <c r="CU18" s="17">
        <f>CT18*VLOOKUP('Données projet'!$B$13,Paramètres!$A$1:$I$89,3,0)*VLOOKUP('Données projet'!$B$13,Paramètres!$A$1:$I$89,5,0)</f>
        <v>23.8055454</v>
      </c>
      <c r="CV18" s="13">
        <f t="shared" si="41"/>
        <v>7.5855114063204532</v>
      </c>
      <c r="CW18" s="20">
        <f t="shared" si="13"/>
        <v>54.672757271008116</v>
      </c>
      <c r="CX18" s="59">
        <f t="shared" si="14"/>
        <v>329.67275727100809</v>
      </c>
      <c r="CY18" s="59">
        <f ca="1">AVERAGE(OFFSET($CX$3,0,0,'Données projet'!$E$13+1,1))-AVERAGE(OFFSET($H$3,0,0,'Données projet'!$E$13+1,1))</f>
        <v>172.13940525084604</v>
      </c>
      <c r="CZ18" s="59">
        <f t="shared" si="42"/>
        <v>172.82328007157236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14.42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8</v>
      </c>
      <c r="DO18" s="12">
        <f>IF('Données projet'!$A$166&gt;35,DO17+DN18-DW17,IF(A18&lt;'Données projet'!$A$166,$DL$205^A18,IF(A18='Données projet'!$A$166,'Données projet'!$B$166,DO17+DN18-DW17)))</f>
        <v>84</v>
      </c>
      <c r="DP18" s="17">
        <f>DO18*VLOOKUP('Données projet'!$B$14,Paramètres!$A$1:$I$89,3,0)*VLOOKUP('Données projet'!$B$14,Paramètres!$A$1:$I$89,5,0)</f>
        <v>61.588799999999999</v>
      </c>
      <c r="DQ18" s="13">
        <f t="shared" si="43"/>
        <v>17.56935444538782</v>
      </c>
      <c r="DR18" s="20">
        <f t="shared" si="16"/>
        <v>137.86711899238378</v>
      </c>
      <c r="DS18" s="59">
        <f t="shared" si="17"/>
        <v>412.86711899238378</v>
      </c>
      <c r="DT18" s="59">
        <f ca="1">AVERAGE(OFFSET($DS$3,0,0,'Données projet'!$E$14+1,1))-AVERAGE(OFFSET($H$3,0,0,'Données projet'!$E$14+1,1))</f>
        <v>197.34725966440715</v>
      </c>
      <c r="DU18" s="59">
        <f t="shared" si="44"/>
        <v>240.16326570529532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10.728697936869638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10.728697936869638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40</v>
      </c>
      <c r="EH18" s="12">
        <f>VLOOKUP(A18,'Données projet'!$A$191:$I$211,9,0)</f>
        <v>2.6666666666666665</v>
      </c>
      <c r="EI18" s="12">
        <f t="array" ref="EI18">INDEX(EH:EH,MIN(IF(ISNUMBER(EH18:EH214),ROW(EH18:EH214),"")))</f>
        <v>2.6666666666666665</v>
      </c>
      <c r="EJ18" s="12">
        <f>IF('Données projet'!$A$192&gt;35,EJ17+EI18-ER17,IF(A18&lt;'Données projet'!$A$192,$EG$205^A18,IF(A18='Données projet'!$A$192,'Données projet'!$B$192,EJ17+EI18-ER17)))</f>
        <v>40</v>
      </c>
      <c r="EK18" s="17">
        <f>EJ18*VLOOKUP('Données projet'!$B$15,Paramètres!$A$1:$I$89,3,0)*VLOOKUP('Données projet'!$B$15,Paramètres!$A$1:$I$89,5,0)</f>
        <v>31.200000000000003</v>
      </c>
      <c r="EL18" s="13">
        <f t="shared" si="45"/>
        <v>9.6335657126419925</v>
      </c>
      <c r="EM18" s="20">
        <f t="shared" si="19"/>
        <v>71.118460282851473</v>
      </c>
      <c r="EN18" s="59">
        <f t="shared" si="20"/>
        <v>346.11846028285146</v>
      </c>
      <c r="EO18" s="59">
        <f ca="1">AVERAGE(OFFSET($EN$3,0,0,'Données projet'!$E$15+1,1))-AVERAGE(OFFSET($H$3,0,0,'Données projet'!$E$15+1,1))</f>
        <v>288.82868507674738</v>
      </c>
      <c r="EP18" s="59">
        <f t="shared" si="46"/>
        <v>283.48738729114024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3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0.215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0.55397232565218346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0.55397232565218346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3.887142857142857</v>
      </c>
      <c r="N19" s="13">
        <f>IF('Données projet'!$A$36&gt;35,N18+M19-V18,IF(A19&lt;'Données projet'!$A$36,$K$205^A19,IF(A19='Données projet'!$A$36,'Données projet'!$B$36,N18+M19-V18)))</f>
        <v>62.194285714285691</v>
      </c>
      <c r="O19" s="13">
        <f>N19*VLOOKUP('Données projet'!$B$9,Paramètres!$A$1:$I$89,3,0)*VLOOKUP('Données projet'!$B$9,Paramètres!$A$1:$I$89,5,0)</f>
        <v>56.273389714285692</v>
      </c>
      <c r="P19" s="13">
        <f t="shared" si="33"/>
        <v>16.222577706752112</v>
      </c>
      <c r="Q19" s="20">
        <f t="shared" si="2"/>
        <v>126.26380992497417</v>
      </c>
      <c r="R19" s="59">
        <f t="shared" si="0"/>
        <v>402.4860321471964</v>
      </c>
      <c r="S19" s="59">
        <f ca="1">AVERAGE(OFFSET($R$3,0,0,'Données projet'!$E$9+1,1))-AVERAGE(OFFSET($H$3,0,0,'Données projet'!$E$9+1,1))</f>
        <v>581.88778927327667</v>
      </c>
      <c r="T19" s="59">
        <f t="shared" si="34"/>
        <v>269.67340993773422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10.199999999999999</v>
      </c>
      <c r="AI19" s="13">
        <f>IF('Données projet'!$A$62&gt;35,AI18+AH19-AQ18,IF(A19&lt;'Données projet'!$A$62,$AF$205^A19,IF(A19='Données projet'!$A$62,'Données projet'!$B$62,AI18+AH19-AQ18)))</f>
        <v>43.2</v>
      </c>
      <c r="AJ19" s="13">
        <f>AI19*VLOOKUP('Données projet'!$B$10,Paramètres!$A$1:$I$89,3,0)*VLOOKUP('Données projet'!$B$10,Paramètres!$A$1:$I$89,5,0)</f>
        <v>28.304640000000003</v>
      </c>
      <c r="AK19" s="13">
        <f t="shared" si="35"/>
        <v>8.8392104022316804</v>
      </c>
      <c r="AL19" s="20">
        <f t="shared" si="4"/>
        <v>64.692206117220181</v>
      </c>
      <c r="AM19" s="59">
        <f t="shared" si="5"/>
        <v>340.9144283394424</v>
      </c>
      <c r="AN19" s="59">
        <f ca="1">AVERAGE(OFFSET($AM$3,0,0,'Données projet'!$E$10+1,1))-AVERAGE(OFFSET($H$3,0,0,'Données projet'!$E$10+1,1))</f>
        <v>230.58262378842818</v>
      </c>
      <c r="AO19" s="59">
        <f t="shared" si="36"/>
        <v>235.68746142880792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56.273389714285692</v>
      </c>
      <c r="BF19" s="13">
        <f t="shared" si="37"/>
        <v>16.222577706752112</v>
      </c>
      <c r="BG19" s="20">
        <f t="shared" si="7"/>
        <v>126.26380992497417</v>
      </c>
      <c r="BH19" s="59">
        <f t="shared" si="8"/>
        <v>402.4860321471964</v>
      </c>
      <c r="BI19" s="59">
        <f ca="1">AVERAGE(OFFSET($BH$3,0,0,'Données projet'!$E$11+1,1))-AVERAGE(OFFSET($H$3,0,0,'Données projet'!$E$11+1,1))</f>
        <v>581.88778927327667</v>
      </c>
      <c r="BJ19" s="59">
        <f t="shared" si="38"/>
        <v>269.67340993773422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59.184082285714261</v>
      </c>
      <c r="CA19" s="13">
        <f t="shared" si="39"/>
        <v>16.961815316835434</v>
      </c>
      <c r="CB19" s="20">
        <f t="shared" si="10"/>
        <v>132.62077165777404</v>
      </c>
      <c r="CC19" s="59">
        <f t="shared" si="11"/>
        <v>408.84299387999624</v>
      </c>
      <c r="CD19" s="59">
        <f ca="1">AVERAGE(OFFSET($CC$3,0,0,'Données projet'!$E$12+1,1))-AVERAGE(OFFSET($H$3,0,0,'Données projet'!$E$12+1,1))</f>
        <v>609.60019207204277</v>
      </c>
      <c r="CE19" s="59">
        <f t="shared" si="40"/>
        <v>281.42238288764503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5.87615</v>
      </c>
      <c r="CT19" s="12">
        <f>IF('Données projet'!$A$140&gt;35,CT18+CS19-DB18,IF(A19&lt;'Données projet'!$A$140,$CQ$205^A19,IF(A19='Données projet'!$A$140,'Données projet'!$B$140,CT18+CS19-DB18)))</f>
        <v>21.377649999999996</v>
      </c>
      <c r="CU19" s="17">
        <f>CT19*VLOOKUP('Données projet'!$B$13,Paramètres!$A$1:$I$89,3,0)*VLOOKUP('Données projet'!$B$13,Paramètres!$A$1:$I$89,5,0)</f>
        <v>17.008058339999998</v>
      </c>
      <c r="CV19" s="13">
        <f t="shared" si="41"/>
        <v>5.6358391598995272</v>
      </c>
      <c r="CW19" s="20">
        <f t="shared" si="13"/>
        <v>39.438121478991668</v>
      </c>
      <c r="CX19" s="59">
        <f t="shared" si="14"/>
        <v>315.66034370121389</v>
      </c>
      <c r="CY19" s="59">
        <f ca="1">AVERAGE(OFFSET($CX$3,0,0,'Données projet'!$E$13+1,1))-AVERAGE(OFFSET($H$3,0,0,'Données projet'!$E$13+1,1))</f>
        <v>172.13940525084604</v>
      </c>
      <c r="CZ19" s="59">
        <f t="shared" si="42"/>
        <v>172.82328007157236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>
        <f>VLOOKUP(A19,'Données projet'!$A$165:$I$185,2,0)</f>
        <v>92</v>
      </c>
      <c r="DM19" s="12">
        <f>VLOOKUP(A19,'Données projet'!$A$165:$I$185,9,0)</f>
        <v>8</v>
      </c>
      <c r="DN19" s="12">
        <f t="array" ref="DN19">INDEX(DM:DM,MIN(IF(ISNUMBER(DM19:DM215),ROW(DM19:DM215),"")))</f>
        <v>8</v>
      </c>
      <c r="DO19" s="12">
        <f>IF('Données projet'!$A$166&gt;35,DO18+DN19-DW18,IF(A19&lt;'Données projet'!$A$166,$DL$205^A19,IF(A19='Données projet'!$A$166,'Données projet'!$B$166,DO18+DN19-DW18)))</f>
        <v>92</v>
      </c>
      <c r="DP19" s="17">
        <f>DO19*VLOOKUP('Données projet'!$B$14,Paramètres!$A$1:$I$89,3,0)*VLOOKUP('Données projet'!$B$14,Paramètres!$A$1:$I$89,5,0)</f>
        <v>67.454399999999993</v>
      </c>
      <c r="DQ19" s="13">
        <f t="shared" si="43"/>
        <v>19.03993894863979</v>
      </c>
      <c r="DR19" s="20">
        <f t="shared" si="16"/>
        <v>150.64430700221428</v>
      </c>
      <c r="DS19" s="59">
        <f t="shared" si="17"/>
        <v>426.86652922443648</v>
      </c>
      <c r="DT19" s="59">
        <f ca="1">AVERAGE(OFFSET($DS$3,0,0,'Données projet'!$E$14+1,1))-AVERAGE(OFFSET($H$3,0,0,'Données projet'!$E$14+1,1))</f>
        <v>197.34725966440715</v>
      </c>
      <c r="DU19" s="59">
        <f t="shared" si="44"/>
        <v>240.16326570529532</v>
      </c>
      <c r="DV19" s="15">
        <f>IF(ISNA(VLOOKUP(A19,'Données projet'!$A$165:$I$185,3,0)),0,VLOOKUP(A19,'Données projet'!$A$165:$I$185,3,0))</f>
        <v>2</v>
      </c>
      <c r="DW19" s="15">
        <f>IF(ISNA(VLOOKUP(A19,'Données projet'!$A$165:$I$185,4,0)),0,VLOOKUP(A19,'Données projet'!$A$165:$I$185,4,0))</f>
        <v>33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0.215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16.163394974831807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16.163394974831807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9.6</v>
      </c>
      <c r="EJ19" s="12">
        <f>IF('Données projet'!$A$192&gt;35,EJ18+EI19-ER18,IF(A19&lt;'Données projet'!$A$192,$EG$205^A19,IF(A19='Données projet'!$A$192,'Données projet'!$B$192,EJ18+EI19-ER18)))</f>
        <v>46.6</v>
      </c>
      <c r="EK19" s="17">
        <f>EJ19*VLOOKUP('Données projet'!$B$15,Paramètres!$A$1:$I$89,3,0)*VLOOKUP('Données projet'!$B$15,Paramètres!$A$1:$I$89,5,0)</f>
        <v>36.347999999999999</v>
      </c>
      <c r="EL19" s="13">
        <f t="shared" si="45"/>
        <v>11.025356771848859</v>
      </c>
      <c r="EM19" s="20">
        <f t="shared" si="19"/>
        <v>82.508596377636763</v>
      </c>
      <c r="EN19" s="59">
        <f t="shared" si="20"/>
        <v>358.73081859985899</v>
      </c>
      <c r="EO19" s="59">
        <f ca="1">AVERAGE(OFFSET($EN$3,0,0,'Données projet'!$E$15+1,1))-AVERAGE(OFFSET($H$3,0,0,'Données projet'!$E$15+1,1))</f>
        <v>288.82868507674738</v>
      </c>
      <c r="EP19" s="59">
        <f t="shared" si="46"/>
        <v>283.48738729114024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0.53882392327508599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0.53882392327508599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3.887142857142857</v>
      </c>
      <c r="N20" s="13">
        <f>IF('Données projet'!$A$36&gt;35,N19+M20-V19,IF(A20&lt;'Données projet'!$A$36,$K$205^A20,IF(A20='Données projet'!$A$36,'Données projet'!$B$36,N19+M20-V19)))</f>
        <v>66.081428571428546</v>
      </c>
      <c r="O20" s="13">
        <f>N20*VLOOKUP('Données projet'!$B$9,Paramètres!$A$1:$I$89,3,0)*VLOOKUP('Données projet'!$B$9,Paramètres!$A$1:$I$89,5,0)</f>
        <v>59.790476571428549</v>
      </c>
      <c r="P20" s="13">
        <f t="shared" si="33"/>
        <v>17.115284135607041</v>
      </c>
      <c r="Q20" s="20">
        <f t="shared" si="2"/>
        <v>133.94419989808699</v>
      </c>
      <c r="R20" s="59">
        <f t="shared" si="0"/>
        <v>411.38864434253145</v>
      </c>
      <c r="S20" s="59">
        <f ca="1">AVERAGE(OFFSET($R$3,0,0,'Données projet'!$E$9+1,1))-AVERAGE(OFFSET($H$3,0,0,'Données projet'!$E$9+1,1))</f>
        <v>581.88778927327667</v>
      </c>
      <c r="T20" s="59">
        <f t="shared" si="34"/>
        <v>269.67340993773422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10.199999999999999</v>
      </c>
      <c r="AI20" s="13">
        <f>IF('Données projet'!$A$62&gt;35,AI19+AH20-AQ19,IF(A20&lt;'Données projet'!$A$62,$AF$205^A20,IF(A20='Données projet'!$A$62,'Données projet'!$B$62,AI19+AH20-AQ19)))</f>
        <v>53.400000000000006</v>
      </c>
      <c r="AJ20" s="13">
        <f>AI20*VLOOKUP('Données projet'!$B$10,Paramètres!$A$1:$I$89,3,0)*VLOOKUP('Données projet'!$B$10,Paramètres!$A$1:$I$89,5,0)</f>
        <v>34.987680000000005</v>
      </c>
      <c r="AK20" s="13">
        <f t="shared" si="35"/>
        <v>10.65995785514129</v>
      </c>
      <c r="AL20" s="20">
        <f t="shared" si="4"/>
        <v>79.502969264371089</v>
      </c>
      <c r="AM20" s="59">
        <f t="shared" si="5"/>
        <v>356.94741370881553</v>
      </c>
      <c r="AN20" s="59">
        <f ca="1">AVERAGE(OFFSET($AM$3,0,0,'Données projet'!$E$10+1,1))-AVERAGE(OFFSET($H$3,0,0,'Données projet'!$E$10+1,1))</f>
        <v>230.58262378842818</v>
      </c>
      <c r="AO20" s="59">
        <f t="shared" si="36"/>
        <v>235.68746142880792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59.790476571428549</v>
      </c>
      <c r="BF20" s="13">
        <f t="shared" si="37"/>
        <v>17.115284135607041</v>
      </c>
      <c r="BG20" s="20">
        <f t="shared" si="7"/>
        <v>133.94419989808699</v>
      </c>
      <c r="BH20" s="59">
        <f t="shared" si="8"/>
        <v>411.38864434253145</v>
      </c>
      <c r="BI20" s="59">
        <f ca="1">AVERAGE(OFFSET($BH$3,0,0,'Données projet'!$E$11+1,1))-AVERAGE(OFFSET($H$3,0,0,'Données projet'!$E$11+1,1))</f>
        <v>581.88778927327667</v>
      </c>
      <c r="BJ20" s="59">
        <f t="shared" si="38"/>
        <v>269.67340993773422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62.883087428571407</v>
      </c>
      <c r="CA20" s="13">
        <f t="shared" si="39"/>
        <v>17.895200987849151</v>
      </c>
      <c r="CB20" s="20">
        <f t="shared" si="10"/>
        <v>140.6888523252658</v>
      </c>
      <c r="CC20" s="59">
        <f t="shared" si="11"/>
        <v>418.13329676971023</v>
      </c>
      <c r="CD20" s="59">
        <f ca="1">AVERAGE(OFFSET($CC$3,0,0,'Données projet'!$E$12+1,1))-AVERAGE(OFFSET($H$3,0,0,'Données projet'!$E$12+1,1))</f>
        <v>609.60019207204277</v>
      </c>
      <c r="CE20" s="59">
        <f t="shared" si="40"/>
        <v>281.42238288764503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5.87615</v>
      </c>
      <c r="CT20" s="12">
        <f>IF('Données projet'!$A$140&gt;35,CT19+CS20-DB19,IF(A20&lt;'Données projet'!$A$140,$CQ$205^A20,IF(A20='Données projet'!$A$140,'Données projet'!$B$140,CT19+CS20-DB19)))</f>
        <v>27.253799999999995</v>
      </c>
      <c r="CU20" s="17">
        <f>CT20*VLOOKUP('Données projet'!$B$13,Paramètres!$A$1:$I$89,3,0)*VLOOKUP('Données projet'!$B$13,Paramètres!$A$1:$I$89,5,0)</f>
        <v>21.683123279999997</v>
      </c>
      <c r="CV20" s="13">
        <f t="shared" si="41"/>
        <v>6.9847251594185327</v>
      </c>
      <c r="CW20" s="20">
        <f t="shared" si="13"/>
        <v>49.929836031987264</v>
      </c>
      <c r="CX20" s="59">
        <f t="shared" si="14"/>
        <v>327.37428047643175</v>
      </c>
      <c r="CY20" s="59">
        <f ca="1">AVERAGE(OFFSET($CX$3,0,0,'Données projet'!$E$13+1,1))-AVERAGE(OFFSET($H$3,0,0,'Données projet'!$E$13+1,1))</f>
        <v>172.13940525084604</v>
      </c>
      <c r="CZ20" s="59">
        <f t="shared" si="42"/>
        <v>172.82328007157236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8</v>
      </c>
      <c r="DO20" s="12">
        <f>IF('Données projet'!$A$166&gt;35,DO19+DN20-DW19,IF(A20&lt;'Données projet'!$A$166,$DL$205^A20,IF(A20='Données projet'!$A$166,'Données projet'!$B$166,DO19+DN20-DW19)))</f>
        <v>67</v>
      </c>
      <c r="DP20" s="17">
        <f>DO20*VLOOKUP('Données projet'!$B$14,Paramètres!$A$1:$I$89,3,0)*VLOOKUP('Données projet'!$B$14,Paramètres!$A$1:$I$89,5,0)</f>
        <v>49.124400000000001</v>
      </c>
      <c r="DQ20" s="13">
        <f t="shared" si="43"/>
        <v>14.38740016036772</v>
      </c>
      <c r="DR20" s="20">
        <f t="shared" si="16"/>
        <v>110.61638527930711</v>
      </c>
      <c r="DS20" s="59">
        <f t="shared" si="17"/>
        <v>388.06082972375157</v>
      </c>
      <c r="DT20" s="59">
        <f ca="1">AVERAGE(OFFSET($DS$3,0,0,'Données projet'!$E$14+1,1))-AVERAGE(OFFSET($H$3,0,0,'Données projet'!$E$14+1,1))</f>
        <v>197.34725966440715</v>
      </c>
      <c r="DU20" s="59">
        <f t="shared" si="44"/>
        <v>240.16326570529532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15.721406089249031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15.721406089249031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9.6</v>
      </c>
      <c r="EJ20" s="12">
        <f>IF('Données projet'!$A$192&gt;35,EJ19+EI20-ER19,IF(A20&lt;'Données projet'!$A$192,$EG$205^A20,IF(A20='Données projet'!$A$192,'Données projet'!$B$192,EJ19+EI20-ER19)))</f>
        <v>56.2</v>
      </c>
      <c r="EK20" s="17">
        <f>EJ20*VLOOKUP('Données projet'!$B$15,Paramètres!$A$1:$I$89,3,0)*VLOOKUP('Données projet'!$B$15,Paramètres!$A$1:$I$89,5,0)</f>
        <v>43.836000000000006</v>
      </c>
      <c r="EL20" s="13">
        <f t="shared" si="45"/>
        <v>13.009897179721728</v>
      </c>
      <c r="EM20" s="20">
        <f t="shared" si="19"/>
        <v>99.006604254682017</v>
      </c>
      <c r="EN20" s="59">
        <f t="shared" si="20"/>
        <v>376.45104869912649</v>
      </c>
      <c r="EO20" s="59">
        <f ca="1">AVERAGE(OFFSET($EN$3,0,0,'Données projet'!$E$15+1,1))-AVERAGE(OFFSET($H$3,0,0,'Données projet'!$E$15+1,1))</f>
        <v>288.82868507674738</v>
      </c>
      <c r="EP20" s="59">
        <f t="shared" si="46"/>
        <v>283.48738729114024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0.5240897547576101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0.5240897547576101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3.887142857142857</v>
      </c>
      <c r="N21" s="13">
        <f>IF('Données projet'!$A$36&gt;35,N20+M21-V20,IF(A21&lt;'Données projet'!$A$36,$K$205^A21,IF(A21='Données projet'!$A$36,'Données projet'!$B$36,N20+M21-V20)))</f>
        <v>69.968571428571408</v>
      </c>
      <c r="O21" s="13">
        <f>N21*VLOOKUP('Données projet'!$B$9,Paramètres!$A$1:$I$89,3,0)*VLOOKUP('Données projet'!$B$9,Paramètres!$A$1:$I$89,5,0)</f>
        <v>63.307563428571406</v>
      </c>
      <c r="P21" s="13">
        <f t="shared" si="33"/>
        <v>18.001895319269028</v>
      </c>
      <c r="Q21" s="20">
        <f t="shared" si="2"/>
        <v>141.61397398582207</v>
      </c>
      <c r="R21" s="59">
        <f t="shared" si="0"/>
        <v>420.28064065248873</v>
      </c>
      <c r="S21" s="59">
        <f ca="1">AVERAGE(OFFSET($R$3,0,0,'Données projet'!$E$9+1,1))-AVERAGE(OFFSET($H$3,0,0,'Données projet'!$E$9+1,1))</f>
        <v>581.88778927327667</v>
      </c>
      <c r="T21" s="59">
        <f t="shared" si="34"/>
        <v>269.67340993773422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10.199999999999999</v>
      </c>
      <c r="AI21" s="13">
        <f>IF('Données projet'!$A$62&gt;35,AI20+AH21-AQ20,IF(A21&lt;'Données projet'!$A$62,$AF$205^A21,IF(A21='Données projet'!$A$62,'Données projet'!$B$62,AI20+AH21-AQ20)))</f>
        <v>63.600000000000009</v>
      </c>
      <c r="AJ21" s="13">
        <f>AI21*VLOOKUP('Données projet'!$B$10,Paramètres!$A$1:$I$89,3,0)*VLOOKUP('Données projet'!$B$10,Paramètres!$A$1:$I$89,5,0)</f>
        <v>41.67072000000001</v>
      </c>
      <c r="AK21" s="13">
        <f t="shared" si="35"/>
        <v>12.440411337011152</v>
      </c>
      <c r="AL21" s="20">
        <f t="shared" si="4"/>
        <v>94.243553745294435</v>
      </c>
      <c r="AM21" s="59">
        <f t="shared" si="5"/>
        <v>372.91022041196112</v>
      </c>
      <c r="AN21" s="59">
        <f ca="1">AVERAGE(OFFSET($AM$3,0,0,'Données projet'!$E$10+1,1))-AVERAGE(OFFSET($H$3,0,0,'Données projet'!$E$10+1,1))</f>
        <v>230.58262378842818</v>
      </c>
      <c r="AO21" s="59">
        <f t="shared" si="36"/>
        <v>235.68746142880792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63.307563428571406</v>
      </c>
      <c r="BF21" s="13">
        <f t="shared" si="37"/>
        <v>18.001895319269028</v>
      </c>
      <c r="BG21" s="20">
        <f t="shared" si="7"/>
        <v>141.61397398582207</v>
      </c>
      <c r="BH21" s="59">
        <f t="shared" si="8"/>
        <v>420.28064065248873</v>
      </c>
      <c r="BI21" s="59">
        <f ca="1">AVERAGE(OFFSET($BH$3,0,0,'Données projet'!$E$11+1,1))-AVERAGE(OFFSET($H$3,0,0,'Données projet'!$E$11+1,1))</f>
        <v>581.88778927327667</v>
      </c>
      <c r="BJ21" s="59">
        <f t="shared" si="38"/>
        <v>269.67340993773422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66.582092571428547</v>
      </c>
      <c r="CA21" s="13">
        <f t="shared" si="39"/>
        <v>18.822213662835811</v>
      </c>
      <c r="CB21" s="20">
        <f t="shared" si="10"/>
        <v>148.7458333580104</v>
      </c>
      <c r="CC21" s="59">
        <f t="shared" si="11"/>
        <v>427.41250002467712</v>
      </c>
      <c r="CD21" s="59">
        <f ca="1">AVERAGE(OFFSET($CC$3,0,0,'Données projet'!$E$12+1,1))-AVERAGE(OFFSET($H$3,0,0,'Données projet'!$E$12+1,1))</f>
        <v>609.60019207204277</v>
      </c>
      <c r="CE21" s="59">
        <f t="shared" si="40"/>
        <v>281.42238288764503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5.87615</v>
      </c>
      <c r="CT21" s="12">
        <f>IF('Données projet'!$A$140&gt;35,CT20+CS21-DB20,IF(A21&lt;'Données projet'!$A$140,$CQ$205^A21,IF(A21='Données projet'!$A$140,'Données projet'!$B$140,CT20+CS21-DB20)))</f>
        <v>33.129949999999994</v>
      </c>
      <c r="CU21" s="17">
        <f>CT21*VLOOKUP('Données projet'!$B$13,Paramètres!$A$1:$I$89,3,0)*VLOOKUP('Données projet'!$B$13,Paramètres!$A$1:$I$89,5,0)</f>
        <v>26.358188219999995</v>
      </c>
      <c r="CV21" s="13">
        <f t="shared" si="41"/>
        <v>8.2999036176208687</v>
      </c>
      <c r="CW21" s="20">
        <f t="shared" si="13"/>
        <v>60.362843283856336</v>
      </c>
      <c r="CX21" s="59">
        <f t="shared" si="14"/>
        <v>339.02950995052299</v>
      </c>
      <c r="CY21" s="59">
        <f ca="1">AVERAGE(OFFSET($CX$3,0,0,'Données projet'!$E$13+1,1))-AVERAGE(OFFSET($H$3,0,0,'Données projet'!$E$13+1,1))</f>
        <v>172.13940525084604</v>
      </c>
      <c r="CZ21" s="59">
        <f t="shared" si="42"/>
        <v>172.82328007157236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8</v>
      </c>
      <c r="DO21" s="12">
        <f>IF('Données projet'!$A$166&gt;35,DO20+DN21-DW20,IF(A21&lt;'Données projet'!$A$166,$DL$205^A21,IF(A21='Données projet'!$A$166,'Données projet'!$B$166,DO20+DN21-DW20)))</f>
        <v>75</v>
      </c>
      <c r="DP21" s="17">
        <f>DO21*VLOOKUP('Données projet'!$B$14,Paramètres!$A$1:$I$89,3,0)*VLOOKUP('Données projet'!$B$14,Paramètres!$A$1:$I$89,5,0)</f>
        <v>54.99</v>
      </c>
      <c r="DQ21" s="13">
        <f t="shared" si="43"/>
        <v>15.895227919347008</v>
      </c>
      <c r="DR21" s="20">
        <f t="shared" si="16"/>
        <v>123.45843862619604</v>
      </c>
      <c r="DS21" s="59">
        <f t="shared" si="17"/>
        <v>402.12510529286271</v>
      </c>
      <c r="DT21" s="59">
        <f ca="1">AVERAGE(OFFSET($DS$3,0,0,'Données projet'!$E$14+1,1))-AVERAGE(OFFSET($H$3,0,0,'Données projet'!$E$14+1,1))</f>
        <v>197.34725966440715</v>
      </c>
      <c r="DU21" s="59">
        <f t="shared" si="44"/>
        <v>240.16326570529532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15.291503412985701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15.291503412985701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9.6</v>
      </c>
      <c r="EJ21" s="12">
        <f>IF('Données projet'!$A$192&gt;35,EJ20+EI21-ER20,IF(A21&lt;'Données projet'!$A$192,$EG$205^A21,IF(A21='Données projet'!$A$192,'Données projet'!$B$192,EJ20+EI21-ER20)))</f>
        <v>65.8</v>
      </c>
      <c r="EK21" s="17">
        <f>EJ21*VLOOKUP('Données projet'!$B$15,Paramètres!$A$1:$I$89,3,0)*VLOOKUP('Données projet'!$B$15,Paramètres!$A$1:$I$89,5,0)</f>
        <v>51.323999999999998</v>
      </c>
      <c r="EL21" s="13">
        <f t="shared" si="45"/>
        <v>14.95516659950003</v>
      </c>
      <c r="EM21" s="20">
        <f t="shared" si="19"/>
        <v>115.43621516079588</v>
      </c>
      <c r="EN21" s="59">
        <f t="shared" si="20"/>
        <v>394.10288182746257</v>
      </c>
      <c r="EO21" s="59">
        <f ca="1">AVERAGE(OFFSET($EN$3,0,0,'Données projet'!$E$15+1,1))-AVERAGE(OFFSET($H$3,0,0,'Données projet'!$E$15+1,1))</f>
        <v>288.82868507674738</v>
      </c>
      <c r="EP21" s="59">
        <f t="shared" si="46"/>
        <v>283.48738729114024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0.50975849285308084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0.50975849285308084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3.887142857142857</v>
      </c>
      <c r="N22" s="13">
        <f>IF('Données projet'!$A$36&gt;35,N21+M22-V21,IF(A22&lt;'Données projet'!$A$36,$K$205^A22,IF(A22='Données projet'!$A$36,'Données projet'!$B$36,N21+M22-V21)))</f>
        <v>73.855714285714271</v>
      </c>
      <c r="O22" s="13">
        <f>N22*VLOOKUP('Données projet'!$B$9,Paramètres!$A$1:$I$89,3,0)*VLOOKUP('Données projet'!$B$9,Paramètres!$A$1:$I$89,5,0)</f>
        <v>66.82465028571427</v>
      </c>
      <c r="P22" s="13">
        <f t="shared" si="33"/>
        <v>18.882788477272459</v>
      </c>
      <c r="Q22" s="20">
        <f t="shared" si="2"/>
        <v>149.27378917886855</v>
      </c>
      <c r="R22" s="59">
        <f t="shared" si="0"/>
        <v>429.16267806775738</v>
      </c>
      <c r="S22" s="59">
        <f ca="1">AVERAGE(OFFSET($R$3,0,0,'Données projet'!$E$9+1,1))-AVERAGE(OFFSET($H$3,0,0,'Données projet'!$E$9+1,1))</f>
        <v>581.88778927327667</v>
      </c>
      <c r="T22" s="59">
        <f t="shared" si="34"/>
        <v>269.67340993773422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10.199999999999999</v>
      </c>
      <c r="AI22" s="13">
        <f>IF('Données projet'!$A$62&gt;35,AI21+AH22-AQ21,IF(A22&lt;'Données projet'!$A$62,$AF$205^A22,IF(A22='Données projet'!$A$62,'Données projet'!$B$62,AI21+AH22-AQ21)))</f>
        <v>73.800000000000011</v>
      </c>
      <c r="AJ22" s="13">
        <f>AI22*VLOOKUP('Données projet'!$B$10,Paramètres!$A$1:$I$89,3,0)*VLOOKUP('Données projet'!$B$10,Paramètres!$A$1:$I$89,5,0)</f>
        <v>48.353760000000008</v>
      </c>
      <c r="AK22" s="13">
        <f t="shared" si="35"/>
        <v>14.187786165449609</v>
      </c>
      <c r="AL22" s="20">
        <f t="shared" si="4"/>
        <v>108.92652623815808</v>
      </c>
      <c r="AM22" s="59">
        <f t="shared" si="5"/>
        <v>388.81541512704695</v>
      </c>
      <c r="AN22" s="59">
        <f ca="1">AVERAGE(OFFSET($AM$3,0,0,'Données projet'!$E$10+1,1))-AVERAGE(OFFSET($H$3,0,0,'Données projet'!$E$10+1,1))</f>
        <v>230.58262378842818</v>
      </c>
      <c r="AO22" s="59">
        <f t="shared" si="36"/>
        <v>235.68746142880792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66.82465028571427</v>
      </c>
      <c r="BF22" s="13">
        <f t="shared" si="37"/>
        <v>18.882788477272459</v>
      </c>
      <c r="BG22" s="20">
        <f t="shared" si="7"/>
        <v>149.27378917886855</v>
      </c>
      <c r="BH22" s="59">
        <f t="shared" si="8"/>
        <v>429.16267806775738</v>
      </c>
      <c r="BI22" s="59">
        <f ca="1">AVERAGE(OFFSET($BH$3,0,0,'Données projet'!$E$11+1,1))-AVERAGE(OFFSET($H$3,0,0,'Données projet'!$E$11+1,1))</f>
        <v>581.88778927327667</v>
      </c>
      <c r="BJ22" s="59">
        <f t="shared" si="38"/>
        <v>269.67340993773422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70.281097714285707</v>
      </c>
      <c r="CA22" s="13">
        <f t="shared" si="39"/>
        <v>19.743247750636755</v>
      </c>
      <c r="CB22" s="20">
        <f t="shared" si="10"/>
        <v>156.79240168473996</v>
      </c>
      <c r="CC22" s="59">
        <f t="shared" si="11"/>
        <v>436.68129057362881</v>
      </c>
      <c r="CD22" s="59">
        <f ca="1">AVERAGE(OFFSET($CC$3,0,0,'Données projet'!$E$12+1,1))-AVERAGE(OFFSET($H$3,0,0,'Données projet'!$E$12+1,1))</f>
        <v>609.60019207204277</v>
      </c>
      <c r="CE22" s="59">
        <f t="shared" si="40"/>
        <v>281.42238288764503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5.87615</v>
      </c>
      <c r="CT22" s="12">
        <f>IF('Données projet'!$A$140&gt;35,CT21+CS22-DB21,IF(A22&lt;'Données projet'!$A$140,$CQ$205^A22,IF(A22='Données projet'!$A$140,'Données projet'!$B$140,CT21+CS22-DB21)))</f>
        <v>39.006099999999996</v>
      </c>
      <c r="CU22" s="17">
        <f>CT22*VLOOKUP('Données projet'!$B$13,Paramètres!$A$1:$I$89,3,0)*VLOOKUP('Données projet'!$B$13,Paramètres!$A$1:$I$89,5,0)</f>
        <v>31.033253159999997</v>
      </c>
      <c r="CV22" s="13">
        <f t="shared" si="41"/>
        <v>9.588058406881558</v>
      </c>
      <c r="CW22" s="20">
        <f t="shared" si="13"/>
        <v>70.748784312318719</v>
      </c>
      <c r="CX22" s="59">
        <f t="shared" si="14"/>
        <v>350.63767320120758</v>
      </c>
      <c r="CY22" s="59">
        <f ca="1">AVERAGE(OFFSET($CX$3,0,0,'Données projet'!$E$13+1,1))-AVERAGE(OFFSET($H$3,0,0,'Données projet'!$E$13+1,1))</f>
        <v>172.13940525084604</v>
      </c>
      <c r="CZ22" s="59">
        <f t="shared" si="42"/>
        <v>172.82328007157236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8</v>
      </c>
      <c r="DO22" s="12">
        <f>IF('Données projet'!$A$166&gt;35,DO21+DN22-DW21,IF(A22&lt;'Données projet'!$A$166,$DL$205^A22,IF(A22='Données projet'!$A$166,'Données projet'!$B$166,DO21+DN22-DW21)))</f>
        <v>83</v>
      </c>
      <c r="DP22" s="17">
        <f>DO22*VLOOKUP('Données projet'!$B$14,Paramètres!$A$1:$I$89,3,0)*VLOOKUP('Données projet'!$B$14,Paramètres!$A$1:$I$89,5,0)</f>
        <v>60.855599999999995</v>
      </c>
      <c r="DQ22" s="13">
        <f t="shared" si="43"/>
        <v>17.384412949542664</v>
      </c>
      <c r="DR22" s="20">
        <f t="shared" si="16"/>
        <v>136.26802255378678</v>
      </c>
      <c r="DS22" s="59">
        <f t="shared" si="17"/>
        <v>416.15691144267566</v>
      </c>
      <c r="DT22" s="59">
        <f ca="1">AVERAGE(OFFSET($DS$3,0,0,'Données projet'!$E$14+1,1))-AVERAGE(OFFSET($H$3,0,0,'Données projet'!$E$14+1,1))</f>
        <v>197.34725966440715</v>
      </c>
      <c r="DU22" s="59">
        <f t="shared" si="44"/>
        <v>240.16326570529532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14.873356448012393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14.873356448012393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9.6</v>
      </c>
      <c r="EJ22" s="12">
        <f>IF('Données projet'!$A$192&gt;35,EJ21+EI22-ER21,IF(A22&lt;'Données projet'!$A$192,$EG$205^A22,IF(A22='Données projet'!$A$192,'Données projet'!$B$192,EJ21+EI22-ER21)))</f>
        <v>75.399999999999991</v>
      </c>
      <c r="EK22" s="17">
        <f>EJ22*VLOOKUP('Données projet'!$B$15,Paramètres!$A$1:$I$89,3,0)*VLOOKUP('Données projet'!$B$15,Paramètres!$A$1:$I$89,5,0)</f>
        <v>58.811999999999998</v>
      </c>
      <c r="EL22" s="13">
        <f t="shared" si="45"/>
        <v>16.86755663452599</v>
      </c>
      <c r="EM22" s="20">
        <f t="shared" si="19"/>
        <v>131.8085611384661</v>
      </c>
      <c r="EN22" s="59">
        <f t="shared" si="20"/>
        <v>411.69745002735499</v>
      </c>
      <c r="EO22" s="59">
        <f ca="1">AVERAGE(OFFSET($EN$3,0,0,'Données projet'!$E$15+1,1))-AVERAGE(OFFSET($H$3,0,0,'Données projet'!$E$15+1,1))</f>
        <v>288.82868507674738</v>
      </c>
      <c r="EP22" s="59">
        <f t="shared" si="46"/>
        <v>283.48738729114024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0.49581912005897927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0.49581912005897927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3.887142857142857</v>
      </c>
      <c r="N23" s="13">
        <f>IF('Données projet'!$A$36&gt;35,N22+M23-V22,IF(A23&lt;'Données projet'!$A$36,$K$205^A23,IF(A23='Données projet'!$A$36,'Données projet'!$B$36,N22+M23-V22)))</f>
        <v>77.742857142857133</v>
      </c>
      <c r="O23" s="13">
        <f>N23*VLOOKUP('Données projet'!$B$9,Paramètres!$A$1:$I$89,3,0)*VLOOKUP('Données projet'!$B$9,Paramètres!$A$1:$I$89,5,0)</f>
        <v>70.341737142857127</v>
      </c>
      <c r="P23" s="13">
        <f t="shared" si="33"/>
        <v>19.758298879173367</v>
      </c>
      <c r="Q23" s="20">
        <f t="shared" si="2"/>
        <v>156.92422940503644</v>
      </c>
      <c r="R23" s="59">
        <f t="shared" si="0"/>
        <v>438.03534051614758</v>
      </c>
      <c r="S23" s="59">
        <f ca="1">AVERAGE(OFFSET($R$3,0,0,'Données projet'!$E$9+1,1))-AVERAGE(OFFSET($H$3,0,0,'Données projet'!$E$9+1,1))</f>
        <v>581.88778927327667</v>
      </c>
      <c r="T23" s="59">
        <f t="shared" si="34"/>
        <v>269.67340993773422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84</v>
      </c>
      <c r="AG23" s="12">
        <f>VLOOKUP(A23,'Données projet'!$A$61:$I$81,9,0)</f>
        <v>10.199999999999999</v>
      </c>
      <c r="AH23" s="12">
        <f t="array" ref="AH23">INDEX(AG:AG,MIN(IF(ISNUMBER(AG23:AG219),ROW(AG23:AG219),"")))</f>
        <v>10.199999999999999</v>
      </c>
      <c r="AI23" s="13">
        <f>IF('Données projet'!$A$62&gt;35,AI22+AH23-AQ22,IF(A23&lt;'Données projet'!$A$62,$AF$205^A23,IF(A23='Données projet'!$A$62,'Données projet'!$B$62,AI22+AH23-AQ22)))</f>
        <v>84.000000000000014</v>
      </c>
      <c r="AJ23" s="13">
        <f>AI23*VLOOKUP('Données projet'!$B$10,Paramètres!$A$1:$I$89,3,0)*VLOOKUP('Données projet'!$B$10,Paramètres!$A$1:$I$89,5,0)</f>
        <v>55.036800000000007</v>
      </c>
      <c r="AK23" s="13">
        <f t="shared" si="35"/>
        <v>15.907180538864345</v>
      </c>
      <c r="AL23" s="20">
        <f t="shared" si="4"/>
        <v>123.56076610518875</v>
      </c>
      <c r="AM23" s="59">
        <f t="shared" si="5"/>
        <v>404.67187721629989</v>
      </c>
      <c r="AN23" s="59">
        <f ca="1">AVERAGE(OFFSET($AM$3,0,0,'Données projet'!$E$10+1,1))-AVERAGE(OFFSET($H$3,0,0,'Données projet'!$E$10+1,1))</f>
        <v>230.58262378842818</v>
      </c>
      <c r="AO23" s="59">
        <f t="shared" si="36"/>
        <v>235.68746142880792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9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70.341737142857127</v>
      </c>
      <c r="BF23" s="13">
        <f t="shared" si="37"/>
        <v>19.758298879173367</v>
      </c>
      <c r="BG23" s="20">
        <f t="shared" si="7"/>
        <v>156.92422940503644</v>
      </c>
      <c r="BH23" s="59">
        <f t="shared" si="8"/>
        <v>438.03534051614758</v>
      </c>
      <c r="BI23" s="59">
        <f ca="1">AVERAGE(OFFSET($BH$3,0,0,'Données projet'!$E$11+1,1))-AVERAGE(OFFSET($H$3,0,0,'Données projet'!$E$11+1,1))</f>
        <v>581.88778927327667</v>
      </c>
      <c r="BJ23" s="59">
        <f t="shared" si="38"/>
        <v>269.67340993773422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73.980102857142853</v>
      </c>
      <c r="CA23" s="13">
        <f t="shared" si="39"/>
        <v>20.65865379851968</v>
      </c>
      <c r="CB23" s="20">
        <f t="shared" si="10"/>
        <v>164.82916784194558</v>
      </c>
      <c r="CC23" s="59">
        <f t="shared" si="11"/>
        <v>445.94027895305669</v>
      </c>
      <c r="CD23" s="59">
        <f ca="1">AVERAGE(OFFSET($CC$3,0,0,'Données projet'!$E$12+1,1))-AVERAGE(OFFSET($H$3,0,0,'Données projet'!$E$12+1,1))</f>
        <v>609.60019207204277</v>
      </c>
      <c r="CE23" s="59">
        <f t="shared" si="40"/>
        <v>281.42238288764503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44.882249999999999</v>
      </c>
      <c r="CR23" s="12">
        <f>VLOOKUP(A23,'Données projet'!$A$139:$I$159,9,0)</f>
        <v>5.87615</v>
      </c>
      <c r="CS23" s="12">
        <f t="array" ref="CS23">INDEX(CR:CR,MIN(IF(ISNUMBER(CR23:CR219),ROW(CR23:CR219),"")))</f>
        <v>5.87615</v>
      </c>
      <c r="CT23" s="12">
        <f>IF('Données projet'!$A$140&gt;35,CT22+CS23-DB22,IF(A23&lt;'Données projet'!$A$140,$CQ$205^A23,IF(A23='Données projet'!$A$140,'Données projet'!$B$140,CT22+CS23-DB22)))</f>
        <v>44.882249999999999</v>
      </c>
      <c r="CU23" s="17">
        <f>CT23*VLOOKUP('Données projet'!$B$13,Paramètres!$A$1:$I$89,3,0)*VLOOKUP('Données projet'!$B$13,Paramètres!$A$1:$I$89,5,0)</f>
        <v>35.708318100000007</v>
      </c>
      <c r="CV23" s="13">
        <f t="shared" si="41"/>
        <v>10.853732211120755</v>
      </c>
      <c r="CW23" s="20">
        <f t="shared" si="13"/>
        <v>81.095570958535333</v>
      </c>
      <c r="CX23" s="59">
        <f t="shared" si="14"/>
        <v>362.20668206964649</v>
      </c>
      <c r="CY23" s="59">
        <f ca="1">AVERAGE(OFFSET($CX$3,0,0,'Données projet'!$E$13+1,1))-AVERAGE(OFFSET($H$3,0,0,'Données projet'!$E$13+1,1))</f>
        <v>172.13940525084604</v>
      </c>
      <c r="CZ23" s="59">
        <f t="shared" si="42"/>
        <v>172.82328007157236</v>
      </c>
      <c r="DA23" s="15">
        <f>IF(ISNA(VLOOKUP(A23,'Données projet'!$A$139:$I$159,3,0)),0,VLOOKUP(A23,'Données projet'!$A$139:$I$159,3,0))</f>
        <v>3</v>
      </c>
      <c r="DB23" s="15">
        <f>IF(ISNA(VLOOKUP(A23,'Données projet'!$A$139:$I$159,4,0)),0,VLOOKUP(A23,'Données projet'!$A$139:$I$159,4,0))</f>
        <v>15.141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8</v>
      </c>
      <c r="DO23" s="12">
        <f>IF('Données projet'!$A$166&gt;35,DO22+DN23-DW22,IF(A23&lt;'Données projet'!$A$166,$DL$205^A23,IF(A23='Données projet'!$A$166,'Données projet'!$B$166,DO22+DN23-DW22)))</f>
        <v>91</v>
      </c>
      <c r="DP23" s="17">
        <f>DO23*VLOOKUP('Données projet'!$B$14,Paramètres!$A$1:$I$89,3,0)*VLOOKUP('Données projet'!$B$14,Paramètres!$A$1:$I$89,5,0)</f>
        <v>66.721199999999996</v>
      </c>
      <c r="DQ23" s="13">
        <f t="shared" si="43"/>
        <v>18.856956599005905</v>
      </c>
      <c r="DR23" s="20">
        <f t="shared" si="16"/>
        <v>149.0486227432686</v>
      </c>
      <c r="DS23" s="59">
        <f t="shared" si="17"/>
        <v>430.15973385437974</v>
      </c>
      <c r="DT23" s="59">
        <f ca="1">AVERAGE(OFFSET($DS$3,0,0,'Données projet'!$E$14+1,1))-AVERAGE(OFFSET($H$3,0,0,'Données projet'!$E$14+1,1))</f>
        <v>197.34725966440715</v>
      </c>
      <c r="DU23" s="59">
        <f t="shared" si="44"/>
        <v>240.16326570529532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14.466643733785672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14.466643733785672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85</v>
      </c>
      <c r="EH23" s="12">
        <f>VLOOKUP(A23,'Données projet'!$A$191:$I$211,9,0)</f>
        <v>9.6</v>
      </c>
      <c r="EI23" s="12">
        <f t="array" ref="EI23">INDEX(EH:EH,MIN(IF(ISNUMBER(EH23:EH219),ROW(EH23:EH219),"")))</f>
        <v>9.6</v>
      </c>
      <c r="EJ23" s="12">
        <f>IF('Données projet'!$A$192&gt;35,EJ22+EI23-ER22,IF(A23&lt;'Données projet'!$A$192,$EG$205^A23,IF(A23='Données projet'!$A$192,'Données projet'!$B$192,EJ22+EI23-ER22)))</f>
        <v>84.999999999999986</v>
      </c>
      <c r="EK23" s="17">
        <f>EJ23*VLOOKUP('Données projet'!$B$15,Paramètres!$A$1:$I$89,3,0)*VLOOKUP('Données projet'!$B$15,Paramètres!$A$1:$I$89,5,0)</f>
        <v>66.3</v>
      </c>
      <c r="EL23" s="13">
        <f t="shared" si="45"/>
        <v>18.751733344032118</v>
      </c>
      <c r="EM23" s="20">
        <f t="shared" si="19"/>
        <v>148.13176890752257</v>
      </c>
      <c r="EN23" s="59">
        <f t="shared" si="20"/>
        <v>429.24288001863374</v>
      </c>
      <c r="EO23" s="59">
        <f ca="1">AVERAGE(OFFSET($EN$3,0,0,'Données projet'!$E$15+1,1))-AVERAGE(OFFSET($H$3,0,0,'Données projet'!$E$15+1,1))</f>
        <v>288.82868507674738</v>
      </c>
      <c r="EP23" s="59">
        <f t="shared" si="46"/>
        <v>283.48738729114024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25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0.215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5.0986969672484994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5.0986969672484994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3.887142857142857</v>
      </c>
      <c r="N24" s="13">
        <f>IF('Données projet'!$A$36&gt;35,N23+M24-V23,IF(A24&lt;'Données projet'!$A$36,$K$205^A24,IF(A24='Données projet'!$A$36,'Données projet'!$B$36,N23+M24-V23)))</f>
        <v>81.63</v>
      </c>
      <c r="O24" s="13">
        <f>N24*VLOOKUP('Données projet'!$B$9,Paramètres!$A$1:$I$89,3,0)*VLOOKUP('Données projet'!$B$9,Paramètres!$A$1:$I$89,5,0)</f>
        <v>73.858823999999984</v>
      </c>
      <c r="P24" s="13">
        <f t="shared" si="33"/>
        <v>20.628726373651425</v>
      </c>
      <c r="Q24" s="20">
        <f t="shared" si="2"/>
        <v>164.56581690077618</v>
      </c>
      <c r="R24" s="59">
        <f t="shared" si="0"/>
        <v>446.89915023410947</v>
      </c>
      <c r="S24" s="59">
        <f ca="1">AVERAGE(OFFSET($R$3,0,0,'Données projet'!$E$9+1,1))-AVERAGE(OFFSET($H$3,0,0,'Données projet'!$E$9+1,1))</f>
        <v>581.88778927327667</v>
      </c>
      <c r="T24" s="59">
        <f t="shared" si="34"/>
        <v>269.67340993773422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8.1999999999999993</v>
      </c>
      <c r="AI24" s="13">
        <f>IF('Données projet'!$A$62&gt;35,AI23+AH24-AQ23,IF(A24&lt;'Données projet'!$A$62,$AF$205^A24,IF(A24='Données projet'!$A$62,'Données projet'!$B$62,AI23+AH24-AQ23)))</f>
        <v>83.200000000000017</v>
      </c>
      <c r="AJ24" s="13">
        <f>AI24*VLOOKUP('Données projet'!$B$10,Paramètres!$A$1:$I$89,3,0)*VLOOKUP('Données projet'!$B$10,Paramètres!$A$1:$I$89,5,0)</f>
        <v>54.512640000000005</v>
      </c>
      <c r="AK24" s="13">
        <f t="shared" si="35"/>
        <v>15.773243364716285</v>
      </c>
      <c r="AL24" s="20">
        <f t="shared" si="4"/>
        <v>122.41458019354752</v>
      </c>
      <c r="AM24" s="59">
        <f t="shared" si="5"/>
        <v>404.74791352688084</v>
      </c>
      <c r="AN24" s="59">
        <f ca="1">AVERAGE(OFFSET($AM$3,0,0,'Données projet'!$E$10+1,1))-AVERAGE(OFFSET($H$3,0,0,'Données projet'!$E$10+1,1))</f>
        <v>230.58262378842818</v>
      </c>
      <c r="AO24" s="59">
        <f t="shared" si="36"/>
        <v>235.68746142880792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73.858823999999984</v>
      </c>
      <c r="BF24" s="13">
        <f t="shared" si="37"/>
        <v>20.628726373651425</v>
      </c>
      <c r="BG24" s="20">
        <f t="shared" si="7"/>
        <v>164.56581690077618</v>
      </c>
      <c r="BH24" s="59">
        <f t="shared" si="8"/>
        <v>446.89915023410947</v>
      </c>
      <c r="BI24" s="59">
        <f ca="1">AVERAGE(OFFSET($BH$3,0,0,'Données projet'!$E$11+1,1))-AVERAGE(OFFSET($H$3,0,0,'Données projet'!$E$11+1,1))</f>
        <v>581.88778927327667</v>
      </c>
      <c r="BJ24" s="59">
        <f t="shared" si="38"/>
        <v>269.67340993773422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77.679107999999985</v>
      </c>
      <c r="CA24" s="13">
        <f t="shared" si="39"/>
        <v>21.568745318801785</v>
      </c>
      <c r="CB24" s="20">
        <f t="shared" si="10"/>
        <v>172.85667786357976</v>
      </c>
      <c r="CC24" s="59">
        <f t="shared" si="11"/>
        <v>455.19001119691308</v>
      </c>
      <c r="CD24" s="59">
        <f ca="1">AVERAGE(OFFSET($CC$3,0,0,'Données projet'!$E$12+1,1))-AVERAGE(OFFSET($H$3,0,0,'Données projet'!$E$12+1,1))</f>
        <v>609.60019207204277</v>
      </c>
      <c r="CE24" s="59">
        <f t="shared" si="40"/>
        <v>281.42238288764503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6.2726999999999986</v>
      </c>
      <c r="CT24" s="12">
        <f>IF('Données projet'!$A$140&gt;35,CT23+CS24-DB23,IF(A24&lt;'Données projet'!$A$140,$CQ$205^A24,IF(A24='Données projet'!$A$140,'Données projet'!$B$140,CT23+CS24-DB23)))</f>
        <v>36.013950000000001</v>
      </c>
      <c r="CU24" s="17">
        <f>CT24*VLOOKUP('Données projet'!$B$13,Paramètres!$A$1:$I$89,3,0)*VLOOKUP('Données projet'!$B$13,Paramètres!$A$1:$I$89,5,0)</f>
        <v>28.652698619999999</v>
      </c>
      <c r="CV24" s="13">
        <f t="shared" si="41"/>
        <v>8.9351845855083312</v>
      </c>
      <c r="CW24" s="20">
        <f t="shared" si="13"/>
        <v>65.465563249593671</v>
      </c>
      <c r="CX24" s="59">
        <f t="shared" si="14"/>
        <v>347.798896582927</v>
      </c>
      <c r="CY24" s="59">
        <f ca="1">AVERAGE(OFFSET($CX$3,0,0,'Données projet'!$E$13+1,1))-AVERAGE(OFFSET($H$3,0,0,'Données projet'!$E$13+1,1))</f>
        <v>172.13940525084604</v>
      </c>
      <c r="CZ24" s="59">
        <f t="shared" si="42"/>
        <v>172.82328007157236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</v>
      </c>
      <c r="DO24" s="12">
        <f>IF('Données projet'!$A$166&gt;35,DO23+DN24-DW23,IF(A24&lt;'Données projet'!$A$166,$DL$205^A24,IF(A24='Données projet'!$A$166,'Données projet'!$B$166,DO23+DN24-DW23)))</f>
        <v>99</v>
      </c>
      <c r="DP24" s="17">
        <f>DO24*VLOOKUP('Données projet'!$B$14,Paramètres!$A$1:$I$89,3,0)*VLOOKUP('Données projet'!$B$14,Paramètres!$A$1:$I$89,5,0)</f>
        <v>72.586799999999997</v>
      </c>
      <c r="DQ24" s="13">
        <f t="shared" si="43"/>
        <v>20.314488197199065</v>
      </c>
      <c r="DR24" s="20">
        <f t="shared" si="16"/>
        <v>161.80307694345504</v>
      </c>
      <c r="DS24" s="59">
        <f t="shared" si="17"/>
        <v>444.13641027678835</v>
      </c>
      <c r="DT24" s="59">
        <f ca="1">AVERAGE(OFFSET($DS$3,0,0,'Données projet'!$E$14+1,1))-AVERAGE(OFFSET($H$3,0,0,'Données projet'!$E$14+1,1))</f>
        <v>197.34725966440715</v>
      </c>
      <c r="DU24" s="59">
        <f t="shared" si="44"/>
        <v>240.16326570529532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14.071052600117573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14.071052600117573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10.6</v>
      </c>
      <c r="EJ24" s="12">
        <f>IF('Données projet'!$A$192&gt;35,EJ23+EI24-ER23,IF(A24&lt;'Données projet'!$A$192,$EG$205^A24,IF(A24='Données projet'!$A$192,'Données projet'!$B$192,EJ23+EI24-ER23)))</f>
        <v>70.59999999999998</v>
      </c>
      <c r="EK24" s="17">
        <f>EJ24*VLOOKUP('Données projet'!$B$15,Paramètres!$A$1:$I$89,3,0)*VLOOKUP('Données projet'!$B$15,Paramètres!$A$1:$I$89,5,0)</f>
        <v>55.067999999999984</v>
      </c>
      <c r="EL24" s="13">
        <f t="shared" si="45"/>
        <v>15.915148294580479</v>
      </c>
      <c r="EM24" s="20">
        <f t="shared" si="19"/>
        <v>123.62898327972762</v>
      </c>
      <c r="EN24" s="59">
        <f t="shared" si="20"/>
        <v>405.96231661306092</v>
      </c>
      <c r="EO24" s="59">
        <f ca="1">AVERAGE(OFFSET($EN$3,0,0,'Données projet'!$E$15+1,1))-AVERAGE(OFFSET($H$3,0,0,'Données projet'!$E$15+1,1))</f>
        <v>288.82868507674738</v>
      </c>
      <c r="EP24" s="59">
        <f t="shared" si="46"/>
        <v>283.48738729114024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4.9592728305502689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4.9592728305502689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3.887142857142857</v>
      </c>
      <c r="N25" s="13">
        <f>IF('Données projet'!$A$36&gt;35,N24+M25-V24,IF(A25&lt;'Données projet'!$A$36,$K$205^A25,IF(A25='Données projet'!$A$36,'Données projet'!$B$36,N24+M25-V24)))</f>
        <v>85.517142857142858</v>
      </c>
      <c r="O25" s="13">
        <f>N25*VLOOKUP('Données projet'!$B$9,Paramètres!$A$1:$I$89,3,0)*VLOOKUP('Données projet'!$B$9,Paramètres!$A$1:$I$89,5,0)</f>
        <v>77.375910857142856</v>
      </c>
      <c r="P25" s="13">
        <f t="shared" si="33"/>
        <v>21.49434063873689</v>
      </c>
      <c r="Q25" s="20">
        <f t="shared" si="2"/>
        <v>172.19902135532388</v>
      </c>
      <c r="R25" s="59">
        <f t="shared" si="0"/>
        <v>455.75457691087945</v>
      </c>
      <c r="S25" s="59">
        <f ca="1">AVERAGE(OFFSET($R$3,0,0,'Données projet'!$E$9+1,1))-AVERAGE(OFFSET($H$3,0,0,'Données projet'!$E$9+1,1))</f>
        <v>581.88778927327667</v>
      </c>
      <c r="T25" s="59">
        <f t="shared" si="34"/>
        <v>269.67340993773422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8.1999999999999993</v>
      </c>
      <c r="AI25" s="13">
        <f>IF('Données projet'!$A$62&gt;35,AI24+AH25-AQ24,IF(A25&lt;'Données projet'!$A$62,$AF$205^A25,IF(A25='Données projet'!$A$62,'Données projet'!$B$62,AI24+AH25-AQ24)))</f>
        <v>91.40000000000002</v>
      </c>
      <c r="AJ25" s="13">
        <f>AI25*VLOOKUP('Données projet'!$B$10,Paramètres!$A$1:$I$89,3,0)*VLOOKUP('Données projet'!$B$10,Paramètres!$A$1:$I$89,5,0)</f>
        <v>59.885280000000009</v>
      </c>
      <c r="AK25" s="13">
        <f t="shared" si="35"/>
        <v>17.139260967250106</v>
      </c>
      <c r="AL25" s="20">
        <f t="shared" si="4"/>
        <v>134.15107551796063</v>
      </c>
      <c r="AM25" s="59">
        <f t="shared" si="5"/>
        <v>417.70663107351618</v>
      </c>
      <c r="AN25" s="59">
        <f ca="1">AVERAGE(OFFSET($AM$3,0,0,'Données projet'!$E$10+1,1))-AVERAGE(OFFSET($H$3,0,0,'Données projet'!$E$10+1,1))</f>
        <v>230.58262378842818</v>
      </c>
      <c r="AO25" s="59">
        <f t="shared" si="36"/>
        <v>235.68746142880792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77.375910857142856</v>
      </c>
      <c r="BF25" s="13">
        <f t="shared" si="37"/>
        <v>21.49434063873689</v>
      </c>
      <c r="BG25" s="20">
        <f t="shared" si="7"/>
        <v>172.19902135532388</v>
      </c>
      <c r="BH25" s="59">
        <f t="shared" si="8"/>
        <v>455.75457691087945</v>
      </c>
      <c r="BI25" s="59">
        <f ca="1">AVERAGE(OFFSET($BH$3,0,0,'Données projet'!$E$11+1,1))-AVERAGE(OFFSET($H$3,0,0,'Données projet'!$E$11+1,1))</f>
        <v>581.88778927327667</v>
      </c>
      <c r="BJ25" s="59">
        <f t="shared" si="38"/>
        <v>269.67340993773422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81.378113142857146</v>
      </c>
      <c r="CA25" s="13">
        <f t="shared" si="39"/>
        <v>22.4738042783213</v>
      </c>
      <c r="CB25" s="20">
        <f t="shared" si="10"/>
        <v>180.87542284188578</v>
      </c>
      <c r="CC25" s="59">
        <f t="shared" si="11"/>
        <v>464.43097839744132</v>
      </c>
      <c r="CD25" s="59">
        <f ca="1">AVERAGE(OFFSET($CC$3,0,0,'Données projet'!$E$12+1,1))-AVERAGE(OFFSET($H$3,0,0,'Données projet'!$E$12+1,1))</f>
        <v>609.60019207204277</v>
      </c>
      <c r="CE25" s="59">
        <f t="shared" si="40"/>
        <v>281.42238288764503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6.2726999999999986</v>
      </c>
      <c r="CT25" s="12">
        <f>IF('Données projet'!$A$140&gt;35,CT24+CS25-DB24,IF(A25&lt;'Données projet'!$A$140,$CQ$205^A25,IF(A25='Données projet'!$A$140,'Données projet'!$B$140,CT24+CS25-DB24)))</f>
        <v>42.286650000000002</v>
      </c>
      <c r="CU25" s="17">
        <f>CT25*VLOOKUP('Données projet'!$B$13,Paramètres!$A$1:$I$89,3,0)*VLOOKUP('Données projet'!$B$13,Paramètres!$A$1:$I$89,5,0)</f>
        <v>33.643258740000007</v>
      </c>
      <c r="CV25" s="13">
        <f t="shared" si="41"/>
        <v>10.297200919932129</v>
      </c>
      <c r="CW25" s="20">
        <f t="shared" si="13"/>
        <v>76.529633907715137</v>
      </c>
      <c r="CX25" s="59">
        <f t="shared" si="14"/>
        <v>360.08518946327069</v>
      </c>
      <c r="CY25" s="59">
        <f ca="1">AVERAGE(OFFSET($CX$3,0,0,'Données projet'!$E$13+1,1))-AVERAGE(OFFSET($H$3,0,0,'Données projet'!$E$13+1,1))</f>
        <v>172.13940525084604</v>
      </c>
      <c r="CZ25" s="59">
        <f t="shared" si="42"/>
        <v>172.82328007157236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</v>
      </c>
      <c r="DO25" s="12">
        <f>IF('Données projet'!$A$166&gt;35,DO24+DN25-DW24,IF(A25&lt;'Données projet'!$A$166,$DL$205^A25,IF(A25='Données projet'!$A$166,'Données projet'!$B$166,DO24+DN25-DW24)))</f>
        <v>107</v>
      </c>
      <c r="DP25" s="17">
        <f>DO25*VLOOKUP('Données projet'!$B$14,Paramètres!$A$1:$I$89,3,0)*VLOOKUP('Données projet'!$B$14,Paramètres!$A$1:$I$89,5,0)</f>
        <v>78.452399999999997</v>
      </c>
      <c r="DQ25" s="13">
        <f t="shared" si="43"/>
        <v>21.75835875604599</v>
      </c>
      <c r="DR25" s="20">
        <f t="shared" si="16"/>
        <v>174.53373816678013</v>
      </c>
      <c r="DS25" s="59">
        <f t="shared" si="17"/>
        <v>458.0892937223357</v>
      </c>
      <c r="DT25" s="59">
        <f ca="1">AVERAGE(OFFSET($DS$3,0,0,'Données projet'!$E$14+1,1))-AVERAGE(OFFSET($H$3,0,0,'Données projet'!$E$14+1,1))</f>
        <v>197.34725966440715</v>
      </c>
      <c r="DU25" s="59">
        <f t="shared" si="44"/>
        <v>240.16326570529532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13.686278926802862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13.686278926802862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10.6</v>
      </c>
      <c r="EJ25" s="12">
        <f>IF('Données projet'!$A$192&gt;35,EJ24+EI25-ER24,IF(A25&lt;'Données projet'!$A$192,$EG$205^A25,IF(A25='Données projet'!$A$192,'Données projet'!$B$192,EJ24+EI25-ER24)))</f>
        <v>81.199999999999974</v>
      </c>
      <c r="EK25" s="17">
        <f>EJ25*VLOOKUP('Données projet'!$B$15,Paramètres!$A$1:$I$89,3,0)*VLOOKUP('Données projet'!$B$15,Paramètres!$A$1:$I$89,5,0)</f>
        <v>63.335999999999984</v>
      </c>
      <c r="EL25" s="13">
        <f t="shared" si="45"/>
        <v>18.009040022946227</v>
      </c>
      <c r="EM25" s="20">
        <f t="shared" si="19"/>
        <v>141.67594470663133</v>
      </c>
      <c r="EN25" s="59">
        <f t="shared" si="20"/>
        <v>425.23150026218684</v>
      </c>
      <c r="EO25" s="59">
        <f ca="1">AVERAGE(OFFSET($EN$3,0,0,'Données projet'!$E$15+1,1))-AVERAGE(OFFSET($H$3,0,0,'Données projet'!$E$15+1,1))</f>
        <v>288.82868507674738</v>
      </c>
      <c r="EP25" s="59">
        <f t="shared" si="46"/>
        <v>283.48738729114024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4.8236612542020483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4.8236612542020483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3.887142857142857</v>
      </c>
      <c r="N26" s="13">
        <f>IF('Données projet'!$A$36&gt;35,N25+M26-V25,IF(A26&lt;'Données projet'!$A$36,$K$205^A26,IF(A26='Données projet'!$A$36,'Données projet'!$B$36,N25+M26-V25)))</f>
        <v>89.40428571428572</v>
      </c>
      <c r="O26" s="13">
        <f>N26*VLOOKUP('Données projet'!$B$9,Paramètres!$A$1:$I$89,3,0)*VLOOKUP('Données projet'!$B$9,Paramètres!$A$1:$I$89,5,0)</f>
        <v>80.892997714285713</v>
      </c>
      <c r="P26" s="13">
        <f t="shared" si="33"/>
        <v>22.355385450466887</v>
      </c>
      <c r="Q26" s="20">
        <f t="shared" si="2"/>
        <v>179.82426734527743</v>
      </c>
      <c r="R26" s="59">
        <f t="shared" si="0"/>
        <v>464.60204512305518</v>
      </c>
      <c r="S26" s="59">
        <f ca="1">AVERAGE(OFFSET($R$3,0,0,'Données projet'!$E$9+1,1))-AVERAGE(OFFSET($H$3,0,0,'Données projet'!$E$9+1,1))</f>
        <v>581.88778927327667</v>
      </c>
      <c r="T26" s="59">
        <f t="shared" si="34"/>
        <v>269.67340993773422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8.1999999999999993</v>
      </c>
      <c r="AI26" s="13">
        <f>IF('Données projet'!$A$62&gt;35,AI25+AH26-AQ25,IF(A26&lt;'Données projet'!$A$62,$AF$205^A26,IF(A26='Données projet'!$A$62,'Données projet'!$B$62,AI25+AH26-AQ25)))</f>
        <v>99.600000000000023</v>
      </c>
      <c r="AJ26" s="13">
        <f>AI26*VLOOKUP('Données projet'!$B$10,Paramètres!$A$1:$I$89,3,0)*VLOOKUP('Données projet'!$B$10,Paramètres!$A$1:$I$89,5,0)</f>
        <v>65.257920000000013</v>
      </c>
      <c r="AK26" s="13">
        <f t="shared" si="35"/>
        <v>18.491067519086762</v>
      </c>
      <c r="AL26" s="20">
        <f t="shared" si="4"/>
        <v>145.8628199290761</v>
      </c>
      <c r="AM26" s="59">
        <f t="shared" si="5"/>
        <v>430.6405977068539</v>
      </c>
      <c r="AN26" s="59">
        <f ca="1">AVERAGE(OFFSET($AM$3,0,0,'Données projet'!$E$10+1,1))-AVERAGE(OFFSET($H$3,0,0,'Données projet'!$E$10+1,1))</f>
        <v>230.58262378842818</v>
      </c>
      <c r="AO26" s="59">
        <f t="shared" si="36"/>
        <v>235.68746142880792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80.892997714285713</v>
      </c>
      <c r="BF26" s="13">
        <f t="shared" si="37"/>
        <v>22.355385450466887</v>
      </c>
      <c r="BG26" s="20">
        <f t="shared" si="7"/>
        <v>179.82426734527743</v>
      </c>
      <c r="BH26" s="59">
        <f t="shared" si="8"/>
        <v>464.60204512305518</v>
      </c>
      <c r="BI26" s="59">
        <f ca="1">AVERAGE(OFFSET($BH$3,0,0,'Données projet'!$E$11+1,1))-AVERAGE(OFFSET($H$3,0,0,'Données projet'!$E$11+1,1))</f>
        <v>581.88778927327667</v>
      </c>
      <c r="BJ26" s="59">
        <f t="shared" si="38"/>
        <v>269.67340993773422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85.077118285714292</v>
      </c>
      <c r="CA26" s="13">
        <f t="shared" si="39"/>
        <v>23.374085561609906</v>
      </c>
      <c r="CB26" s="20">
        <f t="shared" si="10"/>
        <v>188.88584670075628</v>
      </c>
      <c r="CC26" s="59">
        <f t="shared" si="11"/>
        <v>473.66362447853408</v>
      </c>
      <c r="CD26" s="59">
        <f ca="1">AVERAGE(OFFSET($CC$3,0,0,'Données projet'!$E$12+1,1))-AVERAGE(OFFSET($H$3,0,0,'Données projet'!$E$12+1,1))</f>
        <v>609.60019207204277</v>
      </c>
      <c r="CE26" s="59">
        <f t="shared" si="40"/>
        <v>281.42238288764503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6.2726999999999986</v>
      </c>
      <c r="CT26" s="12">
        <f>IF('Données projet'!$A$140&gt;35,CT25+CS26-DB25,IF(A26&lt;'Données projet'!$A$140,$CQ$205^A26,IF(A26='Données projet'!$A$140,'Données projet'!$B$140,CT25+CS26-DB25)))</f>
        <v>48.559350000000002</v>
      </c>
      <c r="CU26" s="17">
        <f>CT26*VLOOKUP('Données projet'!$B$13,Paramètres!$A$1:$I$89,3,0)*VLOOKUP('Données projet'!$B$13,Paramètres!$A$1:$I$89,5,0)</f>
        <v>38.633818860000005</v>
      </c>
      <c r="CV26" s="13">
        <f t="shared" si="41"/>
        <v>11.635811334611597</v>
      </c>
      <c r="CW26" s="20">
        <f t="shared" si="13"/>
        <v>87.552939255615215</v>
      </c>
      <c r="CX26" s="59">
        <f t="shared" si="14"/>
        <v>372.330717033393</v>
      </c>
      <c r="CY26" s="59">
        <f ca="1">AVERAGE(OFFSET($CX$3,0,0,'Données projet'!$E$13+1,1))-AVERAGE(OFFSET($H$3,0,0,'Données projet'!$E$13+1,1))</f>
        <v>172.13940525084604</v>
      </c>
      <c r="CZ26" s="59">
        <f t="shared" si="42"/>
        <v>172.82328007157236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</v>
      </c>
      <c r="DO26" s="12">
        <f>IF('Données projet'!$A$166&gt;35,DO25+DN26-DW25,IF(A26&lt;'Données projet'!$A$166,$DL$205^A26,IF(A26='Données projet'!$A$166,'Données projet'!$B$166,DO25+DN26-DW25)))</f>
        <v>115</v>
      </c>
      <c r="DP26" s="17">
        <f>DO26*VLOOKUP('Données projet'!$B$14,Paramètres!$A$1:$I$89,3,0)*VLOOKUP('Données projet'!$B$14,Paramètres!$A$1:$I$89,5,0)</f>
        <v>84.317999999999998</v>
      </c>
      <c r="DQ26" s="13">
        <f t="shared" si="43"/>
        <v>23.189705803157239</v>
      </c>
      <c r="DR26" s="20">
        <f t="shared" si="16"/>
        <v>187.24258760716552</v>
      </c>
      <c r="DS26" s="59">
        <f t="shared" si="17"/>
        <v>472.02036538494326</v>
      </c>
      <c r="DT26" s="59">
        <f ca="1">AVERAGE(OFFSET($DS$3,0,0,'Données projet'!$E$14+1,1))-AVERAGE(OFFSET($H$3,0,0,'Données projet'!$E$14+1,1))</f>
        <v>197.34725966440715</v>
      </c>
      <c r="DU26" s="59">
        <f t="shared" si="44"/>
        <v>240.16326570529532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13.312026909819309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13.312026909819309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10.6</v>
      </c>
      <c r="EJ26" s="12">
        <f>IF('Données projet'!$A$192&gt;35,EJ25+EI26-ER25,IF(A26&lt;'Données projet'!$A$192,$EG$205^A26,IF(A26='Données projet'!$A$192,'Données projet'!$B$192,EJ25+EI26-ER25)))</f>
        <v>91.799999999999969</v>
      </c>
      <c r="EK26" s="17">
        <f>EJ26*VLOOKUP('Données projet'!$B$15,Paramètres!$A$1:$I$89,3,0)*VLOOKUP('Données projet'!$B$15,Paramètres!$A$1:$I$89,5,0)</f>
        <v>71.603999999999985</v>
      </c>
      <c r="EL26" s="13">
        <f t="shared" si="45"/>
        <v>20.071260561992585</v>
      </c>
      <c r="EM26" s="20">
        <f t="shared" si="19"/>
        <v>159.66774547880371</v>
      </c>
      <c r="EN26" s="59">
        <f t="shared" si="20"/>
        <v>444.44552325658151</v>
      </c>
      <c r="EO26" s="59">
        <f ca="1">AVERAGE(OFFSET($EN$3,0,0,'Données projet'!$E$15+1,1))-AVERAGE(OFFSET($H$3,0,0,'Données projet'!$E$15+1,1))</f>
        <v>288.82868507674738</v>
      </c>
      <c r="EP26" s="59">
        <f t="shared" si="46"/>
        <v>283.48738729114024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4.6917579835405725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4.6917579835405725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3.887142857142857</v>
      </c>
      <c r="N27" s="13">
        <f>IF('Données projet'!$A$36&gt;35,N26+M27-V26,IF(A27&lt;'Données projet'!$A$36,$K$205^A27,IF(A27='Données projet'!$A$36,'Données projet'!$B$36,N26+M27-V26)))</f>
        <v>93.291428571428582</v>
      </c>
      <c r="O27" s="13">
        <f>N27*VLOOKUP('Données projet'!$B$9,Paramètres!$A$1:$I$89,3,0)*VLOOKUP('Données projet'!$B$9,Paramètres!$A$1:$I$89,5,0)</f>
        <v>84.410084571428584</v>
      </c>
      <c r="P27" s="13">
        <f t="shared" si="33"/>
        <v>23.212082188219242</v>
      </c>
      <c r="Q27" s="20">
        <f t="shared" si="2"/>
        <v>187.44194043971996</v>
      </c>
      <c r="R27" s="59">
        <f t="shared" si="0"/>
        <v>473.44194043971993</v>
      </c>
      <c r="S27" s="59">
        <f ca="1">AVERAGE(OFFSET($R$3,0,0,'Données projet'!$E$9+1,1))-AVERAGE(OFFSET($H$3,0,0,'Données projet'!$E$9+1,1))</f>
        <v>581.88778927327667</v>
      </c>
      <c r="T27" s="59">
        <f t="shared" si="34"/>
        <v>269.67340993773422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8.1999999999999993</v>
      </c>
      <c r="AI27" s="13">
        <f>IF('Données projet'!$A$62&gt;35,AI26+AH27-AQ26,IF(A27&lt;'Données projet'!$A$62,$AF$205^A27,IF(A27='Données projet'!$A$62,'Données projet'!$B$62,AI26+AH27-AQ26)))</f>
        <v>107.80000000000003</v>
      </c>
      <c r="AJ27" s="13">
        <f>AI27*VLOOKUP('Données projet'!$B$10,Paramètres!$A$1:$I$89,3,0)*VLOOKUP('Données projet'!$B$10,Paramètres!$A$1:$I$89,5,0)</f>
        <v>70.630560000000017</v>
      </c>
      <c r="AK27" s="13">
        <f t="shared" si="35"/>
        <v>19.829966022106095</v>
      </c>
      <c r="AL27" s="20">
        <f t="shared" si="4"/>
        <v>157.5520828218348</v>
      </c>
      <c r="AM27" s="59">
        <f t="shared" si="5"/>
        <v>443.5520828218348</v>
      </c>
      <c r="AN27" s="59">
        <f ca="1">AVERAGE(OFFSET($AM$3,0,0,'Données projet'!$E$10+1,1))-AVERAGE(OFFSET($H$3,0,0,'Données projet'!$E$10+1,1))</f>
        <v>230.58262378842818</v>
      </c>
      <c r="AO27" s="59">
        <f t="shared" si="36"/>
        <v>235.68746142880792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84.410084571428584</v>
      </c>
      <c r="BF27" s="13">
        <f t="shared" si="37"/>
        <v>23.212082188219242</v>
      </c>
      <c r="BG27" s="20">
        <f t="shared" si="7"/>
        <v>187.44194043971996</v>
      </c>
      <c r="BH27" s="59">
        <f t="shared" si="8"/>
        <v>473.44194043971993</v>
      </c>
      <c r="BI27" s="59">
        <f ca="1">AVERAGE(OFFSET($BH$3,0,0,'Données projet'!$E$11+1,1))-AVERAGE(OFFSET($H$3,0,0,'Données projet'!$E$11+1,1))</f>
        <v>581.88778927327667</v>
      </c>
      <c r="BJ27" s="59">
        <f t="shared" si="38"/>
        <v>269.67340993773422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88.776123428571438</v>
      </c>
      <c r="CA27" s="13">
        <f t="shared" si="39"/>
        <v>24.269820635958951</v>
      </c>
      <c r="CB27" s="20">
        <f t="shared" si="10"/>
        <v>196.88835257905711</v>
      </c>
      <c r="CC27" s="59">
        <f t="shared" si="11"/>
        <v>482.88835257905714</v>
      </c>
      <c r="CD27" s="59">
        <f ca="1">AVERAGE(OFFSET($CC$3,0,0,'Données projet'!$E$12+1,1))-AVERAGE(OFFSET($H$3,0,0,'Données projet'!$E$12+1,1))</f>
        <v>609.60019207204277</v>
      </c>
      <c r="CE27" s="59">
        <f t="shared" si="40"/>
        <v>281.42238288764503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6.2726999999999986</v>
      </c>
      <c r="CT27" s="12">
        <f>IF('Données projet'!$A$140&gt;35,CT26+CS27-DB26,IF(A27&lt;'Données projet'!$A$140,$CQ$205^A27,IF(A27='Données projet'!$A$140,'Données projet'!$B$140,CT26+CS27-DB26)))</f>
        <v>54.832050000000002</v>
      </c>
      <c r="CU27" s="17">
        <f>CT27*VLOOKUP('Données projet'!$B$13,Paramètres!$A$1:$I$89,3,0)*VLOOKUP('Données projet'!$B$13,Paramètres!$A$1:$I$89,5,0)</f>
        <v>43.624378980000003</v>
      </c>
      <c r="CV27" s="13">
        <f t="shared" si="41"/>
        <v>12.954386099288481</v>
      </c>
      <c r="CW27" s="20">
        <f t="shared" si="13"/>
        <v>98.541349179760786</v>
      </c>
      <c r="CX27" s="59">
        <f t="shared" si="14"/>
        <v>384.5413491797608</v>
      </c>
      <c r="CY27" s="59">
        <f ca="1">AVERAGE(OFFSET($CX$3,0,0,'Données projet'!$E$13+1,1))-AVERAGE(OFFSET($H$3,0,0,'Données projet'!$E$13+1,1))</f>
        <v>172.13940525084604</v>
      </c>
      <c r="CZ27" s="59">
        <f t="shared" si="42"/>
        <v>172.82328007157236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</v>
      </c>
      <c r="DO27" s="12">
        <f>IF('Données projet'!$A$166&gt;35,DO26+DN27-DW26,IF(A27&lt;'Données projet'!$A$166,$DL$205^A27,IF(A27='Données projet'!$A$166,'Données projet'!$B$166,DO26+DN27-DW26)))</f>
        <v>123</v>
      </c>
      <c r="DP27" s="17">
        <f>DO27*VLOOKUP('Données projet'!$B$14,Paramètres!$A$1:$I$89,3,0)*VLOOKUP('Données projet'!$B$14,Paramètres!$A$1:$I$89,5,0)</f>
        <v>90.183599999999998</v>
      </c>
      <c r="DQ27" s="13">
        <f t="shared" si="43"/>
        <v>24.609499639553789</v>
      </c>
      <c r="DR27" s="20">
        <f t="shared" si="16"/>
        <v>199.93131520555619</v>
      </c>
      <c r="DS27" s="59">
        <f t="shared" si="17"/>
        <v>485.93131520555619</v>
      </c>
      <c r="DT27" s="59">
        <f ca="1">AVERAGE(OFFSET($DS$3,0,0,'Données projet'!$E$14+1,1))-AVERAGE(OFFSET($H$3,0,0,'Données projet'!$E$14+1,1))</f>
        <v>197.34725966440715</v>
      </c>
      <c r="DU27" s="59">
        <f t="shared" si="44"/>
        <v>240.16326570529532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12.94800883392123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12.94800883392123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10.6</v>
      </c>
      <c r="EJ27" s="12">
        <f>IF('Données projet'!$A$192&gt;35,EJ26+EI27-ER26,IF(A27&lt;'Données projet'!$A$192,$EG$205^A27,IF(A27='Données projet'!$A$192,'Données projet'!$B$192,EJ26+EI27-ER26)))</f>
        <v>102.39999999999996</v>
      </c>
      <c r="EK27" s="17">
        <f>EJ27*VLOOKUP('Données projet'!$B$15,Paramètres!$A$1:$I$89,3,0)*VLOOKUP('Données projet'!$B$15,Paramètres!$A$1:$I$89,5,0)</f>
        <v>79.871999999999971</v>
      </c>
      <c r="EL27" s="13">
        <f t="shared" si="45"/>
        <v>22.105884547145401</v>
      </c>
      <c r="EM27" s="20">
        <f t="shared" si="19"/>
        <v>177.61148225294485</v>
      </c>
      <c r="EN27" s="59">
        <f t="shared" si="20"/>
        <v>463.61148225294482</v>
      </c>
      <c r="EO27" s="59">
        <f ca="1">AVERAGE(OFFSET($EN$3,0,0,'Données projet'!$E$15+1,1))-AVERAGE(OFFSET($H$3,0,0,'Données projet'!$E$15+1,1))</f>
        <v>288.82868507674738</v>
      </c>
      <c r="EP27" s="59">
        <f t="shared" si="46"/>
        <v>283.48738729114024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4.5634616147518265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4.5634616147518265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3.887142857142857</v>
      </c>
      <c r="N28" s="13">
        <f>IF('Données projet'!$A$36&gt;35,N27+M28-V27,IF(A28&lt;'Données projet'!$A$36,$K$205^A28,IF(A28='Données projet'!$A$36,'Données projet'!$B$36,N27+M28-V27)))</f>
        <v>97.178571428571445</v>
      </c>
      <c r="O28" s="13">
        <f>N28*VLOOKUP('Données projet'!$B$9,Paramètres!$A$1:$I$89,3,0)*VLOOKUP('Données projet'!$B$9,Paramètres!$A$1:$I$89,5,0)</f>
        <v>87.927171428571441</v>
      </c>
      <c r="P28" s="13">
        <f t="shared" si="33"/>
        <v>24.06463273936156</v>
      </c>
      <c r="Q28" s="20">
        <f t="shared" si="2"/>
        <v>195.05239225914997</v>
      </c>
      <c r="R28" s="59">
        <f t="shared" si="0"/>
        <v>482.27461448137217</v>
      </c>
      <c r="S28" s="59">
        <f ca="1">AVERAGE(OFFSET($R$3,0,0,'Données projet'!$E$9+1,1))-AVERAGE(OFFSET($H$3,0,0,'Données projet'!$E$9+1,1))</f>
        <v>581.88778927327667</v>
      </c>
      <c r="T28" s="59">
        <f t="shared" si="34"/>
        <v>269.67340993773422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116</v>
      </c>
      <c r="AG28" s="12">
        <f>VLOOKUP(A28,'Données projet'!$A$61:$I$81,9,0)</f>
        <v>8.1999999999999993</v>
      </c>
      <c r="AH28" s="12">
        <f t="array" ref="AH28">INDEX(AG:AG,MIN(IF(ISNUMBER(AG28:AG224),ROW(AG28:AG224),"")))</f>
        <v>8.1999999999999993</v>
      </c>
      <c r="AI28" s="13">
        <f>IF('Données projet'!$A$62&gt;35,AI27+AH28-AQ27,IF(A28&lt;'Données projet'!$A$62,$AF$205^A28,IF(A28='Données projet'!$A$62,'Données projet'!$B$62,AI27+AH28-AQ27)))</f>
        <v>116.00000000000003</v>
      </c>
      <c r="AJ28" s="13">
        <f>AI28*VLOOKUP('Données projet'!$B$10,Paramètres!$A$1:$I$89,3,0)*VLOOKUP('Données projet'!$B$10,Paramètres!$A$1:$I$89,5,0)</f>
        <v>76.003200000000021</v>
      </c>
      <c r="AK28" s="13">
        <f t="shared" si="35"/>
        <v>21.157049992000456</v>
      </c>
      <c r="AL28" s="20">
        <f t="shared" si="4"/>
        <v>169.2207687360675</v>
      </c>
      <c r="AM28" s="59">
        <f t="shared" si="5"/>
        <v>456.44299095828973</v>
      </c>
      <c r="AN28" s="59">
        <f ca="1">AVERAGE(OFFSET($AM$3,0,0,'Données projet'!$E$10+1,1))-AVERAGE(OFFSET($H$3,0,0,'Données projet'!$E$10+1,1))</f>
        <v>230.58262378842818</v>
      </c>
      <c r="AO28" s="59">
        <f t="shared" si="36"/>
        <v>235.68746142880792</v>
      </c>
      <c r="AP28" s="15">
        <f>IF(ISNA(VLOOKUP(A28,'Données projet'!$A$61:$I$81,3,0)),0,VLOOKUP(A28,'Données projet'!$A$61:$I$81,3,0))</f>
        <v>4</v>
      </c>
      <c r="AQ28" s="15">
        <f>IF(ISNA(VLOOKUP(A28,'Données projet'!$A$61:$I$81,4,0)),0,VLOOKUP(A28,'Données projet'!$A$61:$I$81,4,0))</f>
        <v>18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87.927171428571441</v>
      </c>
      <c r="BF28" s="13">
        <f t="shared" si="37"/>
        <v>24.06463273936156</v>
      </c>
      <c r="BG28" s="20">
        <f t="shared" si="7"/>
        <v>195.05239225914997</v>
      </c>
      <c r="BH28" s="59">
        <f t="shared" si="8"/>
        <v>482.27461448137217</v>
      </c>
      <c r="BI28" s="59">
        <f ca="1">AVERAGE(OFFSET($BH$3,0,0,'Données projet'!$E$11+1,1))-AVERAGE(OFFSET($H$3,0,0,'Données projet'!$E$11+1,1))</f>
        <v>581.88778927327667</v>
      </c>
      <c r="BJ28" s="59">
        <f t="shared" si="38"/>
        <v>269.67340993773422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92.475128571428584</v>
      </c>
      <c r="CA28" s="13">
        <f t="shared" si="39"/>
        <v>25.161220588429078</v>
      </c>
      <c r="CB28" s="20">
        <f t="shared" si="10"/>
        <v>204.88330812008542</v>
      </c>
      <c r="CC28" s="59">
        <f t="shared" si="11"/>
        <v>492.10553034230765</v>
      </c>
      <c r="CD28" s="59">
        <f ca="1">AVERAGE(OFFSET($CC$3,0,0,'Données projet'!$E$12+1,1))-AVERAGE(OFFSET($H$3,0,0,'Données projet'!$E$12+1,1))</f>
        <v>609.60019207204277</v>
      </c>
      <c r="CE28" s="59">
        <f t="shared" si="40"/>
        <v>281.42238288764503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61.104749999999996</v>
      </c>
      <c r="CR28" s="12">
        <f>VLOOKUP(A28,'Données projet'!$A$139:$I$159,9,0)</f>
        <v>6.2726999999999986</v>
      </c>
      <c r="CS28" s="12">
        <f t="array" ref="CS28">INDEX(CR:CR,MIN(IF(ISNUMBER(CR28:CR224),ROW(CR28:CR224),"")))</f>
        <v>6.2726999999999986</v>
      </c>
      <c r="CT28" s="12">
        <f>IF('Données projet'!$A$140&gt;35,CT27+CS28-DB27,IF(A28&lt;'Données projet'!$A$140,$CQ$205^A28,IF(A28='Données projet'!$A$140,'Données projet'!$B$140,CT27+CS28-DB27)))</f>
        <v>61.104750000000003</v>
      </c>
      <c r="CU28" s="17">
        <f>CT28*VLOOKUP('Données projet'!$B$13,Paramètres!$A$1:$I$89,3,0)*VLOOKUP('Données projet'!$B$13,Paramètres!$A$1:$I$89,5,0)</f>
        <v>48.614939100000008</v>
      </c>
      <c r="CV28" s="13">
        <f t="shared" si="41"/>
        <v>14.255478928010207</v>
      </c>
      <c r="CW28" s="20">
        <f t="shared" si="13"/>
        <v>109.49931139878446</v>
      </c>
      <c r="CX28" s="59">
        <f t="shared" si="14"/>
        <v>396.7215336210067</v>
      </c>
      <c r="CY28" s="59">
        <f ca="1">AVERAGE(OFFSET($CX$3,0,0,'Données projet'!$E$13+1,1))-AVERAGE(OFFSET($H$3,0,0,'Données projet'!$E$13+1,1))</f>
        <v>172.13940525084604</v>
      </c>
      <c r="CZ28" s="59">
        <f t="shared" si="42"/>
        <v>172.82328007157236</v>
      </c>
      <c r="DA28" s="15">
        <f>IF(ISNA(VLOOKUP(A28,'Données projet'!$A$139:$I$159,3,0)),0,VLOOKUP(A28,'Données projet'!$A$139:$I$159,3,0))</f>
        <v>4</v>
      </c>
      <c r="DB28" s="15">
        <f>IF(ISNA(VLOOKUP(A28,'Données projet'!$A$139:$I$159,4,0)),0,VLOOKUP(A28,'Données projet'!$A$139:$I$159,4,0))</f>
        <v>15.141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131</v>
      </c>
      <c r="DM28" s="12">
        <f>VLOOKUP(A28,'Données projet'!$A$165:$I$185,9,0)</f>
        <v>8</v>
      </c>
      <c r="DN28" s="12">
        <f t="array" ref="DN28">INDEX(DM:DM,MIN(IF(ISNUMBER(DM28:DM224),ROW(DM28:DM224),"")))</f>
        <v>8</v>
      </c>
      <c r="DO28" s="12">
        <f>IF('Données projet'!$A$166&gt;35,DO27+DN28-DW27,IF(A28&lt;'Données projet'!$A$166,$DL$205^A28,IF(A28='Données projet'!$A$166,'Données projet'!$B$166,DO27+DN28-DW27)))</f>
        <v>131</v>
      </c>
      <c r="DP28" s="17">
        <f>DO28*VLOOKUP('Données projet'!$B$14,Paramètres!$A$1:$I$89,3,0)*VLOOKUP('Données projet'!$B$14,Paramètres!$A$1:$I$89,5,0)</f>
        <v>96.049199999999999</v>
      </c>
      <c r="DQ28" s="13">
        <f t="shared" si="43"/>
        <v>26.018577210521599</v>
      </c>
      <c r="DR28" s="20">
        <f t="shared" si="16"/>
        <v>212.60137864165844</v>
      </c>
      <c r="DS28" s="59">
        <f t="shared" si="17"/>
        <v>499.82360086388064</v>
      </c>
      <c r="DT28" s="59">
        <f ca="1">AVERAGE(OFFSET($DS$3,0,0,'Données projet'!$E$14+1,1))-AVERAGE(OFFSET($H$3,0,0,'Données projet'!$E$14+1,1))</f>
        <v>197.34725966440715</v>
      </c>
      <c r="DU28" s="59">
        <f t="shared" si="44"/>
        <v>240.16326570529532</v>
      </c>
      <c r="DV28" s="15">
        <f>IF(ISNA(VLOOKUP(A28,'Données projet'!$A$165:$I$185,3,0)),0,VLOOKUP(A28,'Données projet'!$A$165:$I$185,3,0))</f>
        <v>3</v>
      </c>
      <c r="DW28" s="15">
        <f>IF(ISNA(VLOOKUP(A28,'Données projet'!$A$165:$I$185,4,0)),0,VLOOKUP(A28,'Données projet'!$A$165:$I$185,4,0))</f>
        <v>41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0.215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19.710642661663179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19.710642661663179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113</v>
      </c>
      <c r="EH28" s="12">
        <f>VLOOKUP(A28,'Données projet'!$A$191:$I$211,9,0)</f>
        <v>10.6</v>
      </c>
      <c r="EI28" s="12">
        <f t="array" ref="EI28">INDEX(EH:EH,MIN(IF(ISNUMBER(EH28:EH224),ROW(EH28:EH224),"")))</f>
        <v>10.6</v>
      </c>
      <c r="EJ28" s="12">
        <f>IF('Données projet'!$A$192&gt;35,EJ27+EI28-ER27,IF(A28&lt;'Données projet'!$A$192,$EG$205^A28,IF(A28='Données projet'!$A$192,'Données projet'!$B$192,EJ27+EI28-ER27)))</f>
        <v>112.99999999999996</v>
      </c>
      <c r="EK28" s="17">
        <f>EJ28*VLOOKUP('Données projet'!$B$15,Paramètres!$A$1:$I$89,3,0)*VLOOKUP('Données projet'!$B$15,Paramètres!$A$1:$I$89,5,0)</f>
        <v>88.139999999999972</v>
      </c>
      <c r="EL28" s="13">
        <f t="shared" si="45"/>
        <v>24.116094026318823</v>
      </c>
      <c r="EM28" s="20">
        <f t="shared" si="19"/>
        <v>195.51269709583855</v>
      </c>
      <c r="EN28" s="59">
        <f t="shared" si="20"/>
        <v>482.73491931806075</v>
      </c>
      <c r="EO28" s="59">
        <f ca="1">AVERAGE(OFFSET($EN$3,0,0,'Données projet'!$E$15+1,1))-AVERAGE(OFFSET($H$3,0,0,'Données projet'!$E$15+1,1))</f>
        <v>288.82868507674738</v>
      </c>
      <c r="EP28" s="59">
        <f t="shared" si="46"/>
        <v>283.48738729114024</v>
      </c>
      <c r="EQ28" s="15">
        <f>IF(ISNA(VLOOKUP(A28,'Données projet'!$A$191:$I$211,3,0)),0,VLOOKUP(A28,'Données projet'!$A$191:$I$211,3,0))</f>
        <v>3</v>
      </c>
      <c r="ER28" s="15">
        <f>IF(ISNA(VLOOKUP(A28,'Données projet'!$A$191:$I$211,4,0)),0,VLOOKUP(A28,'Données projet'!$A$191:$I$211,4,0))</f>
        <v>27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0.215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9.4244244477840713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9.4244244477840713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3.887142857142857</v>
      </c>
      <c r="N29" s="13">
        <f>IF('Données projet'!$A$36&gt;35,N28+M29-V28,IF(A29&lt;'Données projet'!$A$36,$K$205^A29,IF(A29='Données projet'!$A$36,'Données projet'!$B$36,N28+M29-V28)))</f>
        <v>101.06571428571431</v>
      </c>
      <c r="O29" s="13">
        <f>N29*VLOOKUP('Données projet'!$B$9,Paramètres!$A$1:$I$89,3,0)*VLOOKUP('Données projet'!$B$9,Paramètres!$A$1:$I$89,5,0)</f>
        <v>91.444258285714298</v>
      </c>
      <c r="P29" s="13">
        <f t="shared" si="33"/>
        <v>24.913221926074399</v>
      </c>
      <c r="Q29" s="20">
        <f t="shared" si="2"/>
        <v>202.65594470219867</v>
      </c>
      <c r="R29" s="59">
        <f t="shared" si="0"/>
        <v>491.10038914664312</v>
      </c>
      <c r="S29" s="59">
        <f ca="1">AVERAGE(OFFSET($R$3,0,0,'Données projet'!$E$9+1,1))-AVERAGE(OFFSET($H$3,0,0,'Données projet'!$E$9+1,1))</f>
        <v>581.88778927327667</v>
      </c>
      <c r="T29" s="59">
        <f t="shared" si="34"/>
        <v>269.67340993773422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7.8</v>
      </c>
      <c r="AI29" s="13">
        <f>IF('Données projet'!$A$62&gt;35,AI28+AH29-AQ28,IF(A29&lt;'Données projet'!$A$62,$AF$205^A29,IF(A29='Données projet'!$A$62,'Données projet'!$B$62,AI28+AH29-AQ28)))</f>
        <v>105.80000000000003</v>
      </c>
      <c r="AJ29" s="13">
        <f>AI29*VLOOKUP('Données projet'!$B$10,Paramètres!$A$1:$I$89,3,0)*VLOOKUP('Données projet'!$B$10,Paramètres!$A$1:$I$89,5,0)</f>
        <v>69.320160000000016</v>
      </c>
      <c r="AK29" s="13">
        <f t="shared" si="35"/>
        <v>19.50453356393022</v>
      </c>
      <c r="AL29" s="20">
        <f t="shared" si="4"/>
        <v>154.70300795717847</v>
      </c>
      <c r="AM29" s="59">
        <f t="shared" si="5"/>
        <v>443.1474524016229</v>
      </c>
      <c r="AN29" s="59">
        <f ca="1">AVERAGE(OFFSET($AM$3,0,0,'Données projet'!$E$10+1,1))-AVERAGE(OFFSET($H$3,0,0,'Données projet'!$E$10+1,1))</f>
        <v>230.58262378842818</v>
      </c>
      <c r="AO29" s="59">
        <f t="shared" si="36"/>
        <v>235.68746142880792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91.444258285714298</v>
      </c>
      <c r="BF29" s="13">
        <f t="shared" si="37"/>
        <v>24.913221926074399</v>
      </c>
      <c r="BG29" s="20">
        <f t="shared" si="7"/>
        <v>202.65594470219867</v>
      </c>
      <c r="BH29" s="59">
        <f t="shared" si="8"/>
        <v>491.10038914664312</v>
      </c>
      <c r="BI29" s="59">
        <f ca="1">AVERAGE(OFFSET($BH$3,0,0,'Données projet'!$E$11+1,1))-AVERAGE(OFFSET($H$3,0,0,'Données projet'!$E$11+1,1))</f>
        <v>581.88778927327667</v>
      </c>
      <c r="BJ29" s="59">
        <f t="shared" si="38"/>
        <v>269.67340993773422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96.17413371428573</v>
      </c>
      <c r="CA29" s="13">
        <f t="shared" si="39"/>
        <v>26.048478663259949</v>
      </c>
      <c r="CB29" s="20">
        <f t="shared" si="10"/>
        <v>212.87104989089207</v>
      </c>
      <c r="CC29" s="59">
        <f t="shared" si="11"/>
        <v>501.31549433533655</v>
      </c>
      <c r="CD29" s="59">
        <f ca="1">AVERAGE(OFFSET($CC$3,0,0,'Données projet'!$E$12+1,1))-AVERAGE(OFFSET($H$3,0,0,'Données projet'!$E$12+1,1))</f>
        <v>609.60019207204277</v>
      </c>
      <c r="CE29" s="59">
        <f t="shared" si="40"/>
        <v>281.42238288764503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6.0924500000000013</v>
      </c>
      <c r="CT29" s="12">
        <f>IF('Données projet'!$A$140&gt;35,CT28+CS29-DB28,IF(A29&lt;'Données projet'!$A$140,$CQ$205^A29,IF(A29='Données projet'!$A$140,'Données projet'!$B$140,CT28+CS29-DB28)))</f>
        <v>52.056200000000011</v>
      </c>
      <c r="CU29" s="17">
        <f>CT29*VLOOKUP('Données projet'!$B$13,Paramètres!$A$1:$I$89,3,0)*VLOOKUP('Données projet'!$B$13,Paramètres!$A$1:$I$89,5,0)</f>
        <v>41.415912720000016</v>
      </c>
      <c r="CV29" s="13">
        <f t="shared" si="41"/>
        <v>12.373171576633325</v>
      </c>
      <c r="CW29" s="20">
        <f t="shared" si="13"/>
        <v>93.682655149969733</v>
      </c>
      <c r="CX29" s="59">
        <f t="shared" si="14"/>
        <v>382.12709959441418</v>
      </c>
      <c r="CY29" s="59">
        <f ca="1">AVERAGE(OFFSET($CX$3,0,0,'Données projet'!$E$13+1,1))-AVERAGE(OFFSET($H$3,0,0,'Données projet'!$E$13+1,1))</f>
        <v>172.13940525084604</v>
      </c>
      <c r="CZ29" s="59">
        <f t="shared" si="42"/>
        <v>172.82328007157236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7.05</v>
      </c>
      <c r="DO29" s="12">
        <f>IF('Données projet'!$A$166&gt;35,DO28+DN29-DW28,IF(A29&lt;'Données projet'!$A$166,$DL$205^A29,IF(A29='Données projet'!$A$166,'Données projet'!$B$166,DO28+DN29-DW28)))</f>
        <v>97.050000000000011</v>
      </c>
      <c r="DP29" s="17">
        <f>DO29*VLOOKUP('Données projet'!$B$14,Paramètres!$A$1:$I$89,3,0)*VLOOKUP('Données projet'!$B$14,Paramètres!$A$1:$I$89,5,0)</f>
        <v>71.157060000000001</v>
      </c>
      <c r="DQ29" s="13">
        <f t="shared" si="43"/>
        <v>19.960521611336972</v>
      </c>
      <c r="DR29" s="20">
        <f t="shared" si="16"/>
        <v>158.69645463974521</v>
      </c>
      <c r="DS29" s="59">
        <f t="shared" si="17"/>
        <v>447.14089908418964</v>
      </c>
      <c r="DT29" s="59">
        <f ca="1">AVERAGE(OFFSET($DS$3,0,0,'Données projet'!$E$14+1,1))-AVERAGE(OFFSET($H$3,0,0,'Données projet'!$E$14+1,1))</f>
        <v>197.34725966440715</v>
      </c>
      <c r="DU29" s="59">
        <f t="shared" si="44"/>
        <v>240.16326570529532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19.171654101542352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19.171654101542352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11.5</v>
      </c>
      <c r="EJ29" s="12">
        <f>IF('Données projet'!$A$192&gt;35,EJ28+EI29-ER28,IF(A29&lt;'Données projet'!$A$192,$EG$205^A29,IF(A29='Données projet'!$A$192,'Données projet'!$B$192,EJ28+EI29-ER28)))</f>
        <v>97.499999999999957</v>
      </c>
      <c r="EK29" s="17">
        <f>EJ29*VLOOKUP('Données projet'!$B$15,Paramètres!$A$1:$I$89,3,0)*VLOOKUP('Données projet'!$B$15,Paramètres!$A$1:$I$89,5,0)</f>
        <v>76.049999999999969</v>
      </c>
      <c r="EL29" s="13">
        <f t="shared" si="45"/>
        <v>21.168560890749262</v>
      </c>
      <c r="EM29" s="20">
        <f t="shared" si="19"/>
        <v>169.32232688472158</v>
      </c>
      <c r="EN29" s="59">
        <f t="shared" si="20"/>
        <v>457.76677132916603</v>
      </c>
      <c r="EO29" s="59">
        <f ca="1">AVERAGE(OFFSET($EN$3,0,0,'Données projet'!$E$15+1,1))-AVERAGE(OFFSET($H$3,0,0,'Données projet'!$E$15+1,1))</f>
        <v>288.82868507674738</v>
      </c>
      <c r="EP29" s="59">
        <f t="shared" si="46"/>
        <v>283.48738729114024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9.1667130656504732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9.1667130656504732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3.887142857142857</v>
      </c>
      <c r="N30" s="13">
        <f>IF('Données projet'!$A$36&gt;35,N29+M30-V29,IF(A30&lt;'Données projet'!$A$36,$K$205^A30,IF(A30='Données projet'!$A$36,'Données projet'!$B$36,N29+M30-V29)))</f>
        <v>104.95285714285717</v>
      </c>
      <c r="O30" s="13">
        <f>N30*VLOOKUP('Données projet'!$B$9,Paramètres!$A$1:$I$89,3,0)*VLOOKUP('Données projet'!$B$9,Paramètres!$A$1:$I$89,5,0)</f>
        <v>94.961345142857169</v>
      </c>
      <c r="P30" s="13">
        <f t="shared" si="33"/>
        <v>25.758019548315733</v>
      </c>
      <c r="Q30" s="20">
        <f t="shared" si="2"/>
        <v>210.25289350379276</v>
      </c>
      <c r="R30" s="59">
        <f t="shared" si="0"/>
        <v>499.91956017045948</v>
      </c>
      <c r="S30" s="59">
        <f ca="1">AVERAGE(OFFSET($R$3,0,0,'Données projet'!$E$9+1,1))-AVERAGE(OFFSET($H$3,0,0,'Données projet'!$E$9+1,1))</f>
        <v>581.88778927327667</v>
      </c>
      <c r="T30" s="59">
        <f t="shared" si="34"/>
        <v>269.67340993773422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7.8</v>
      </c>
      <c r="AI30" s="13">
        <f>IF('Données projet'!$A$62&gt;35,AI29+AH30-AQ29,IF(A30&lt;'Données projet'!$A$62,$AF$205^A30,IF(A30='Données projet'!$A$62,'Données projet'!$B$62,AI29+AH30-AQ29)))</f>
        <v>113.60000000000002</v>
      </c>
      <c r="AJ30" s="13">
        <f>AI30*VLOOKUP('Données projet'!$B$10,Paramètres!$A$1:$I$89,3,0)*VLOOKUP('Données projet'!$B$10,Paramètres!$A$1:$I$89,5,0)</f>
        <v>74.430720000000022</v>
      </c>
      <c r="AK30" s="13">
        <f t="shared" si="35"/>
        <v>20.76980057385482</v>
      </c>
      <c r="AL30" s="20">
        <f t="shared" si="4"/>
        <v>165.80757333279718</v>
      </c>
      <c r="AM30" s="59">
        <f t="shared" si="5"/>
        <v>455.47423999946386</v>
      </c>
      <c r="AN30" s="59">
        <f ca="1">AVERAGE(OFFSET($AM$3,0,0,'Données projet'!$E$10+1,1))-AVERAGE(OFFSET($H$3,0,0,'Données projet'!$E$10+1,1))</f>
        <v>230.58262378842818</v>
      </c>
      <c r="AO30" s="59">
        <f t="shared" si="36"/>
        <v>235.68746142880792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94.961345142857169</v>
      </c>
      <c r="BF30" s="13">
        <f t="shared" si="37"/>
        <v>25.758019548315733</v>
      </c>
      <c r="BG30" s="20">
        <f t="shared" si="7"/>
        <v>210.25289350379276</v>
      </c>
      <c r="BH30" s="59">
        <f t="shared" si="8"/>
        <v>499.91956017045948</v>
      </c>
      <c r="BI30" s="59">
        <f ca="1">AVERAGE(OFFSET($BH$3,0,0,'Données projet'!$E$11+1,1))-AVERAGE(OFFSET($H$3,0,0,'Données projet'!$E$11+1,1))</f>
        <v>581.88778927327667</v>
      </c>
      <c r="BJ30" s="59">
        <f t="shared" si="38"/>
        <v>269.67340993773422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99.873138857142877</v>
      </c>
      <c r="CA30" s="13">
        <f t="shared" si="39"/>
        <v>26.931772397929201</v>
      </c>
      <c r="CB30" s="20">
        <f t="shared" si="10"/>
        <v>220.85188710258387</v>
      </c>
      <c r="CC30" s="59">
        <f t="shared" si="11"/>
        <v>510.51855376925056</v>
      </c>
      <c r="CD30" s="59">
        <f ca="1">AVERAGE(OFFSET($CC$3,0,0,'Données projet'!$E$12+1,1))-AVERAGE(OFFSET($H$3,0,0,'Données projet'!$E$12+1,1))</f>
        <v>609.60019207204277</v>
      </c>
      <c r="CE30" s="59">
        <f t="shared" si="40"/>
        <v>281.42238288764503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6.0924500000000013</v>
      </c>
      <c r="CT30" s="12">
        <f>IF('Données projet'!$A$140&gt;35,CT29+CS30-DB29,IF(A30&lt;'Données projet'!$A$140,$CQ$205^A30,IF(A30='Données projet'!$A$140,'Données projet'!$B$140,CT29+CS30-DB29)))</f>
        <v>58.148650000000011</v>
      </c>
      <c r="CU30" s="17">
        <f>CT30*VLOOKUP('Données projet'!$B$13,Paramètres!$A$1:$I$89,3,0)*VLOOKUP('Données projet'!$B$13,Paramètres!$A$1:$I$89,5,0)</f>
        <v>46.263065940000011</v>
      </c>
      <c r="CV30" s="13">
        <f t="shared" si="41"/>
        <v>13.644360653369109</v>
      </c>
      <c r="CW30" s="20">
        <f t="shared" si="13"/>
        <v>104.33876798345121</v>
      </c>
      <c r="CX30" s="59">
        <f t="shared" si="14"/>
        <v>394.00543465011788</v>
      </c>
      <c r="CY30" s="59">
        <f ca="1">AVERAGE(OFFSET($CX$3,0,0,'Données projet'!$E$13+1,1))-AVERAGE(OFFSET($H$3,0,0,'Données projet'!$E$13+1,1))</f>
        <v>172.13940525084604</v>
      </c>
      <c r="CZ30" s="59">
        <f t="shared" si="42"/>
        <v>172.82328007157236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7.05</v>
      </c>
      <c r="DO30" s="12">
        <f>IF('Données projet'!$A$166&gt;35,DO29+DN30-DW29,IF(A30&lt;'Données projet'!$A$166,$DL$205^A30,IF(A30='Données projet'!$A$166,'Données projet'!$B$166,DO29+DN30-DW29)))</f>
        <v>104.10000000000001</v>
      </c>
      <c r="DP30" s="17">
        <f>DO30*VLOOKUP('Données projet'!$B$14,Paramètres!$A$1:$I$89,3,0)*VLOOKUP('Données projet'!$B$14,Paramètres!$A$1:$I$89,5,0)</f>
        <v>76.326120000000003</v>
      </c>
      <c r="DQ30" s="13">
        <f t="shared" si="43"/>
        <v>21.236458429363207</v>
      </c>
      <c r="DR30" s="20">
        <f t="shared" si="16"/>
        <v>169.92149076447427</v>
      </c>
      <c r="DS30" s="59">
        <f t="shared" si="17"/>
        <v>459.58815743114098</v>
      </c>
      <c r="DT30" s="59">
        <f ca="1">AVERAGE(OFFSET($DS$3,0,0,'Données projet'!$E$14+1,1))-AVERAGE(OFFSET($H$3,0,0,'Données projet'!$E$14+1,1))</f>
        <v>197.34725966440715</v>
      </c>
      <c r="DU30" s="59">
        <f t="shared" si="44"/>
        <v>240.16326570529532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18.647404211942206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18.647404211942206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11.5</v>
      </c>
      <c r="EJ30" s="12">
        <f>IF('Données projet'!$A$192&gt;35,EJ29+EI30-ER29,IF(A30&lt;'Données projet'!$A$192,$EG$205^A30,IF(A30='Données projet'!$A$192,'Données projet'!$B$192,EJ29+EI30-ER29)))</f>
        <v>108.99999999999996</v>
      </c>
      <c r="EK30" s="17">
        <f>EJ30*VLOOKUP('Données projet'!$B$15,Paramètres!$A$1:$I$89,3,0)*VLOOKUP('Données projet'!$B$15,Paramètres!$A$1:$I$89,5,0)</f>
        <v>85.019999999999968</v>
      </c>
      <c r="EL30" s="13">
        <f t="shared" si="45"/>
        <v>23.360218970693097</v>
      </c>
      <c r="EM30" s="20">
        <f t="shared" si="19"/>
        <v>188.76221470729038</v>
      </c>
      <c r="EN30" s="59">
        <f t="shared" si="20"/>
        <v>478.4288813739571</v>
      </c>
      <c r="EO30" s="59">
        <f ca="1">AVERAGE(OFFSET($EN$3,0,0,'Données projet'!$E$15+1,1))-AVERAGE(OFFSET($H$3,0,0,'Données projet'!$E$15+1,1))</f>
        <v>288.82868507674738</v>
      </c>
      <c r="EP30" s="59">
        <f t="shared" si="46"/>
        <v>283.48738729114024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8.916048814813772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8.916048814813772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3.887142857142857</v>
      </c>
      <c r="N31" s="13">
        <f>IF('Données projet'!$A$36&gt;35,N30+M31-V30,IF(A31&lt;'Données projet'!$A$36,$K$205^A31,IF(A31='Données projet'!$A$36,'Données projet'!$B$36,N30+M31-V30)))</f>
        <v>108.84000000000003</v>
      </c>
      <c r="O31" s="13">
        <f>N31*VLOOKUP('Données projet'!$B$9,Paramètres!$A$1:$I$89,3,0)*VLOOKUP('Données projet'!$B$9,Paramètres!$A$1:$I$89,5,0)</f>
        <v>98.478432000000026</v>
      </c>
      <c r="P31" s="13">
        <f t="shared" si="33"/>
        <v>26.599182115615513</v>
      </c>
      <c r="Q31" s="20">
        <f t="shared" si="2"/>
        <v>217.84351125136371</v>
      </c>
      <c r="R31" s="59">
        <f t="shared" si="0"/>
        <v>508.73240014025259</v>
      </c>
      <c r="S31" s="59">
        <f ca="1">AVERAGE(OFFSET($R$3,0,0,'Données projet'!$E$9+1,1))-AVERAGE(OFFSET($H$3,0,0,'Données projet'!$E$9+1,1))</f>
        <v>581.88778927327667</v>
      </c>
      <c r="T31" s="59">
        <f t="shared" si="34"/>
        <v>269.67340993773422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7.8</v>
      </c>
      <c r="AI31" s="13">
        <f>IF('Données projet'!$A$62&gt;35,AI30+AH31-AQ30,IF(A31&lt;'Données projet'!$A$62,$AF$205^A31,IF(A31='Données projet'!$A$62,'Données projet'!$B$62,AI30+AH31-AQ30)))</f>
        <v>121.40000000000002</v>
      </c>
      <c r="AJ31" s="13">
        <f>AI31*VLOOKUP('Données projet'!$B$10,Paramètres!$A$1:$I$89,3,0)*VLOOKUP('Données projet'!$B$10,Paramètres!$A$1:$I$89,5,0)</f>
        <v>79.541280000000015</v>
      </c>
      <c r="AK31" s="13">
        <f t="shared" si="35"/>
        <v>22.024987194093406</v>
      </c>
      <c r="AL31" s="20">
        <f t="shared" si="4"/>
        <v>176.89458202971272</v>
      </c>
      <c r="AM31" s="59">
        <f t="shared" si="5"/>
        <v>467.78347091860155</v>
      </c>
      <c r="AN31" s="59">
        <f ca="1">AVERAGE(OFFSET($AM$3,0,0,'Données projet'!$E$10+1,1))-AVERAGE(OFFSET($H$3,0,0,'Données projet'!$E$10+1,1))</f>
        <v>230.58262378842818</v>
      </c>
      <c r="AO31" s="59">
        <f t="shared" si="36"/>
        <v>235.68746142880792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98.478432000000026</v>
      </c>
      <c r="BF31" s="13">
        <f t="shared" si="37"/>
        <v>26.599182115615513</v>
      </c>
      <c r="BG31" s="20">
        <f t="shared" si="7"/>
        <v>217.84351125136371</v>
      </c>
      <c r="BH31" s="59">
        <f t="shared" si="8"/>
        <v>508.73240014025259</v>
      </c>
      <c r="BI31" s="59">
        <f ca="1">AVERAGE(OFFSET($BH$3,0,0,'Données projet'!$E$11+1,1))-AVERAGE(OFFSET($H$3,0,0,'Données projet'!$E$11+1,1))</f>
        <v>581.88778927327667</v>
      </c>
      <c r="BJ31" s="59">
        <f t="shared" si="38"/>
        <v>269.67340993773422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103.57214400000004</v>
      </c>
      <c r="CA31" s="13">
        <f t="shared" si="39"/>
        <v>27.811265433862424</v>
      </c>
      <c r="CB31" s="20">
        <f t="shared" si="10"/>
        <v>228.8261047639771</v>
      </c>
      <c r="CC31" s="59">
        <f t="shared" si="11"/>
        <v>519.71499365286593</v>
      </c>
      <c r="CD31" s="59">
        <f ca="1">AVERAGE(OFFSET($CC$3,0,0,'Données projet'!$E$12+1,1))-AVERAGE(OFFSET($H$3,0,0,'Données projet'!$E$12+1,1))</f>
        <v>609.60019207204277</v>
      </c>
      <c r="CE31" s="59">
        <f t="shared" si="40"/>
        <v>281.42238288764503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6.0924500000000013</v>
      </c>
      <c r="CT31" s="12">
        <f>IF('Données projet'!$A$140&gt;35,CT30+CS31-DB30,IF(A31&lt;'Données projet'!$A$140,$CQ$205^A31,IF(A31='Données projet'!$A$140,'Données projet'!$B$140,CT30+CS31-DB30)))</f>
        <v>64.241100000000017</v>
      </c>
      <c r="CU31" s="17">
        <f>CT31*VLOOKUP('Données projet'!$B$13,Paramètres!$A$1:$I$89,3,0)*VLOOKUP('Données projet'!$B$13,Paramètres!$A$1:$I$89,5,0)</f>
        <v>51.110219160000021</v>
      </c>
      <c r="CV31" s="13">
        <f t="shared" si="41"/>
        <v>14.900111103625639</v>
      </c>
      <c r="CW31" s="20">
        <f t="shared" si="13"/>
        <v>114.96799187581469</v>
      </c>
      <c r="CX31" s="59">
        <f t="shared" si="14"/>
        <v>405.85688076470353</v>
      </c>
      <c r="CY31" s="59">
        <f ca="1">AVERAGE(OFFSET($CX$3,0,0,'Données projet'!$E$13+1,1))-AVERAGE(OFFSET($H$3,0,0,'Données projet'!$E$13+1,1))</f>
        <v>172.13940525084604</v>
      </c>
      <c r="CZ31" s="59">
        <f t="shared" si="42"/>
        <v>172.82328007157236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7.05</v>
      </c>
      <c r="DO31" s="12">
        <f>IF('Données projet'!$A$166&gt;35,DO30+DN31-DW30,IF(A31&lt;'Données projet'!$A$166,$DL$205^A31,IF(A31='Données projet'!$A$166,'Données projet'!$B$166,DO30+DN31-DW30)))</f>
        <v>111.15</v>
      </c>
      <c r="DP31" s="17">
        <f>DO31*VLOOKUP('Données projet'!$B$14,Paramètres!$A$1:$I$89,3,0)*VLOOKUP('Données projet'!$B$14,Paramètres!$A$1:$I$89,5,0)</f>
        <v>81.495180000000005</v>
      </c>
      <c r="DQ31" s="13">
        <f t="shared" si="43"/>
        <v>22.502368493881775</v>
      </c>
      <c r="DR31" s="20">
        <f t="shared" si="16"/>
        <v>181.12906362684407</v>
      </c>
      <c r="DS31" s="59">
        <f t="shared" si="17"/>
        <v>472.01795251573293</v>
      </c>
      <c r="DT31" s="59">
        <f ca="1">AVERAGE(OFFSET($DS$3,0,0,'Données projet'!$E$14+1,1))-AVERAGE(OFFSET($H$3,0,0,'Données projet'!$E$14+1,1))</f>
        <v>197.34725966440715</v>
      </c>
      <c r="DU31" s="59">
        <f t="shared" si="44"/>
        <v>240.16326570529532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18.137489963142279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18.137489963142279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11.5</v>
      </c>
      <c r="EJ31" s="12">
        <f>IF('Données projet'!$A$192&gt;35,EJ30+EI31-ER30,IF(A31&lt;'Données projet'!$A$192,$EG$205^A31,IF(A31='Données projet'!$A$192,'Données projet'!$B$192,EJ30+EI31-ER30)))</f>
        <v>120.49999999999996</v>
      </c>
      <c r="EK31" s="17">
        <f>EJ31*VLOOKUP('Données projet'!$B$15,Paramètres!$A$1:$I$89,3,0)*VLOOKUP('Données projet'!$B$15,Paramètres!$A$1:$I$89,5,0)</f>
        <v>93.989999999999966</v>
      </c>
      <c r="EL31" s="13">
        <f t="shared" si="45"/>
        <v>25.525074036970054</v>
      </c>
      <c r="EM31" s="20">
        <f t="shared" si="19"/>
        <v>208.15542061438944</v>
      </c>
      <c r="EN31" s="59">
        <f t="shared" si="20"/>
        <v>499.04430950327833</v>
      </c>
      <c r="EO31" s="59">
        <f ca="1">AVERAGE(OFFSET($EN$3,0,0,'Données projet'!$E$15+1,1))-AVERAGE(OFFSET($H$3,0,0,'Données projet'!$E$15+1,1))</f>
        <v>288.82868507674738</v>
      </c>
      <c r="EP31" s="59">
        <f t="shared" si="46"/>
        <v>283.48738729114024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8.6722389910980606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8.6722389910980606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3.887142857142857</v>
      </c>
      <c r="N32" s="13">
        <f>IF('Données projet'!$A$36&gt;35,N31+M32-V31,IF(A32&lt;'Données projet'!$A$36,$K$205^A32,IF(A32='Données projet'!$A$36,'Données projet'!$B$36,N31+M32-V31)))</f>
        <v>112.72714285714289</v>
      </c>
      <c r="O32" s="13">
        <f>N32*VLOOKUP('Données projet'!$B$9,Paramètres!$A$1:$I$89,3,0)*VLOOKUP('Données projet'!$B$9,Paramètres!$A$1:$I$89,5,0)</f>
        <v>101.99551885714288</v>
      </c>
      <c r="P32" s="13">
        <f t="shared" si="33"/>
        <v>27.436854324518826</v>
      </c>
      <c r="Q32" s="20">
        <f t="shared" si="2"/>
        <v>225.4280499580608</v>
      </c>
      <c r="R32" s="59">
        <f t="shared" si="0"/>
        <v>517.539161069172</v>
      </c>
      <c r="S32" s="59">
        <f ca="1">AVERAGE(OFFSET($R$3,0,0,'Données projet'!$E$9+1,1))-AVERAGE(OFFSET($H$3,0,0,'Données projet'!$E$9+1,1))</f>
        <v>581.88778927327667</v>
      </c>
      <c r="T32" s="59">
        <f t="shared" si="34"/>
        <v>269.67340993773422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7.8</v>
      </c>
      <c r="AI32" s="13">
        <f>IF('Données projet'!$A$62&gt;35,AI31+AH32-AQ31,IF(A32&lt;'Données projet'!$A$62,$AF$205^A32,IF(A32='Données projet'!$A$62,'Données projet'!$B$62,AI31+AH32-AQ31)))</f>
        <v>129.20000000000002</v>
      </c>
      <c r="AJ32" s="13">
        <f>AI32*VLOOKUP('Données projet'!$B$10,Paramètres!$A$1:$I$89,3,0)*VLOOKUP('Données projet'!$B$10,Paramètres!$A$1:$I$89,5,0)</f>
        <v>84.651840000000007</v>
      </c>
      <c r="AK32" s="13">
        <f t="shared" si="35"/>
        <v>23.270814809686321</v>
      </c>
      <c r="AL32" s="20">
        <f t="shared" si="4"/>
        <v>187.96529046020365</v>
      </c>
      <c r="AM32" s="59">
        <f t="shared" si="5"/>
        <v>480.07640157131482</v>
      </c>
      <c r="AN32" s="59">
        <f ca="1">AVERAGE(OFFSET($AM$3,0,0,'Données projet'!$E$10+1,1))-AVERAGE(OFFSET($H$3,0,0,'Données projet'!$E$10+1,1))</f>
        <v>230.58262378842818</v>
      </c>
      <c r="AO32" s="59">
        <f t="shared" si="36"/>
        <v>235.68746142880792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101.99551885714288</v>
      </c>
      <c r="BF32" s="13">
        <f t="shared" si="37"/>
        <v>27.436854324518826</v>
      </c>
      <c r="BG32" s="20">
        <f t="shared" si="7"/>
        <v>225.4280499580608</v>
      </c>
      <c r="BH32" s="59">
        <f t="shared" si="8"/>
        <v>517.539161069172</v>
      </c>
      <c r="BI32" s="59">
        <f ca="1">AVERAGE(OFFSET($BH$3,0,0,'Données projet'!$E$11+1,1))-AVERAGE(OFFSET($H$3,0,0,'Données projet'!$E$11+1,1))</f>
        <v>581.88778927327667</v>
      </c>
      <c r="BJ32" s="59">
        <f t="shared" si="38"/>
        <v>269.67340993773422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107.27114914285718</v>
      </c>
      <c r="CA32" s="13">
        <f t="shared" si="39"/>
        <v>28.687109061200964</v>
      </c>
      <c r="CB32" s="20">
        <f t="shared" si="10"/>
        <v>236.79396637206796</v>
      </c>
      <c r="CC32" s="59">
        <f t="shared" si="11"/>
        <v>528.90507748317907</v>
      </c>
      <c r="CD32" s="59">
        <f ca="1">AVERAGE(OFFSET($CC$3,0,0,'Données projet'!$E$12+1,1))-AVERAGE(OFFSET($H$3,0,0,'Données projet'!$E$12+1,1))</f>
        <v>609.60019207204277</v>
      </c>
      <c r="CE32" s="59">
        <f t="shared" si="40"/>
        <v>281.42238288764503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6.0924500000000013</v>
      </c>
      <c r="CT32" s="12">
        <f>IF('Données projet'!$A$140&gt;35,CT31+CS32-DB31,IF(A32&lt;'Données projet'!$A$140,$CQ$205^A32,IF(A32='Données projet'!$A$140,'Données projet'!$B$140,CT31+CS32-DB31)))</f>
        <v>70.333550000000017</v>
      </c>
      <c r="CU32" s="17">
        <f>CT32*VLOOKUP('Données projet'!$B$13,Paramètres!$A$1:$I$89,3,0)*VLOOKUP('Données projet'!$B$13,Paramètres!$A$1:$I$89,5,0)</f>
        <v>55.957372380000017</v>
      </c>
      <c r="CV32" s="13">
        <f t="shared" si="41"/>
        <v>16.14205365543873</v>
      </c>
      <c r="CW32" s="20">
        <f t="shared" si="13"/>
        <v>125.57316701172248</v>
      </c>
      <c r="CX32" s="59">
        <f t="shared" si="14"/>
        <v>417.68427812283363</v>
      </c>
      <c r="CY32" s="59">
        <f ca="1">AVERAGE(OFFSET($CX$3,0,0,'Données projet'!$E$13+1,1))-AVERAGE(OFFSET($H$3,0,0,'Données projet'!$E$13+1,1))</f>
        <v>172.13940525084604</v>
      </c>
      <c r="CZ32" s="59">
        <f t="shared" si="42"/>
        <v>172.82328007157236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7.05</v>
      </c>
      <c r="DO32" s="12">
        <f>IF('Données projet'!$A$166&gt;35,DO31+DN32-DW31,IF(A32&lt;'Données projet'!$A$166,$DL$205^A32,IF(A32='Données projet'!$A$166,'Données projet'!$B$166,DO31+DN32-DW31)))</f>
        <v>118.2</v>
      </c>
      <c r="DP32" s="17">
        <f>DO32*VLOOKUP('Données projet'!$B$14,Paramètres!$A$1:$I$89,3,0)*VLOOKUP('Données projet'!$B$14,Paramètres!$A$1:$I$89,5,0)</f>
        <v>86.664239999999992</v>
      </c>
      <c r="DQ32" s="13">
        <f t="shared" si="43"/>
        <v>23.758960172468854</v>
      </c>
      <c r="DR32" s="20">
        <f t="shared" si="16"/>
        <v>192.32040696704988</v>
      </c>
      <c r="DS32" s="59">
        <f t="shared" si="17"/>
        <v>484.43151807816105</v>
      </c>
      <c r="DT32" s="59">
        <f ca="1">AVERAGE(OFFSET($DS$3,0,0,'Données projet'!$E$14+1,1))-AVERAGE(OFFSET($H$3,0,0,'Données projet'!$E$14+1,1))</f>
        <v>197.34725966440715</v>
      </c>
      <c r="DU32" s="59">
        <f t="shared" si="44"/>
        <v>240.16326570529532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17.641519346291009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17.641519346291009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11.5</v>
      </c>
      <c r="EJ32" s="12">
        <f>IF('Données projet'!$A$192&gt;35,EJ31+EI32-ER31,IF(A32&lt;'Données projet'!$A$192,$EG$205^A32,IF(A32='Données projet'!$A$192,'Données projet'!$B$192,EJ31+EI32-ER31)))</f>
        <v>131.99999999999994</v>
      </c>
      <c r="EK32" s="17">
        <f>EJ32*VLOOKUP('Données projet'!$B$15,Paramètres!$A$1:$I$89,3,0)*VLOOKUP('Données projet'!$B$15,Paramètres!$A$1:$I$89,5,0)</f>
        <v>102.95999999999997</v>
      </c>
      <c r="EL32" s="13">
        <f t="shared" si="45"/>
        <v>27.665975080374633</v>
      </c>
      <c r="EM32" s="20">
        <f t="shared" si="19"/>
        <v>227.50690659831903</v>
      </c>
      <c r="EN32" s="59">
        <f t="shared" si="20"/>
        <v>519.61801770943021</v>
      </c>
      <c r="EO32" s="59">
        <f ca="1">AVERAGE(OFFSET($EN$3,0,0,'Données projet'!$E$15+1,1))-AVERAGE(OFFSET($H$3,0,0,'Données projet'!$E$15+1,1))</f>
        <v>288.82868507674738</v>
      </c>
      <c r="EP32" s="59">
        <f t="shared" si="46"/>
        <v>283.48738729114024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8.4350961598332557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8.4350961598332557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3.887142857142857</v>
      </c>
      <c r="N33" s="13">
        <f>IF('Données projet'!$A$36&gt;35,N32+M33-V32,IF(A33&lt;'Données projet'!$A$36,$K$205^A33,IF(A33='Données projet'!$A$36,'Données projet'!$B$36,N32+M33-V32)))</f>
        <v>116.61428571428576</v>
      </c>
      <c r="O33" s="13">
        <f>N33*VLOOKUP('Données projet'!$B$9,Paramètres!$A$1:$I$89,3,0)*VLOOKUP('Données projet'!$B$9,Paramètres!$A$1:$I$89,5,0)</f>
        <v>105.51260571428575</v>
      </c>
      <c r="P33" s="13">
        <f t="shared" si="33"/>
        <v>28.271170326518615</v>
      </c>
      <c r="Q33" s="20">
        <f t="shared" si="2"/>
        <v>233.00674327106756</v>
      </c>
      <c r="R33" s="59">
        <f t="shared" si="0"/>
        <v>526.34007660440091</v>
      </c>
      <c r="S33" s="59">
        <f ca="1">AVERAGE(OFFSET($R$3,0,0,'Données projet'!$E$9+1,1))-AVERAGE(OFFSET($H$3,0,0,'Données projet'!$E$9+1,1))</f>
        <v>581.88778927327667</v>
      </c>
      <c r="T33" s="59">
        <f t="shared" si="34"/>
        <v>269.67340993773422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137</v>
      </c>
      <c r="AG33" s="12">
        <f>VLOOKUP(A33,'Données projet'!$A$61:$I$81,9,0)</f>
        <v>7.8</v>
      </c>
      <c r="AH33" s="12">
        <f t="array" ref="AH33">INDEX(AG:AG,MIN(IF(ISNUMBER(AG33:AG229),ROW(AG33:AG229),"")))</f>
        <v>7.8</v>
      </c>
      <c r="AI33" s="13">
        <f>IF('Données projet'!$A$62&gt;35,AI32+AH33-AQ32,IF(A33&lt;'Données projet'!$A$62,$AF$205^A33,IF(A33='Données projet'!$A$62,'Données projet'!$B$62,AI32+AH33-AQ32)))</f>
        <v>137.00000000000003</v>
      </c>
      <c r="AJ33" s="13">
        <f>AI33*VLOOKUP('Données projet'!$B$10,Paramètres!$A$1:$I$89,3,0)*VLOOKUP('Données projet'!$B$10,Paramètres!$A$1:$I$89,5,0)</f>
        <v>89.762400000000028</v>
      </c>
      <c r="AK33" s="13">
        <f t="shared" si="35"/>
        <v>24.507912782090678</v>
      </c>
      <c r="AL33" s="20">
        <f t="shared" si="4"/>
        <v>199.02079476214132</v>
      </c>
      <c r="AM33" s="59">
        <f t="shared" si="5"/>
        <v>492.35412809547461</v>
      </c>
      <c r="AN33" s="59">
        <f ca="1">AVERAGE(OFFSET($AM$3,0,0,'Données projet'!$E$10+1,1))-AVERAGE(OFFSET($H$3,0,0,'Données projet'!$E$10+1,1))</f>
        <v>230.58262378842818</v>
      </c>
      <c r="AO33" s="59">
        <f t="shared" si="36"/>
        <v>235.68746142880792</v>
      </c>
      <c r="AP33" s="15">
        <f>IF(ISNA(VLOOKUP(A33,'Données projet'!$A$61:$I$81,3,0)),0,VLOOKUP(A33,'Données projet'!$A$61:$I$81,3,0))</f>
        <v>5</v>
      </c>
      <c r="AQ33" s="15">
        <f>IF(ISNA(VLOOKUP(A33,'Données projet'!$A$61:$I$81,4,0)),0,VLOOKUP(A33,'Données projet'!$A$61:$I$81,4,0))</f>
        <v>20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105.51260571428575</v>
      </c>
      <c r="BF33" s="13">
        <f t="shared" si="37"/>
        <v>28.271170326518615</v>
      </c>
      <c r="BG33" s="20">
        <f t="shared" si="7"/>
        <v>233.00674327106756</v>
      </c>
      <c r="BH33" s="59">
        <f t="shared" si="8"/>
        <v>526.34007660440091</v>
      </c>
      <c r="BI33" s="59">
        <f ca="1">AVERAGE(OFFSET($BH$3,0,0,'Données projet'!$E$11+1,1))-AVERAGE(OFFSET($H$3,0,0,'Données projet'!$E$11+1,1))</f>
        <v>581.88778927327667</v>
      </c>
      <c r="BJ33" s="59">
        <f t="shared" si="38"/>
        <v>269.67340993773422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110.97015428571433</v>
      </c>
      <c r="CA33" s="13">
        <f t="shared" si="39"/>
        <v>29.559443544512504</v>
      </c>
      <c r="CB33" s="20">
        <f t="shared" si="10"/>
        <v>244.75571622097837</v>
      </c>
      <c r="CC33" s="59">
        <f t="shared" si="11"/>
        <v>538.08904955431171</v>
      </c>
      <c r="CD33" s="59">
        <f ca="1">AVERAGE(OFFSET($CC$3,0,0,'Données projet'!$E$12+1,1))-AVERAGE(OFFSET($H$3,0,0,'Données projet'!$E$12+1,1))</f>
        <v>609.60019207204277</v>
      </c>
      <c r="CE33" s="59">
        <f t="shared" si="40"/>
        <v>281.42238288764503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76.426000000000002</v>
      </c>
      <c r="CR33" s="12">
        <f>VLOOKUP(A33,'Données projet'!$A$139:$I$159,9,0)</f>
        <v>6.0924500000000013</v>
      </c>
      <c r="CS33" s="12">
        <f t="array" ref="CS33">INDEX(CR:CR,MIN(IF(ISNUMBER(CR33:CR229),ROW(CR33:CR229),"")))</f>
        <v>6.0924500000000013</v>
      </c>
      <c r="CT33" s="12">
        <f>IF('Données projet'!$A$140&gt;35,CT32+CS33-DB32,IF(A33&lt;'Données projet'!$A$140,$CQ$205^A33,IF(A33='Données projet'!$A$140,'Données projet'!$B$140,CT32+CS33-DB32)))</f>
        <v>76.426000000000016</v>
      </c>
      <c r="CU33" s="17">
        <f>CT33*VLOOKUP('Données projet'!$B$13,Paramètres!$A$1:$I$89,3,0)*VLOOKUP('Données projet'!$B$13,Paramètres!$A$1:$I$89,5,0)</f>
        <v>60.804525600000012</v>
      </c>
      <c r="CV33" s="13">
        <f t="shared" si="41"/>
        <v>17.371520374108535</v>
      </c>
      <c r="CW33" s="20">
        <f t="shared" si="13"/>
        <v>136.15661340490573</v>
      </c>
      <c r="CX33" s="59">
        <f t="shared" si="14"/>
        <v>429.48994673823904</v>
      </c>
      <c r="CY33" s="59">
        <f ca="1">AVERAGE(OFFSET($CX$3,0,0,'Données projet'!$E$13+1,1))-AVERAGE(OFFSET($H$3,0,0,'Données projet'!$E$13+1,1))</f>
        <v>172.13940525084604</v>
      </c>
      <c r="CZ33" s="59">
        <f t="shared" si="42"/>
        <v>172.82328007157236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15.141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7.05</v>
      </c>
      <c r="DO33" s="12">
        <f>IF('Données projet'!$A$166&gt;35,DO32+DN33-DW32,IF(A33&lt;'Données projet'!$A$166,$DL$205^A33,IF(A33='Données projet'!$A$166,'Données projet'!$B$166,DO32+DN33-DW32)))</f>
        <v>125.25</v>
      </c>
      <c r="DP33" s="17">
        <f>DO33*VLOOKUP('Données projet'!$B$14,Paramètres!$A$1:$I$89,3,0)*VLOOKUP('Données projet'!$B$14,Paramètres!$A$1:$I$89,5,0)</f>
        <v>91.833300000000008</v>
      </c>
      <c r="DQ33" s="13">
        <f t="shared" si="43"/>
        <v>25.006852558064324</v>
      </c>
      <c r="DR33" s="20">
        <f t="shared" si="16"/>
        <v>203.49659903862869</v>
      </c>
      <c r="DS33" s="59">
        <f t="shared" si="17"/>
        <v>496.829932371962</v>
      </c>
      <c r="DT33" s="59">
        <f ca="1">AVERAGE(OFFSET($DS$3,0,0,'Données projet'!$E$14+1,1))-AVERAGE(OFFSET($H$3,0,0,'Données projet'!$E$14+1,1))</f>
        <v>197.34725966440715</v>
      </c>
      <c r="DU33" s="59">
        <f t="shared" si="44"/>
        <v>240.16326570529532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17.159111072039501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17.159111072039501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11.5</v>
      </c>
      <c r="EJ33" s="12">
        <f>IF('Données projet'!$A$192&gt;35,EJ32+EI33-ER32,IF(A33&lt;'Données projet'!$A$192,$EG$205^A33,IF(A33='Données projet'!$A$192,'Données projet'!$B$192,EJ32+EI33-ER32)))</f>
        <v>143.49999999999994</v>
      </c>
      <c r="EK33" s="17">
        <f>EJ33*VLOOKUP('Données projet'!$B$15,Paramètres!$A$1:$I$89,3,0)*VLOOKUP('Données projet'!$B$15,Paramètres!$A$1:$I$89,5,0)</f>
        <v>111.92999999999996</v>
      </c>
      <c r="EL33" s="13">
        <f t="shared" si="45"/>
        <v>29.785246291563833</v>
      </c>
      <c r="EM33" s="20">
        <f t="shared" si="19"/>
        <v>246.82072062447358</v>
      </c>
      <c r="EN33" s="59">
        <f t="shared" si="20"/>
        <v>540.15405395780692</v>
      </c>
      <c r="EO33" s="59">
        <f ca="1">AVERAGE(OFFSET($EN$3,0,0,'Données projet'!$E$15+1,1))-AVERAGE(OFFSET($H$3,0,0,'Données projet'!$E$15+1,1))</f>
        <v>288.82868507674738</v>
      </c>
      <c r="EP33" s="59">
        <f t="shared" si="46"/>
        <v>283.48738729114024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8.2044380117601872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8.2044380117601872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3.887142857142857</v>
      </c>
      <c r="N34" s="13">
        <f>IF('Données projet'!$A$36&gt;35,N33+M34-V33,IF(A34&lt;'Données projet'!$A$36,$K$205^A34,IF(A34='Données projet'!$A$36,'Données projet'!$B$36,N33+M34-V33)))</f>
        <v>120.50142857142862</v>
      </c>
      <c r="O34" s="13">
        <f>N34*VLOOKUP('Données projet'!$B$9,Paramètres!$A$1:$I$89,3,0)*VLOOKUP('Données projet'!$B$9,Paramètres!$A$1:$I$89,5,0)</f>
        <v>109.02969257142863</v>
      </c>
      <c r="P34" s="13">
        <f t="shared" si="33"/>
        <v>29.102254822181546</v>
      </c>
      <c r="Q34" s="20">
        <f t="shared" si="2"/>
        <v>240.57980837720436</v>
      </c>
      <c r="R34" s="59">
        <f t="shared" si="0"/>
        <v>533.91314171053773</v>
      </c>
      <c r="S34" s="59">
        <f ca="1">AVERAGE(OFFSET($R$3,0,0,'Données projet'!$E$9+1,1))-AVERAGE(OFFSET($H$3,0,0,'Données projet'!$E$9+1,1))</f>
        <v>581.88778927327667</v>
      </c>
      <c r="T34" s="59">
        <f t="shared" si="34"/>
        <v>269.67340993773422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7.2</v>
      </c>
      <c r="AI34" s="13">
        <f>IF('Données projet'!$A$62&gt;35,AI33+AH34-AQ33,IF(A34&lt;'Données projet'!$A$62,$AF$205^A34,IF(A34='Données projet'!$A$62,'Données projet'!$B$62,AI33+AH34-AQ33)))</f>
        <v>124.20000000000002</v>
      </c>
      <c r="AJ34" s="13">
        <f>AI34*VLOOKUP('Données projet'!$B$10,Paramètres!$A$1:$I$89,3,0)*VLOOKUP('Données projet'!$B$10,Paramètres!$A$1:$I$89,5,0)</f>
        <v>81.375840000000011</v>
      </c>
      <c r="AK34" s="13">
        <f t="shared" si="35"/>
        <v>22.473249586041131</v>
      </c>
      <c r="AL34" s="20">
        <f t="shared" si="4"/>
        <v>180.87049769568833</v>
      </c>
      <c r="AM34" s="59">
        <f t="shared" si="5"/>
        <v>474.20383102902167</v>
      </c>
      <c r="AN34" s="59">
        <f ca="1">AVERAGE(OFFSET($AM$3,0,0,'Données projet'!$E$10+1,1))-AVERAGE(OFFSET($H$3,0,0,'Données projet'!$E$10+1,1))</f>
        <v>230.58262378842818</v>
      </c>
      <c r="AO34" s="59">
        <f t="shared" si="36"/>
        <v>235.68746142880792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109.02969257142863</v>
      </c>
      <c r="BF34" s="13">
        <f t="shared" si="37"/>
        <v>29.102254822181546</v>
      </c>
      <c r="BG34" s="20">
        <f t="shared" si="7"/>
        <v>240.57980837720436</v>
      </c>
      <c r="BH34" s="59">
        <f t="shared" si="8"/>
        <v>533.91314171053773</v>
      </c>
      <c r="BI34" s="59">
        <f ca="1">AVERAGE(OFFSET($BH$3,0,0,'Données projet'!$E$11+1,1))-AVERAGE(OFFSET($H$3,0,0,'Données projet'!$E$11+1,1))</f>
        <v>581.88778927327667</v>
      </c>
      <c r="BJ34" s="59">
        <f t="shared" si="38"/>
        <v>269.67340993773422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114.66915942857148</v>
      </c>
      <c r="CA34" s="13">
        <f t="shared" si="39"/>
        <v>30.42839926677442</v>
      </c>
      <c r="CB34" s="20">
        <f t="shared" si="10"/>
        <v>252.71158139439407</v>
      </c>
      <c r="CC34" s="59">
        <f t="shared" si="11"/>
        <v>546.04491472772736</v>
      </c>
      <c r="CD34" s="59">
        <f ca="1">AVERAGE(OFFSET($CC$3,0,0,'Données projet'!$E$12+1,1))-AVERAGE(OFFSET($H$3,0,0,'Données projet'!$E$12+1,1))</f>
        <v>609.60019207204277</v>
      </c>
      <c r="CE34" s="59">
        <f t="shared" si="40"/>
        <v>281.42238288764503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5.5156499999999982</v>
      </c>
      <c r="CT34" s="12">
        <f>IF('Données projet'!$A$140&gt;35,CT33+CS34-DB33,IF(A34&lt;'Données projet'!$A$140,$CQ$205^A34,IF(A34='Données projet'!$A$140,'Données projet'!$B$140,CT33+CS34-DB33)))</f>
        <v>66.800650000000005</v>
      </c>
      <c r="CU34" s="17">
        <f>CT34*VLOOKUP('Données projet'!$B$13,Paramètres!$A$1:$I$89,3,0)*VLOOKUP('Données projet'!$B$13,Paramètres!$A$1:$I$89,5,0)</f>
        <v>53.146597140000011</v>
      </c>
      <c r="CV34" s="13">
        <f t="shared" si="41"/>
        <v>15.42347322331965</v>
      </c>
      <c r="CW34" s="20">
        <f t="shared" si="13"/>
        <v>119.42620588278174</v>
      </c>
      <c r="CX34" s="59">
        <f t="shared" si="14"/>
        <v>412.75953921611506</v>
      </c>
      <c r="CY34" s="59">
        <f ca="1">AVERAGE(OFFSET($CX$3,0,0,'Données projet'!$E$13+1,1))-AVERAGE(OFFSET($H$3,0,0,'Données projet'!$E$13+1,1))</f>
        <v>172.13940525084604</v>
      </c>
      <c r="CZ34" s="59">
        <f t="shared" si="42"/>
        <v>172.82328007157236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7.05</v>
      </c>
      <c r="DO34" s="12">
        <f>IF('Données projet'!$A$166&gt;35,DO33+DN34-DW33,IF(A34&lt;'Données projet'!$A$166,$DL$205^A34,IF(A34='Données projet'!$A$166,'Données projet'!$B$166,DO33+DN34-DW33)))</f>
        <v>132.30000000000001</v>
      </c>
      <c r="DP34" s="17">
        <f>DO34*VLOOKUP('Données projet'!$B$14,Paramètres!$A$1:$I$89,3,0)*VLOOKUP('Données projet'!$B$14,Paramètres!$A$1:$I$89,5,0)</f>
        <v>97.00236000000001</v>
      </c>
      <c r="DQ34" s="13">
        <f t="shared" si="43"/>
        <v>26.246591112950082</v>
      </c>
      <c r="DR34" s="20">
        <f t="shared" si="16"/>
        <v>214.65858985505474</v>
      </c>
      <c r="DS34" s="59">
        <f t="shared" si="17"/>
        <v>507.99192318838806</v>
      </c>
      <c r="DT34" s="59">
        <f ca="1">AVERAGE(OFFSET($DS$3,0,0,'Données projet'!$E$14+1,1))-AVERAGE(OFFSET($H$3,0,0,'Données projet'!$E$14+1,1))</f>
        <v>197.34725966440715</v>
      </c>
      <c r="DU34" s="59">
        <f t="shared" si="44"/>
        <v>240.16326570529532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16.689894277416148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16.689894277416148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>
        <f>VLOOKUP(A34,'Données projet'!$A$191:$I$211,2,0)</f>
        <v>155</v>
      </c>
      <c r="EH34" s="12">
        <f>VLOOKUP(A34,'Données projet'!$A$191:$I$211,9,0)</f>
        <v>11.5</v>
      </c>
      <c r="EI34" s="12">
        <f t="array" ref="EI34">INDEX(EH:EH,MIN(IF(ISNUMBER(EH34:EH230),ROW(EH34:EH230),"")))</f>
        <v>11.5</v>
      </c>
      <c r="EJ34" s="12">
        <f>IF('Données projet'!$A$192&gt;35,EJ33+EI34-ER33,IF(A34&lt;'Données projet'!$A$192,$EG$205^A34,IF(A34='Données projet'!$A$192,'Données projet'!$B$192,EJ33+EI34-ER33)))</f>
        <v>154.99999999999994</v>
      </c>
      <c r="EK34" s="17">
        <f>EJ34*VLOOKUP('Données projet'!$B$15,Paramètres!$A$1:$I$89,3,0)*VLOOKUP('Données projet'!$B$15,Paramètres!$A$1:$I$89,5,0)</f>
        <v>120.89999999999996</v>
      </c>
      <c r="EL34" s="13">
        <f t="shared" si="45"/>
        <v>31.884818143351602</v>
      </c>
      <c r="EM34" s="20">
        <f t="shared" si="19"/>
        <v>266.10022493300397</v>
      </c>
      <c r="EN34" s="59">
        <f t="shared" si="20"/>
        <v>559.43355826633729</v>
      </c>
      <c r="EO34" s="59">
        <f ca="1">AVERAGE(OFFSET($EN$3,0,0,'Données projet'!$E$15+1,1))-AVERAGE(OFFSET($H$3,0,0,'Données projet'!$E$15+1,1))</f>
        <v>288.82868507674738</v>
      </c>
      <c r="EP34" s="59">
        <f t="shared" si="46"/>
        <v>283.48738729114024</v>
      </c>
      <c r="EQ34" s="15">
        <f>IF(ISNA(VLOOKUP(A34,'Données projet'!$A$191:$I$211,3,0)),0,VLOOKUP(A34,'Données projet'!$A$191:$I$211,3,0))</f>
        <v>4</v>
      </c>
      <c r="ER34" s="15">
        <f>IF(ISNA(VLOOKUP(A34,'Données projet'!$A$191:$I$211,4,0)),0,VLOOKUP(A34,'Données projet'!$A$191:$I$211,4,0))</f>
        <v>36</v>
      </c>
      <c r="ES34" s="16">
        <f>IF(ISNA(VLOOKUP(A34,'Données projet'!$A$191:$I$211,5,0)),0%,VLOOKUP(A34,'Données projet'!$A$191:$I$211,5,0)*VLOOKUP('Données projet'!$B$15,Paramètres!$A$1:$I$89,7,0))</f>
        <v>0.25800000000000001</v>
      </c>
      <c r="ET34" s="16">
        <f>IF(ISNA(VLOOKUP(A34,'Données projet'!$A$191:$I$211,6,0)),0%,VLOOKUP(A34,'Données projet'!$A$191:$I$211,6,0)*VLOOKUP('Données projet'!$B$15,Paramètres!$A$1:$I$89,7,0))</f>
        <v>8.6000000000000007E-2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8.0087349303795925</v>
      </c>
      <c r="EW34" s="21">
        <f>EXP(-LN(2)/25)*EW33+(1-EXP(-LN(2)/25))/(LN(2)/25)*Calculateur!ER34*Calculateur!ET34*VLOOKUP('Données projet'!$B$15,Paramètres!$A$1:$I$89,3,0)*0.475*44/12</f>
        <v>10.639154386006442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18.647889316386035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3.887142857142857</v>
      </c>
      <c r="N35" s="13">
        <f>IF('Données projet'!$A$36&gt;35,N34+M35-V34,IF(A35&lt;'Données projet'!$A$36,$K$205^A35,IF(A35='Données projet'!$A$36,'Données projet'!$B$36,N34+M35-V34)))</f>
        <v>124.38857142857148</v>
      </c>
      <c r="O35" s="13">
        <f>N35*VLOOKUP('Données projet'!$B$9,Paramètres!$A$1:$I$89,3,0)*VLOOKUP('Données projet'!$B$9,Paramètres!$A$1:$I$89,5,0)</f>
        <v>112.54677942857147</v>
      </c>
      <c r="P35" s="13">
        <f t="shared" si="33"/>
        <v>29.930224010130704</v>
      </c>
      <c r="Q35" s="20">
        <f t="shared" ref="Q35:Q66" si="53">(O35+P35)*0.475*44/12</f>
        <v>248.14744765573963</v>
      </c>
      <c r="R35" s="59">
        <f t="shared" si="0"/>
        <v>541.48078098907297</v>
      </c>
      <c r="S35" s="59">
        <f ca="1">AVERAGE(OFFSET($R$3,0,0,'Données projet'!$E$9+1,1))-AVERAGE(OFFSET($H$3,0,0,'Données projet'!$E$9+1,1))</f>
        <v>581.88778927327667</v>
      </c>
      <c r="T35" s="59">
        <f t="shared" si="34"/>
        <v>269.67340993773422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7.2</v>
      </c>
      <c r="AI35" s="13">
        <f>IF('Données projet'!$A$62&gt;35,AI34+AH35-AQ34,IF(A35&lt;'Données projet'!$A$62,$AF$205^A35,IF(A35='Données projet'!$A$62,'Données projet'!$B$62,AI34+AH35-AQ34)))</f>
        <v>131.4</v>
      </c>
      <c r="AJ35" s="13">
        <f>AI35*VLOOKUP('Données projet'!$B$10,Paramètres!$A$1:$I$89,3,0)*VLOOKUP('Données projet'!$B$10,Paramètres!$A$1:$I$89,5,0)</f>
        <v>86.093280000000007</v>
      </c>
      <c r="AK35" s="13">
        <f t="shared" si="35"/>
        <v>23.620598504835936</v>
      </c>
      <c r="AL35" s="20">
        <f t="shared" si="4"/>
        <v>191.08500506258926</v>
      </c>
      <c r="AM35" s="59">
        <f t="shared" si="5"/>
        <v>484.41833839592255</v>
      </c>
      <c r="AN35" s="59">
        <f ca="1">AVERAGE(OFFSET($AM$3,0,0,'Données projet'!$E$10+1,1))-AVERAGE(OFFSET($H$3,0,0,'Données projet'!$E$10+1,1))</f>
        <v>230.58262378842818</v>
      </c>
      <c r="AO35" s="59">
        <f t="shared" si="36"/>
        <v>235.68746142880792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112.54677942857147</v>
      </c>
      <c r="BF35" s="13">
        <f t="shared" si="37"/>
        <v>29.930224010130704</v>
      </c>
      <c r="BG35" s="20">
        <f t="shared" si="7"/>
        <v>248.14744765573963</v>
      </c>
      <c r="BH35" s="59">
        <f t="shared" si="8"/>
        <v>541.48078098907297</v>
      </c>
      <c r="BI35" s="59">
        <f ca="1">AVERAGE(OFFSET($BH$3,0,0,'Données projet'!$E$11+1,1))-AVERAGE(OFFSET($H$3,0,0,'Données projet'!$E$11+1,1))</f>
        <v>581.88778927327667</v>
      </c>
      <c r="BJ35" s="59">
        <f t="shared" si="38"/>
        <v>269.67340993773422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118.36816457142861</v>
      </c>
      <c r="CA35" s="13">
        <f t="shared" si="39"/>
        <v>31.294097721600011</v>
      </c>
      <c r="CB35" s="20">
        <f t="shared" si="10"/>
        <v>260.6617734936915</v>
      </c>
      <c r="CC35" s="59">
        <f t="shared" si="11"/>
        <v>553.99510682702476</v>
      </c>
      <c r="CD35" s="59">
        <f ca="1">AVERAGE(OFFSET($CC$3,0,0,'Données projet'!$E$12+1,1))-AVERAGE(OFFSET($H$3,0,0,'Données projet'!$E$12+1,1))</f>
        <v>609.60019207204277</v>
      </c>
      <c r="CE35" s="59">
        <f t="shared" si="40"/>
        <v>281.42238288764503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5.5156499999999982</v>
      </c>
      <c r="CT35" s="12">
        <f>IF('Données projet'!$A$140&gt;35,CT34+CS35-DB34,IF(A35&lt;'Données projet'!$A$140,$CQ$205^A35,IF(A35='Données projet'!$A$140,'Données projet'!$B$140,CT34+CS35-DB34)))</f>
        <v>72.316299999999998</v>
      </c>
      <c r="CU35" s="17">
        <f>CT35*VLOOKUP('Données projet'!$B$13,Paramètres!$A$1:$I$89,3,0)*VLOOKUP('Données projet'!$B$13,Paramètres!$A$1:$I$89,5,0)</f>
        <v>57.534848279999999</v>
      </c>
      <c r="CV35" s="13">
        <f t="shared" si="41"/>
        <v>16.54348766253344</v>
      </c>
      <c r="CW35" s="20">
        <f t="shared" si="13"/>
        <v>129.01976843324573</v>
      </c>
      <c r="CX35" s="59">
        <f t="shared" si="14"/>
        <v>422.35310176657902</v>
      </c>
      <c r="CY35" s="59">
        <f ca="1">AVERAGE(OFFSET($CX$3,0,0,'Données projet'!$E$13+1,1))-AVERAGE(OFFSET($H$3,0,0,'Données projet'!$E$13+1,1))</f>
        <v>172.13940525084604</v>
      </c>
      <c r="CZ35" s="59">
        <f t="shared" si="42"/>
        <v>172.82328007157236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7.05</v>
      </c>
      <c r="DO35" s="12">
        <f>IF('Données projet'!$A$166&gt;35,DO34+DN35-DW34,IF(A35&lt;'Données projet'!$A$166,$DL$205^A35,IF(A35='Données projet'!$A$166,'Données projet'!$B$166,DO34+DN35-DW34)))</f>
        <v>139.35000000000002</v>
      </c>
      <c r="DP35" s="17">
        <f>DO35*VLOOKUP('Données projet'!$B$14,Paramètres!$A$1:$I$89,3,0)*VLOOKUP('Données projet'!$B$14,Paramètres!$A$1:$I$89,5,0)</f>
        <v>102.17142000000001</v>
      </c>
      <c r="DQ35" s="13">
        <f t="shared" si="43"/>
        <v>27.478659882957807</v>
      </c>
      <c r="DR35" s="20">
        <f t="shared" si="16"/>
        <v>225.8072224628182</v>
      </c>
      <c r="DS35" s="59">
        <f t="shared" si="17"/>
        <v>519.14055579615149</v>
      </c>
      <c r="DT35" s="59">
        <f ca="1">AVERAGE(OFFSET($DS$3,0,0,'Données projet'!$E$14+1,1))-AVERAGE(OFFSET($H$3,0,0,'Données projet'!$E$14+1,1))</f>
        <v>197.34725966440715</v>
      </c>
      <c r="DU35" s="59">
        <f t="shared" si="44"/>
        <v>240.16326570529532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16.233508240716809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16.233508240716809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11.5</v>
      </c>
      <c r="EJ35" s="12">
        <f>IF('Données projet'!$A$192&gt;35,EJ34+EI35-ER34,IF(A35&lt;'Données projet'!$A$192,$EG$205^A35,IF(A35='Données projet'!$A$192,'Données projet'!$B$192,EJ34+EI35-ER34)))</f>
        <v>130.49999999999994</v>
      </c>
      <c r="EK35" s="17">
        <f>EJ35*VLOOKUP('Données projet'!$B$15,Paramètres!$A$1:$I$89,3,0)*VLOOKUP('Données projet'!$B$15,Paramètres!$A$1:$I$89,5,0)</f>
        <v>101.78999999999996</v>
      </c>
      <c r="EL35" s="13">
        <f t="shared" si="45"/>
        <v>27.38799903683508</v>
      </c>
      <c r="EM35" s="20">
        <f t="shared" si="19"/>
        <v>224.98501498915437</v>
      </c>
      <c r="EN35" s="59">
        <f t="shared" si="20"/>
        <v>518.31834832248774</v>
      </c>
      <c r="EO35" s="59">
        <f ca="1">AVERAGE(OFFSET($EN$3,0,0,'Données projet'!$E$15+1,1))-AVERAGE(OFFSET($H$3,0,0,'Données projet'!$E$15+1,1))</f>
        <v>288.82868507674738</v>
      </c>
      <c r="EP35" s="59">
        <f t="shared" si="46"/>
        <v>283.48738729114024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7.851688523240818</v>
      </c>
      <c r="EW35" s="21">
        <f>EXP(-LN(2)/25)*EW34+(1-EXP(-LN(2)/25))/(LN(2)/25)*Calculateur!ER35*Calculateur!ET35*VLOOKUP('Données projet'!$B$15,Paramètres!$A$1:$I$89,3,0)*0.475*44/12</f>
        <v>10.348226149832284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18.199914673073103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3.887142857142857</v>
      </c>
      <c r="N36" s="13">
        <f>IF('Données projet'!$A$36&gt;35,N35+M36-V35,IF(A36&lt;'Données projet'!$A$36,$K$205^A36,IF(A36='Données projet'!$A$36,'Données projet'!$B$36,N35+M36-V35)))</f>
        <v>128.27571428571434</v>
      </c>
      <c r="O36" s="13">
        <f>N36*VLOOKUP('Données projet'!$B$9,Paramètres!$A$1:$I$89,3,0)*VLOOKUP('Données projet'!$B$9,Paramètres!$A$1:$I$89,5,0)</f>
        <v>116.06386628571434</v>
      </c>
      <c r="P36" s="13">
        <f t="shared" si="33"/>
        <v>30.755186414072718</v>
      </c>
      <c r="Q36" s="20">
        <f t="shared" si="53"/>
        <v>255.70985011879577</v>
      </c>
      <c r="R36" s="59">
        <f t="shared" si="0"/>
        <v>549.04318345212914</v>
      </c>
      <c r="S36" s="59">
        <f ca="1">AVERAGE(OFFSET($R$3,0,0,'Données projet'!$E$9+1,1))-AVERAGE(OFFSET($H$3,0,0,'Données projet'!$E$9+1,1))</f>
        <v>581.88778927327667</v>
      </c>
      <c r="T36" s="59">
        <f t="shared" si="34"/>
        <v>269.67340993773422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7.2</v>
      </c>
      <c r="AI36" s="13">
        <f>IF('Données projet'!$A$62&gt;35,AI35+AH36-AQ35,IF(A36&lt;'Données projet'!$A$62,$AF$205^A36,IF(A36='Données projet'!$A$62,'Données projet'!$B$62,AI35+AH36-AQ35)))</f>
        <v>138.6</v>
      </c>
      <c r="AJ36" s="13">
        <f>AI36*VLOOKUP('Données projet'!$B$10,Paramètres!$A$1:$I$89,3,0)*VLOOKUP('Données projet'!$B$10,Paramètres!$A$1:$I$89,5,0)</f>
        <v>90.810720000000003</v>
      </c>
      <c r="AK36" s="13">
        <f t="shared" si="35"/>
        <v>24.760648970178448</v>
      </c>
      <c r="AL36" s="20">
        <f t="shared" si="4"/>
        <v>201.28680095639413</v>
      </c>
      <c r="AM36" s="59">
        <f t="shared" si="5"/>
        <v>494.62013428972745</v>
      </c>
      <c r="AN36" s="59">
        <f ca="1">AVERAGE(OFFSET($AM$3,0,0,'Données projet'!$E$10+1,1))-AVERAGE(OFFSET($H$3,0,0,'Données projet'!$E$10+1,1))</f>
        <v>230.58262378842818</v>
      </c>
      <c r="AO36" s="59">
        <f t="shared" si="36"/>
        <v>235.68746142880792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116.06386628571434</v>
      </c>
      <c r="BF36" s="13">
        <f t="shared" si="37"/>
        <v>30.755186414072718</v>
      </c>
      <c r="BG36" s="20">
        <f t="shared" si="7"/>
        <v>255.70985011879577</v>
      </c>
      <c r="BH36" s="59">
        <f t="shared" si="8"/>
        <v>549.04318345212914</v>
      </c>
      <c r="BI36" s="59">
        <f ca="1">AVERAGE(OFFSET($BH$3,0,0,'Données projet'!$E$11+1,1))-AVERAGE(OFFSET($H$3,0,0,'Données projet'!$E$11+1,1))</f>
        <v>581.88778927327667</v>
      </c>
      <c r="BJ36" s="59">
        <f t="shared" si="38"/>
        <v>269.67340993773422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122.06716971428578</v>
      </c>
      <c r="CA36" s="13">
        <f t="shared" si="39"/>
        <v>32.156652377952369</v>
      </c>
      <c r="CB36" s="20">
        <f t="shared" si="10"/>
        <v>268.60649014398143</v>
      </c>
      <c r="CC36" s="59">
        <f t="shared" si="11"/>
        <v>561.9398234773148</v>
      </c>
      <c r="CD36" s="59">
        <f ca="1">AVERAGE(OFFSET($CC$3,0,0,'Données projet'!$E$12+1,1))-AVERAGE(OFFSET($H$3,0,0,'Données projet'!$E$12+1,1))</f>
        <v>609.60019207204277</v>
      </c>
      <c r="CE36" s="59">
        <f t="shared" si="40"/>
        <v>281.42238288764503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5.5156499999999982</v>
      </c>
      <c r="CT36" s="12">
        <f>IF('Données projet'!$A$140&gt;35,CT35+CS36-DB35,IF(A36&lt;'Données projet'!$A$140,$CQ$205^A36,IF(A36='Données projet'!$A$140,'Données projet'!$B$140,CT35+CS36-DB35)))</f>
        <v>77.831949999999992</v>
      </c>
      <c r="CU36" s="17">
        <f>CT36*VLOOKUP('Données projet'!$B$13,Paramètres!$A$1:$I$89,3,0)*VLOOKUP('Données projet'!$B$13,Paramètres!$A$1:$I$89,5,0)</f>
        <v>61.92309942</v>
      </c>
      <c r="CV36" s="13">
        <f t="shared" si="41"/>
        <v>17.653592523754206</v>
      </c>
      <c r="CW36" s="20">
        <f t="shared" si="13"/>
        <v>138.59607180203858</v>
      </c>
      <c r="CX36" s="59">
        <f t="shared" si="14"/>
        <v>431.92940513537189</v>
      </c>
      <c r="CY36" s="59">
        <f ca="1">AVERAGE(OFFSET($CX$3,0,0,'Données projet'!$E$13+1,1))-AVERAGE(OFFSET($H$3,0,0,'Données projet'!$E$13+1,1))</f>
        <v>172.13940525084604</v>
      </c>
      <c r="CZ36" s="59">
        <f t="shared" si="42"/>
        <v>172.82328007157236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7.05</v>
      </c>
      <c r="DO36" s="12">
        <f>IF('Données projet'!$A$166&gt;35,DO35+DN36-DW35,IF(A36&lt;'Données projet'!$A$166,$DL$205^A36,IF(A36='Données projet'!$A$166,'Données projet'!$B$166,DO35+DN36-DW35)))</f>
        <v>146.40000000000003</v>
      </c>
      <c r="DP36" s="17">
        <f>DO36*VLOOKUP('Données projet'!$B$14,Paramètres!$A$1:$I$89,3,0)*VLOOKUP('Données projet'!$B$14,Paramètres!$A$1:$I$89,5,0)</f>
        <v>107.34048000000001</v>
      </c>
      <c r="DQ36" s="13">
        <f t="shared" si="43"/>
        <v>28.703491169609141</v>
      </c>
      <c r="DR36" s="20">
        <f t="shared" si="16"/>
        <v>236.94324978706928</v>
      </c>
      <c r="DS36" s="59">
        <f t="shared" si="17"/>
        <v>530.27658312040262</v>
      </c>
      <c r="DT36" s="59">
        <f ca="1">AVERAGE(OFFSET($DS$3,0,0,'Données projet'!$E$14+1,1))-AVERAGE(OFFSET($H$3,0,0,'Données projet'!$E$14+1,1))</f>
        <v>197.34725966440715</v>
      </c>
      <c r="DU36" s="59">
        <f t="shared" si="44"/>
        <v>240.16326570529532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15.789602104191312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15.789602104191312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11.5</v>
      </c>
      <c r="EJ36" s="12">
        <f>IF('Données projet'!$A$192&gt;35,EJ35+EI36-ER35,IF(A36&lt;'Données projet'!$A$192,$EG$205^A36,IF(A36='Données projet'!$A$192,'Données projet'!$B$192,EJ35+EI36-ER35)))</f>
        <v>141.99999999999994</v>
      </c>
      <c r="EK36" s="17">
        <f>EJ36*VLOOKUP('Données projet'!$B$15,Paramètres!$A$1:$I$89,3,0)*VLOOKUP('Données projet'!$B$15,Paramètres!$A$1:$I$89,5,0)</f>
        <v>110.75999999999996</v>
      </c>
      <c r="EL36" s="13">
        <f t="shared" si="45"/>
        <v>29.509974682362923</v>
      </c>
      <c r="EM36" s="20">
        <f t="shared" si="19"/>
        <v>244.30353923844871</v>
      </c>
      <c r="EN36" s="59">
        <f t="shared" si="20"/>
        <v>537.63687257178208</v>
      </c>
      <c r="EO36" s="59">
        <f ca="1">AVERAGE(OFFSET($EN$3,0,0,'Données projet'!$E$15+1,1))-AVERAGE(OFFSET($H$3,0,0,'Données projet'!$E$15+1,1))</f>
        <v>288.82868507674738</v>
      </c>
      <c r="EP36" s="59">
        <f t="shared" si="46"/>
        <v>283.48738729114024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7.6977217003571843</v>
      </c>
      <c r="EW36" s="21">
        <f>EXP(-LN(2)/25)*EW35+(1-EXP(-LN(2)/25))/(LN(2)/25)*Calculateur!ER36*Calculateur!ET36*VLOOKUP('Données projet'!$B$15,Paramètres!$A$1:$I$89,3,0)*0.475*44/12</f>
        <v>10.065253361575557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17.762975061932742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3.887142857142857</v>
      </c>
      <c r="N37" s="13">
        <f>IF('Données projet'!$A$36&gt;35,N36+M37-V36,IF(A37&lt;'Données projet'!$A$36,$K$205^A37,IF(A37='Données projet'!$A$36,'Données projet'!$B$36,N36+M37-V36)))</f>
        <v>132.16285714285721</v>
      </c>
      <c r="O37" s="13">
        <f>N37*VLOOKUP('Données projet'!$B$9,Paramètres!$A$1:$I$89,3,0)*VLOOKUP('Données projet'!$B$9,Paramètres!$A$1:$I$89,5,0)</f>
        <v>119.58095314285718</v>
      </c>
      <c r="P37" s="13">
        <f t="shared" si="33"/>
        <v>31.577243606763055</v>
      </c>
      <c r="Q37" s="20">
        <f t="shared" si="53"/>
        <v>263.26719267225525</v>
      </c>
      <c r="R37" s="59">
        <f t="shared" si="0"/>
        <v>556.60052600558856</v>
      </c>
      <c r="S37" s="59">
        <f ca="1">AVERAGE(OFFSET($R$3,0,0,'Données projet'!$E$9+1,1))-AVERAGE(OFFSET($H$3,0,0,'Données projet'!$E$9+1,1))</f>
        <v>581.88778927327667</v>
      </c>
      <c r="T37" s="59">
        <f t="shared" si="34"/>
        <v>269.67340993773422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7.2</v>
      </c>
      <c r="AI37" s="13">
        <f>IF('Données projet'!$A$62&gt;35,AI36+AH37-AQ36,IF(A37&lt;'Données projet'!$A$62,$AF$205^A37,IF(A37='Données projet'!$A$62,'Données projet'!$B$62,AI36+AH37-AQ36)))</f>
        <v>145.79999999999998</v>
      </c>
      <c r="AJ37" s="13">
        <f>AI37*VLOOKUP('Données projet'!$B$10,Paramètres!$A$1:$I$89,3,0)*VLOOKUP('Données projet'!$B$10,Paramètres!$A$1:$I$89,5,0)</f>
        <v>95.528159999999986</v>
      </c>
      <c r="AK37" s="13">
        <f t="shared" si="35"/>
        <v>25.893823366813653</v>
      </c>
      <c r="AL37" s="20">
        <f t="shared" si="4"/>
        <v>211.47662103053372</v>
      </c>
      <c r="AM37" s="59">
        <f t="shared" si="5"/>
        <v>504.80995436386706</v>
      </c>
      <c r="AN37" s="59">
        <f ca="1">AVERAGE(OFFSET($AM$3,0,0,'Données projet'!$E$10+1,1))-AVERAGE(OFFSET($H$3,0,0,'Données projet'!$E$10+1,1))</f>
        <v>230.58262378842818</v>
      </c>
      <c r="AO37" s="59">
        <f t="shared" si="36"/>
        <v>235.68746142880792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119.58095314285718</v>
      </c>
      <c r="BF37" s="13">
        <f t="shared" si="37"/>
        <v>31.577243606763055</v>
      </c>
      <c r="BG37" s="20">
        <f t="shared" si="7"/>
        <v>263.26719267225525</v>
      </c>
      <c r="BH37" s="59">
        <f t="shared" si="8"/>
        <v>556.60052600558856</v>
      </c>
      <c r="BI37" s="59">
        <f ca="1">AVERAGE(OFFSET($BH$3,0,0,'Données projet'!$E$11+1,1))-AVERAGE(OFFSET($H$3,0,0,'Données projet'!$E$11+1,1))</f>
        <v>581.88778927327667</v>
      </c>
      <c r="BJ37" s="59">
        <f t="shared" si="38"/>
        <v>269.67340993773422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125.76617485714293</v>
      </c>
      <c r="CA37" s="13">
        <f t="shared" si="39"/>
        <v>33.016169437099272</v>
      </c>
      <c r="CB37" s="20">
        <f t="shared" si="10"/>
        <v>276.54591631247177</v>
      </c>
      <c r="CC37" s="59">
        <f t="shared" si="11"/>
        <v>569.87924964580509</v>
      </c>
      <c r="CD37" s="59">
        <f ca="1">AVERAGE(OFFSET($CC$3,0,0,'Données projet'!$E$12+1,1))-AVERAGE(OFFSET($H$3,0,0,'Données projet'!$E$12+1,1))</f>
        <v>609.60019207204277</v>
      </c>
      <c r="CE37" s="59">
        <f t="shared" si="40"/>
        <v>281.42238288764503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5.5156499999999982</v>
      </c>
      <c r="CT37" s="12">
        <f>IF('Données projet'!$A$140&gt;35,CT36+CS37-DB36,IF(A37&lt;'Données projet'!$A$140,$CQ$205^A37,IF(A37='Données projet'!$A$140,'Données projet'!$B$140,CT36+CS37-DB36)))</f>
        <v>83.347599999999986</v>
      </c>
      <c r="CU37" s="17">
        <f>CT37*VLOOKUP('Données projet'!$B$13,Paramètres!$A$1:$I$89,3,0)*VLOOKUP('Données projet'!$B$13,Paramètres!$A$1:$I$89,5,0)</f>
        <v>66.311350559999994</v>
      </c>
      <c r="CV37" s="13">
        <f t="shared" si="41"/>
        <v>18.754569933977294</v>
      </c>
      <c r="CW37" s="20">
        <f t="shared" si="13"/>
        <v>148.15647819367709</v>
      </c>
      <c r="CX37" s="59">
        <f t="shared" si="14"/>
        <v>441.48981152701037</v>
      </c>
      <c r="CY37" s="59">
        <f ca="1">AVERAGE(OFFSET($CX$3,0,0,'Données projet'!$E$13+1,1))-AVERAGE(OFFSET($H$3,0,0,'Données projet'!$E$13+1,1))</f>
        <v>172.13940525084604</v>
      </c>
      <c r="CZ37" s="59">
        <f t="shared" si="42"/>
        <v>172.82328007157236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7.05</v>
      </c>
      <c r="DO37" s="12">
        <f>IF('Données projet'!$A$166&gt;35,DO36+DN37-DW36,IF(A37&lt;'Données projet'!$A$166,$DL$205^A37,IF(A37='Données projet'!$A$166,'Données projet'!$B$166,DO36+DN37-DW36)))</f>
        <v>153.45000000000005</v>
      </c>
      <c r="DP37" s="17">
        <f>DO37*VLOOKUP('Données projet'!$B$14,Paramètres!$A$1:$I$89,3,0)*VLOOKUP('Données projet'!$B$14,Paramètres!$A$1:$I$89,5,0)</f>
        <v>112.50954000000002</v>
      </c>
      <c r="DQ37" s="13">
        <f t="shared" si="43"/>
        <v>29.921473286359202</v>
      </c>
      <c r="DR37" s="20">
        <f t="shared" si="16"/>
        <v>248.06734814040897</v>
      </c>
      <c r="DS37" s="59">
        <f t="shared" si="17"/>
        <v>541.40068147374222</v>
      </c>
      <c r="DT37" s="59">
        <f ca="1">AVERAGE(OFFSET($DS$3,0,0,'Données projet'!$E$14+1,1))-AVERAGE(OFFSET($H$3,0,0,'Données projet'!$E$14+1,1))</f>
        <v>197.34725966440715</v>
      </c>
      <c r="DU37" s="59">
        <f t="shared" si="44"/>
        <v>240.16326570529532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15.357834604313114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15.357834604313114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11.5</v>
      </c>
      <c r="EJ37" s="12">
        <f>IF('Données projet'!$A$192&gt;35,EJ36+EI37-ER36,IF(A37&lt;'Données projet'!$A$192,$EG$205^A37,IF(A37='Données projet'!$A$192,'Données projet'!$B$192,EJ36+EI37-ER36)))</f>
        <v>153.49999999999994</v>
      </c>
      <c r="EK37" s="17">
        <f>EJ37*VLOOKUP('Données projet'!$B$15,Paramètres!$A$1:$I$89,3,0)*VLOOKUP('Données projet'!$B$15,Paramètres!$A$1:$I$89,5,0)</f>
        <v>119.72999999999996</v>
      </c>
      <c r="EL37" s="13">
        <f t="shared" si="45"/>
        <v>31.612017974790529</v>
      </c>
      <c r="EM37" s="20">
        <f t="shared" si="19"/>
        <v>263.58734797276003</v>
      </c>
      <c r="EN37" s="59">
        <f t="shared" si="20"/>
        <v>556.92068130609334</v>
      </c>
      <c r="EO37" s="59">
        <f ca="1">AVERAGE(OFFSET($EN$3,0,0,'Données projet'!$E$15+1,1))-AVERAGE(OFFSET($H$3,0,0,'Données projet'!$E$15+1,1))</f>
        <v>288.82868507674738</v>
      </c>
      <c r="EP37" s="59">
        <f t="shared" si="46"/>
        <v>283.48738729114024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7.5467740729598098</v>
      </c>
      <c r="EW37" s="21">
        <f>EXP(-LN(2)/25)*EW36+(1-EXP(-LN(2)/25))/(LN(2)/25)*Calculateur!ER37*Calculateur!ET37*VLOOKUP('Données projet'!$B$15,Paramètres!$A$1:$I$89,3,0)*0.475*44/12</f>
        <v>9.7900184790946039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17.336792552054412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3.887142857142857</v>
      </c>
      <c r="N38" s="13">
        <f>IF('Données projet'!$A$36&gt;35,N37+M38-V37,IF(A38&lt;'Données projet'!$A$36,$K$205^A38,IF(A38='Données projet'!$A$36,'Données projet'!$B$36,N37+M38-V37)))</f>
        <v>136.05000000000007</v>
      </c>
      <c r="O38" s="13">
        <f>N38*VLOOKUP('Données projet'!$B$9,Paramètres!$A$1:$I$89,3,0)*VLOOKUP('Données projet'!$B$9,Paramètres!$A$1:$I$89,5,0)</f>
        <v>123.09804000000005</v>
      </c>
      <c r="P38" s="13">
        <f t="shared" si="33"/>
        <v>32.396490846405321</v>
      </c>
      <c r="Q38" s="20">
        <f t="shared" si="53"/>
        <v>270.81964122415599</v>
      </c>
      <c r="R38" s="59">
        <f t="shared" si="0"/>
        <v>564.1529745574893</v>
      </c>
      <c r="S38" s="59">
        <f ca="1">AVERAGE(OFFSET($R$3,0,0,'Données projet'!$E$9+1,1))-AVERAGE(OFFSET($H$3,0,0,'Données projet'!$E$9+1,1))</f>
        <v>581.88778927327667</v>
      </c>
      <c r="T38" s="59">
        <f t="shared" si="34"/>
        <v>269.67340993773422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153</v>
      </c>
      <c r="AG38" s="12">
        <f>VLOOKUP(A38,'Données projet'!$A$61:$I$81,9,0)</f>
        <v>7.2</v>
      </c>
      <c r="AH38" s="12">
        <f t="array" ref="AH38">INDEX(AG:AG,MIN(IF(ISNUMBER(AG38:AG234),ROW(AG38:AG234),"")))</f>
        <v>7.2</v>
      </c>
      <c r="AI38" s="13">
        <f>IF('Données projet'!$A$62&gt;35,AI37+AH38-AQ37,IF(A38&lt;'Données projet'!$A$62,$AF$205^A38,IF(A38='Données projet'!$A$62,'Données projet'!$B$62,AI37+AH38-AQ37)))</f>
        <v>152.99999999999997</v>
      </c>
      <c r="AJ38" s="13">
        <f>AI38*VLOOKUP('Données projet'!$B$10,Paramètres!$A$1:$I$89,3,0)*VLOOKUP('Données projet'!$B$10,Paramètres!$A$1:$I$89,5,0)</f>
        <v>100.2456</v>
      </c>
      <c r="AK38" s="13">
        <f t="shared" si="35"/>
        <v>27.020500005754936</v>
      </c>
      <c r="AL38" s="20">
        <f t="shared" si="4"/>
        <v>221.65512417668984</v>
      </c>
      <c r="AM38" s="59">
        <f t="shared" si="5"/>
        <v>514.98845751002318</v>
      </c>
      <c r="AN38" s="59">
        <f ca="1">AVERAGE(OFFSET($AM$3,0,0,'Données projet'!$E$10+1,1))-AVERAGE(OFFSET($H$3,0,0,'Données projet'!$E$10+1,1))</f>
        <v>230.58262378842818</v>
      </c>
      <c r="AO38" s="59">
        <f t="shared" si="36"/>
        <v>235.68746142880792</v>
      </c>
      <c r="AP38" s="15">
        <f>IF(ISNA(VLOOKUP(A38,'Données projet'!$A$61:$I$81,3,0)),0,VLOOKUP(A38,'Données projet'!$A$61:$I$81,3,0))</f>
        <v>6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123.09804000000005</v>
      </c>
      <c r="BF38" s="13">
        <f t="shared" si="37"/>
        <v>32.396490846405321</v>
      </c>
      <c r="BG38" s="20">
        <f t="shared" si="7"/>
        <v>270.81964122415599</v>
      </c>
      <c r="BH38" s="59">
        <f t="shared" si="8"/>
        <v>564.1529745574893</v>
      </c>
      <c r="BI38" s="59">
        <f ca="1">AVERAGE(OFFSET($BH$3,0,0,'Données projet'!$E$11+1,1))-AVERAGE(OFFSET($H$3,0,0,'Données projet'!$E$11+1,1))</f>
        <v>581.88778927327667</v>
      </c>
      <c r="BJ38" s="59">
        <f t="shared" si="38"/>
        <v>269.67340993773422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129.46518000000006</v>
      </c>
      <c r="CA38" s="13">
        <f t="shared" si="39"/>
        <v>33.872748498012392</v>
      </c>
      <c r="CB38" s="20">
        <f t="shared" si="10"/>
        <v>284.48022546737167</v>
      </c>
      <c r="CC38" s="59">
        <f t="shared" si="11"/>
        <v>577.81355880070498</v>
      </c>
      <c r="CD38" s="59">
        <f ca="1">AVERAGE(OFFSET($CC$3,0,0,'Données projet'!$E$12+1,1))-AVERAGE(OFFSET($H$3,0,0,'Données projet'!$E$12+1,1))</f>
        <v>609.60019207204277</v>
      </c>
      <c r="CE38" s="59">
        <f t="shared" si="40"/>
        <v>281.42238288764503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88.863249999999994</v>
      </c>
      <c r="CR38" s="12">
        <f>VLOOKUP(A38,'Données projet'!$A$139:$I$159,9,0)</f>
        <v>5.5156499999999982</v>
      </c>
      <c r="CS38" s="12">
        <f t="array" ref="CS38">INDEX(CR:CR,MIN(IF(ISNUMBER(CR38:CR234),ROW(CR38:CR234),"")))</f>
        <v>5.5156499999999982</v>
      </c>
      <c r="CT38" s="12">
        <f>IF('Données projet'!$A$140&gt;35,CT37+CS38-DB37,IF(A38&lt;'Données projet'!$A$140,$CQ$205^A38,IF(A38='Données projet'!$A$140,'Données projet'!$B$140,CT37+CS38-DB37)))</f>
        <v>88.863249999999979</v>
      </c>
      <c r="CU38" s="17">
        <f>CT38*VLOOKUP('Données projet'!$B$13,Paramètres!$A$1:$I$89,3,0)*VLOOKUP('Données projet'!$B$13,Paramètres!$A$1:$I$89,5,0)</f>
        <v>70.699601699999988</v>
      </c>
      <c r="CV38" s="13">
        <f t="shared" si="41"/>
        <v>19.847092647750422</v>
      </c>
      <c r="CW38" s="20">
        <f t="shared" si="13"/>
        <v>157.70215932233199</v>
      </c>
      <c r="CX38" s="59">
        <f t="shared" si="14"/>
        <v>451.03549265566528</v>
      </c>
      <c r="CY38" s="59">
        <f ca="1">AVERAGE(OFFSET($CX$3,0,0,'Données projet'!$E$13+1,1))-AVERAGE(OFFSET($H$3,0,0,'Données projet'!$E$13+1,1))</f>
        <v>172.13940525084604</v>
      </c>
      <c r="CZ38" s="59">
        <f t="shared" si="42"/>
        <v>172.82328007157236</v>
      </c>
      <c r="DA38" s="15">
        <f>IF(ISNA(VLOOKUP(A38,'Données projet'!$A$139:$I$159,3,0)),0,VLOOKUP(A38,'Données projet'!$A$139:$I$159,3,0))</f>
        <v>6</v>
      </c>
      <c r="DB38" s="15">
        <f>IF(ISNA(VLOOKUP(A38,'Données projet'!$A$139:$I$159,4,0)),0,VLOOKUP(A38,'Données projet'!$A$139:$I$159,4,0))</f>
        <v>15.141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7.05</v>
      </c>
      <c r="DO38" s="12">
        <f>IF('Données projet'!$A$166&gt;35,DO37+DN38-DW37,IF(A38&lt;'Données projet'!$A$166,$DL$205^A38,IF(A38='Données projet'!$A$166,'Données projet'!$B$166,DO37+DN38-DW37)))</f>
        <v>160.50000000000006</v>
      </c>
      <c r="DP38" s="17">
        <f>DO38*VLOOKUP('Données projet'!$B$14,Paramètres!$A$1:$I$89,3,0)*VLOOKUP('Données projet'!$B$14,Paramètres!$A$1:$I$89,5,0)</f>
        <v>117.67860000000003</v>
      </c>
      <c r="DQ38" s="13">
        <f t="shared" si="43"/>
        <v>31.132956849137852</v>
      </c>
      <c r="DR38" s="20">
        <f t="shared" si="16"/>
        <v>259.18012817891514</v>
      </c>
      <c r="DS38" s="59">
        <f t="shared" si="17"/>
        <v>552.51346151224845</v>
      </c>
      <c r="DT38" s="59">
        <f ca="1">AVERAGE(OFFSET($DS$3,0,0,'Données projet'!$E$14+1,1))-AVERAGE(OFFSET($H$3,0,0,'Données projet'!$E$14+1,1))</f>
        <v>197.34725966440715</v>
      </c>
      <c r="DU38" s="59">
        <f t="shared" si="44"/>
        <v>240.16326570529532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14.937873809424751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14.937873809424751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11.5</v>
      </c>
      <c r="EJ38" s="12">
        <f>IF('Données projet'!$A$192&gt;35,EJ37+EI38-ER37,IF(A38&lt;'Données projet'!$A$192,$EG$205^A38,IF(A38='Données projet'!$A$192,'Données projet'!$B$192,EJ37+EI38-ER37)))</f>
        <v>164.99999999999994</v>
      </c>
      <c r="EK38" s="17">
        <f>EJ38*VLOOKUP('Données projet'!$B$15,Paramètres!$A$1:$I$89,3,0)*VLOOKUP('Données projet'!$B$15,Paramètres!$A$1:$I$89,5,0)</f>
        <v>128.69999999999996</v>
      </c>
      <c r="EL38" s="13">
        <f t="shared" si="45"/>
        <v>33.695792019186115</v>
      </c>
      <c r="EM38" s="20">
        <f t="shared" si="19"/>
        <v>282.83933776674911</v>
      </c>
      <c r="EN38" s="59">
        <f t="shared" si="20"/>
        <v>576.17267110008243</v>
      </c>
      <c r="EO38" s="59">
        <f ca="1">AVERAGE(OFFSET($EN$3,0,0,'Données projet'!$E$15+1,1))-AVERAGE(OFFSET($H$3,0,0,'Données projet'!$E$15+1,1))</f>
        <v>288.82868507674738</v>
      </c>
      <c r="EP38" s="59">
        <f t="shared" si="46"/>
        <v>283.48738729114024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7.3987864364667359</v>
      </c>
      <c r="EW38" s="21">
        <f>EXP(-LN(2)/25)*EW37+(1-EXP(-LN(2)/25))/(LN(2)/25)*Calculateur!ER38*Calculateur!ET38*VLOOKUP('Données projet'!$B$15,Paramètres!$A$1:$I$89,3,0)*0.475*44/12</f>
        <v>9.5223099089490653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16.921096345415801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3.887142857142857</v>
      </c>
      <c r="N39" s="13">
        <f>IF('Données projet'!$A$36&gt;35,N38+M39-V38,IF(A39&lt;'Données projet'!$A$36,$K$205^A39,IF(A39='Données projet'!$A$36,'Données projet'!$B$36,N38+M39-V38)))</f>
        <v>139.93714285714293</v>
      </c>
      <c r="O39" s="13">
        <f>N39*VLOOKUP('Données projet'!$B$9,Paramètres!$A$1:$I$89,3,0)*VLOOKUP('Données projet'!$B$9,Paramètres!$A$1:$I$89,5,0)</f>
        <v>126.61512685714293</v>
      </c>
      <c r="P39" s="13">
        <f t="shared" si="33"/>
        <v>33.213017638275041</v>
      </c>
      <c r="Q39" s="20">
        <f t="shared" si="53"/>
        <v>278.36735166285297</v>
      </c>
      <c r="R39" s="59">
        <f t="shared" si="0"/>
        <v>571.70068499618628</v>
      </c>
      <c r="S39" s="59">
        <f ca="1">AVERAGE(OFFSET($R$3,0,0,'Données projet'!$E$9+1,1))-AVERAGE(OFFSET($H$3,0,0,'Données projet'!$E$9+1,1))</f>
        <v>581.88778927327667</v>
      </c>
      <c r="T39" s="59">
        <f t="shared" si="34"/>
        <v>269.67340993773422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7</v>
      </c>
      <c r="AI39" s="13">
        <f>IF('Données projet'!$A$62&gt;35,AI38+AH39-AQ38,IF(A39&lt;'Données projet'!$A$62,$AF$205^A39,IF(A39='Données projet'!$A$62,'Données projet'!$B$62,AI38+AH39-AQ38)))</f>
        <v>138.99999999999997</v>
      </c>
      <c r="AJ39" s="13">
        <f>AI39*VLOOKUP('Données projet'!$B$10,Paramètres!$A$1:$I$89,3,0)*VLOOKUP('Données projet'!$B$10,Paramètres!$A$1:$I$89,5,0)</f>
        <v>91.072799999999987</v>
      </c>
      <c r="AK39" s="13">
        <f t="shared" si="35"/>
        <v>24.823779817332358</v>
      </c>
      <c r="AL39" s="20">
        <f t="shared" si="4"/>
        <v>201.85320984852046</v>
      </c>
      <c r="AM39" s="59">
        <f t="shared" si="5"/>
        <v>495.18654318185378</v>
      </c>
      <c r="AN39" s="59">
        <f ca="1">AVERAGE(OFFSET($AM$3,0,0,'Données projet'!$E$10+1,1))-AVERAGE(OFFSET($H$3,0,0,'Données projet'!$E$10+1,1))</f>
        <v>230.58262378842818</v>
      </c>
      <c r="AO39" s="59">
        <f t="shared" si="36"/>
        <v>235.68746142880792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126.61512685714293</v>
      </c>
      <c r="BF39" s="13">
        <f t="shared" si="37"/>
        <v>33.213017638275041</v>
      </c>
      <c r="BG39" s="20">
        <f t="shared" si="7"/>
        <v>278.36735166285297</v>
      </c>
      <c r="BH39" s="59">
        <f t="shared" si="8"/>
        <v>571.70068499618628</v>
      </c>
      <c r="BI39" s="59">
        <f ca="1">AVERAGE(OFFSET($BH$3,0,0,'Données projet'!$E$11+1,1))-AVERAGE(OFFSET($H$3,0,0,'Données projet'!$E$11+1,1))</f>
        <v>581.88778927327667</v>
      </c>
      <c r="BJ39" s="59">
        <f t="shared" si="38"/>
        <v>269.67340993773422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133.16418514285721</v>
      </c>
      <c r="CA39" s="13">
        <f t="shared" si="39"/>
        <v>34.726483144583192</v>
      </c>
      <c r="CB39" s="20">
        <f t="shared" si="10"/>
        <v>292.40958060062536</v>
      </c>
      <c r="CC39" s="59">
        <f t="shared" si="11"/>
        <v>585.74291393395868</v>
      </c>
      <c r="CD39" s="59">
        <f ca="1">AVERAGE(OFFSET($CC$3,0,0,'Données projet'!$E$12+1,1))-AVERAGE(OFFSET($H$3,0,0,'Données projet'!$E$12+1,1))</f>
        <v>609.60019207204277</v>
      </c>
      <c r="CE39" s="59">
        <f t="shared" si="40"/>
        <v>281.42238288764503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4.8667500000000015</v>
      </c>
      <c r="CT39" s="12">
        <f>IF('Données projet'!$A$140&gt;35,CT38+CS39-DB38,IF(A39&lt;'Données projet'!$A$140,$CQ$205^A39,IF(A39='Données projet'!$A$140,'Données projet'!$B$140,CT38+CS39-DB38)))</f>
        <v>78.58899999999997</v>
      </c>
      <c r="CU39" s="17">
        <f>CT39*VLOOKUP('Données projet'!$B$13,Paramètres!$A$1:$I$89,3,0)*VLOOKUP('Données projet'!$B$13,Paramètres!$A$1:$I$89,5,0)</f>
        <v>62.525408399999982</v>
      </c>
      <c r="CV39" s="13">
        <f t="shared" si="41"/>
        <v>17.805231352676486</v>
      </c>
      <c r="CW39" s="20">
        <f t="shared" si="13"/>
        <v>139.90919756924484</v>
      </c>
      <c r="CX39" s="59">
        <f t="shared" si="14"/>
        <v>433.24253090257815</v>
      </c>
      <c r="CY39" s="59">
        <f ca="1">AVERAGE(OFFSET($CX$3,0,0,'Données projet'!$E$13+1,1))-AVERAGE(OFFSET($H$3,0,0,'Données projet'!$E$13+1,1))</f>
        <v>172.13940525084604</v>
      </c>
      <c r="CZ39" s="59">
        <f t="shared" si="42"/>
        <v>172.82328007157236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7.05</v>
      </c>
      <c r="DO39" s="12">
        <f>IF('Données projet'!$A$166&gt;35,DO38+DN39-DW38,IF(A39&lt;'Données projet'!$A$166,$DL$205^A39,IF(A39='Données projet'!$A$166,'Données projet'!$B$166,DO38+DN39-DW38)))</f>
        <v>167.55000000000007</v>
      </c>
      <c r="DP39" s="17">
        <f>DO39*VLOOKUP('Données projet'!$B$14,Paramètres!$A$1:$I$89,3,0)*VLOOKUP('Données projet'!$B$14,Paramètres!$A$1:$I$89,5,0)</f>
        <v>122.84766000000003</v>
      </c>
      <c r="DQ39" s="13">
        <f t="shared" si="43"/>
        <v>32.338259930438234</v>
      </c>
      <c r="DR39" s="20">
        <f t="shared" si="16"/>
        <v>270.28214387884663</v>
      </c>
      <c r="DS39" s="59">
        <f t="shared" si="17"/>
        <v>563.61547721217994</v>
      </c>
      <c r="DT39" s="59">
        <f ca="1">AVERAGE(OFFSET($DS$3,0,0,'Données projet'!$E$14+1,1))-AVERAGE(OFFSET($H$3,0,0,'Données projet'!$E$14+1,1))</f>
        <v>197.34725966440715</v>
      </c>
      <c r="DU39" s="59">
        <f t="shared" si="44"/>
        <v>240.16326570529532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14.529396864557388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14.529396864557388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11.5</v>
      </c>
      <c r="EJ39" s="12">
        <f>IF('Données projet'!$A$192&gt;35,EJ38+EI39-ER38,IF(A39&lt;'Données projet'!$A$192,$EG$205^A39,IF(A39='Données projet'!$A$192,'Données projet'!$B$192,EJ38+EI39-ER38)))</f>
        <v>176.49999999999994</v>
      </c>
      <c r="EK39" s="17">
        <f>EJ39*VLOOKUP('Données projet'!$B$15,Paramètres!$A$1:$I$89,3,0)*VLOOKUP('Données projet'!$B$15,Paramètres!$A$1:$I$89,5,0)</f>
        <v>137.66999999999996</v>
      </c>
      <c r="EL39" s="13">
        <f t="shared" si="45"/>
        <v>35.762714965854656</v>
      </c>
      <c r="EM39" s="20">
        <f t="shared" si="19"/>
        <v>302.06197856553007</v>
      </c>
      <c r="EN39" s="59">
        <f t="shared" si="20"/>
        <v>595.39531189886338</v>
      </c>
      <c r="EO39" s="59">
        <f ca="1">AVERAGE(OFFSET($EN$3,0,0,'Données projet'!$E$15+1,1))-AVERAGE(OFFSET($H$3,0,0,'Données projet'!$E$15+1,1))</f>
        <v>288.82868507674738</v>
      </c>
      <c r="EP39" s="59">
        <f t="shared" si="46"/>
        <v>283.48738729114024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7.2537007472617461</v>
      </c>
      <c r="EW39" s="21">
        <f>EXP(-LN(2)/25)*EW38+(1-EXP(-LN(2)/25))/(LN(2)/25)*Calculateur!ER39*Calculateur!ET39*VLOOKUP('Données projet'!$B$15,Paramètres!$A$1:$I$89,3,0)*0.475*44/12</f>
        <v>9.2619218437323383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16.515622590994084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3.887142857142857</v>
      </c>
      <c r="N40" s="13">
        <f>IF('Données projet'!$A$36&gt;35,N39+M40-V39,IF(A40&lt;'Données projet'!$A$36,$K$205^A40,IF(A40='Données projet'!$A$36,'Données projet'!$B$36,N39+M40-V39)))</f>
        <v>143.82428571428579</v>
      </c>
      <c r="O40" s="13">
        <f>N40*VLOOKUP('Données projet'!$B$9,Paramètres!$A$1:$I$89,3,0)*VLOOKUP('Données projet'!$B$9,Paramètres!$A$1:$I$89,5,0)</f>
        <v>130.13221371428577</v>
      </c>
      <c r="P40" s="13">
        <f t="shared" si="33"/>
        <v>34.026908232186209</v>
      </c>
      <c r="Q40" s="20">
        <f t="shared" si="53"/>
        <v>285.91047072343866</v>
      </c>
      <c r="R40" s="59">
        <f t="shared" si="0"/>
        <v>579.24380405677198</v>
      </c>
      <c r="S40" s="59">
        <f ca="1">AVERAGE(OFFSET($R$3,0,0,'Données projet'!$E$9+1,1))-AVERAGE(OFFSET($H$3,0,0,'Données projet'!$E$9+1,1))</f>
        <v>581.88778927327667</v>
      </c>
      <c r="T40" s="59">
        <f t="shared" si="34"/>
        <v>269.67340993773422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7</v>
      </c>
      <c r="AI40" s="13">
        <f>IF('Données projet'!$A$62&gt;35,AI39+AH40-AQ39,IF(A40&lt;'Données projet'!$A$62,$AF$205^A40,IF(A40='Données projet'!$A$62,'Données projet'!$B$62,AI39+AH40-AQ39)))</f>
        <v>145.99999999999997</v>
      </c>
      <c r="AJ40" s="13">
        <f>AI40*VLOOKUP('Données projet'!$B$10,Paramètres!$A$1:$I$89,3,0)*VLOOKUP('Données projet'!$B$10,Paramètres!$A$1:$I$89,5,0)</f>
        <v>95.659199999999984</v>
      </c>
      <c r="AK40" s="13">
        <f t="shared" si="35"/>
        <v>25.92520602338745</v>
      </c>
      <c r="AL40" s="20">
        <f t="shared" si="4"/>
        <v>211.75950715739978</v>
      </c>
      <c r="AM40" s="59">
        <f t="shared" si="5"/>
        <v>505.09284049073312</v>
      </c>
      <c r="AN40" s="59">
        <f ca="1">AVERAGE(OFFSET($AM$3,0,0,'Données projet'!$E$10+1,1))-AVERAGE(OFFSET($H$3,0,0,'Données projet'!$E$10+1,1))</f>
        <v>230.58262378842818</v>
      </c>
      <c r="AO40" s="59">
        <f t="shared" si="36"/>
        <v>235.68746142880792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130.13221371428577</v>
      </c>
      <c r="BF40" s="13">
        <f t="shared" si="37"/>
        <v>34.026908232186209</v>
      </c>
      <c r="BG40" s="20">
        <f t="shared" si="7"/>
        <v>285.91047072343866</v>
      </c>
      <c r="BH40" s="59">
        <f t="shared" si="8"/>
        <v>579.24380405677198</v>
      </c>
      <c r="BI40" s="59">
        <f ca="1">AVERAGE(OFFSET($BH$3,0,0,'Données projet'!$E$11+1,1))-AVERAGE(OFFSET($H$3,0,0,'Données projet'!$E$11+1,1))</f>
        <v>581.88778927327667</v>
      </c>
      <c r="BJ40" s="59">
        <f t="shared" si="38"/>
        <v>269.67340993773422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136.86319028571435</v>
      </c>
      <c r="CA40" s="13">
        <f t="shared" si="39"/>
        <v>35.577461465758702</v>
      </c>
      <c r="CB40" s="20">
        <f t="shared" si="10"/>
        <v>300.33413513381555</v>
      </c>
      <c r="CC40" s="59">
        <f t="shared" si="11"/>
        <v>593.66746846714886</v>
      </c>
      <c r="CD40" s="59">
        <f ca="1">AVERAGE(OFFSET($CC$3,0,0,'Données projet'!$E$12+1,1))-AVERAGE(OFFSET($H$3,0,0,'Données projet'!$E$12+1,1))</f>
        <v>609.60019207204277</v>
      </c>
      <c r="CE40" s="59">
        <f t="shared" si="40"/>
        <v>281.42238288764503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4.8667500000000015</v>
      </c>
      <c r="CT40" s="12">
        <f>IF('Données projet'!$A$140&gt;35,CT39+CS40-DB39,IF(A40&lt;'Données projet'!$A$140,$CQ$205^A40,IF(A40='Données projet'!$A$140,'Données projet'!$B$140,CT39+CS40-DB39)))</f>
        <v>83.455749999999966</v>
      </c>
      <c r="CU40" s="17">
        <f>CT40*VLOOKUP('Données projet'!$B$13,Paramètres!$A$1:$I$89,3,0)*VLOOKUP('Données projet'!$B$13,Paramètres!$A$1:$I$89,5,0)</f>
        <v>66.397394699999978</v>
      </c>
      <c r="CV40" s="13">
        <f t="shared" si="41"/>
        <v>18.77607117160408</v>
      </c>
      <c r="CW40" s="20">
        <f t="shared" si="13"/>
        <v>148.34378639304376</v>
      </c>
      <c r="CX40" s="59">
        <f t="shared" si="14"/>
        <v>441.6771197263771</v>
      </c>
      <c r="CY40" s="59">
        <f ca="1">AVERAGE(OFFSET($CX$3,0,0,'Données projet'!$E$13+1,1))-AVERAGE(OFFSET($H$3,0,0,'Données projet'!$E$13+1,1))</f>
        <v>172.13940525084604</v>
      </c>
      <c r="CZ40" s="59">
        <f t="shared" si="42"/>
        <v>172.82328007157236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7.05</v>
      </c>
      <c r="DO40" s="12">
        <f>IF('Données projet'!$A$166&gt;35,DO39+DN40-DW39,IF(A40&lt;'Données projet'!$A$166,$DL$205^A40,IF(A40='Données projet'!$A$166,'Données projet'!$B$166,DO39+DN40-DW39)))</f>
        <v>174.60000000000008</v>
      </c>
      <c r="DP40" s="17">
        <f>DO40*VLOOKUP('Données projet'!$B$14,Paramètres!$A$1:$I$89,3,0)*VLOOKUP('Données projet'!$B$14,Paramètres!$A$1:$I$89,5,0)</f>
        <v>128.01672000000005</v>
      </c>
      <c r="DQ40" s="13">
        <f t="shared" si="43"/>
        <v>33.537672321480457</v>
      </c>
      <c r="DR40" s="20">
        <f t="shared" si="16"/>
        <v>281.37389995991185</v>
      </c>
      <c r="DS40" s="59">
        <f t="shared" si="17"/>
        <v>574.70723329324517</v>
      </c>
      <c r="DT40" s="59">
        <f ca="1">AVERAGE(OFFSET($DS$3,0,0,'Données projet'!$E$14+1,1))-AVERAGE(OFFSET($H$3,0,0,'Données projet'!$E$14+1,1))</f>
        <v>197.34725966440715</v>
      </c>
      <c r="DU40" s="59">
        <f t="shared" si="44"/>
        <v>240.16326570529532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14.132089743228292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14.132089743228292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>
        <f>VLOOKUP(A40,'Données projet'!$A$191:$I$211,2,0)</f>
        <v>188</v>
      </c>
      <c r="EH40" s="12">
        <f>VLOOKUP(A40,'Données projet'!$A$191:$I$211,9,0)</f>
        <v>11.5</v>
      </c>
      <c r="EI40" s="12">
        <f t="array" ref="EI40">INDEX(EH:EH,MIN(IF(ISNUMBER(EH40:EH236),ROW(EH40:EH236),"")))</f>
        <v>11.5</v>
      </c>
      <c r="EJ40" s="12">
        <f>IF('Données projet'!$A$192&gt;35,EJ39+EI40-ER39,IF(A40&lt;'Données projet'!$A$192,$EG$205^A40,IF(A40='Données projet'!$A$192,'Données projet'!$B$192,EJ39+EI40-ER39)))</f>
        <v>187.99999999999994</v>
      </c>
      <c r="EK40" s="17">
        <f>EJ40*VLOOKUP('Données projet'!$B$15,Paramètres!$A$1:$I$89,3,0)*VLOOKUP('Données projet'!$B$15,Paramètres!$A$1:$I$89,5,0)</f>
        <v>146.63999999999996</v>
      </c>
      <c r="EL40" s="13">
        <f t="shared" si="45"/>
        <v>37.814009712703026</v>
      </c>
      <c r="EM40" s="20">
        <f t="shared" si="19"/>
        <v>321.25740024962437</v>
      </c>
      <c r="EN40" s="59">
        <f t="shared" si="20"/>
        <v>614.59073358295768</v>
      </c>
      <c r="EO40" s="59">
        <f ca="1">AVERAGE(OFFSET($EN$3,0,0,'Données projet'!$E$15+1,1))-AVERAGE(OFFSET($H$3,0,0,'Données projet'!$E$15+1,1))</f>
        <v>288.82868507674738</v>
      </c>
      <c r="EP40" s="59">
        <f t="shared" si="46"/>
        <v>283.48738729114024</v>
      </c>
      <c r="EQ40" s="15">
        <f>IF(ISNA(VLOOKUP(A40,'Données projet'!$A$191:$I$211,3,0)),0,VLOOKUP(A40,'Données projet'!$A$191:$I$211,3,0))</f>
        <v>5</v>
      </c>
      <c r="ER40" s="15">
        <f>IF(ISNA(VLOOKUP(A40,'Données projet'!$A$191:$I$211,4,0)),0,VLOOKUP(A40,'Données projet'!$A$191:$I$211,4,0))</f>
        <v>36</v>
      </c>
      <c r="ES40" s="16">
        <f>IF(ISNA(VLOOKUP(A40,'Données projet'!$A$191:$I$211,5,0)),0%,VLOOKUP(A40,'Données projet'!$A$191:$I$211,5,0)*VLOOKUP('Données projet'!$B$15,Paramètres!$A$1:$I$89,7,0))</f>
        <v>0.25800000000000001</v>
      </c>
      <c r="ET40" s="16">
        <f>IF(ISNA(VLOOKUP(A40,'Données projet'!$A$191:$I$211,6,0)),0%,VLOOKUP(A40,'Données projet'!$A$191:$I$211,6,0)*VLOOKUP('Données projet'!$B$15,Paramètres!$A$1:$I$89,7,0))</f>
        <v>8.6000000000000007E-2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15.120195030308127</v>
      </c>
      <c r="EW40" s="21">
        <f>EXP(-LN(2)/25)*EW39+(1-EXP(-LN(2)/25))/(LN(2)/25)*Calculateur!ER40*Calculateur!ET40*VLOOKUP('Données projet'!$B$15,Paramètres!$A$1:$I$89,3,0)*0.475*44/12</f>
        <v>11.667721266982657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26.787916297290785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3.887142857142857</v>
      </c>
      <c r="N41" s="13">
        <f>IF('Données projet'!$A$36&gt;35,N40+M41-V40,IF(A41&lt;'Données projet'!$A$36,$K$205^A41,IF(A41='Données projet'!$A$36,'Données projet'!$B$36,N40+M41-V40)))</f>
        <v>147.71142857142866</v>
      </c>
      <c r="O41" s="13">
        <f>N41*VLOOKUP('Données projet'!$B$9,Paramètres!$A$1:$I$89,3,0)*VLOOKUP('Données projet'!$B$9,Paramètres!$A$1:$I$89,5,0)</f>
        <v>133.64930057142865</v>
      </c>
      <c r="P41" s="13">
        <f t="shared" si="33"/>
        <v>34.8382420646657</v>
      </c>
      <c r="Q41" s="20">
        <f t="shared" si="53"/>
        <v>293.44913675786432</v>
      </c>
      <c r="R41" s="59">
        <f t="shared" si="0"/>
        <v>586.78247009119764</v>
      </c>
      <c r="S41" s="59">
        <f ca="1">AVERAGE(OFFSET($R$3,0,0,'Données projet'!$E$9+1,1))-AVERAGE(OFFSET($H$3,0,0,'Données projet'!$E$9+1,1))</f>
        <v>581.88778927327667</v>
      </c>
      <c r="T41" s="59">
        <f t="shared" si="34"/>
        <v>269.67340993773422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7</v>
      </c>
      <c r="AI41" s="13">
        <f>IF('Données projet'!$A$62&gt;35,AI40+AH41-AQ40,IF(A41&lt;'Données projet'!$A$62,$AF$205^A41,IF(A41='Données projet'!$A$62,'Données projet'!$B$62,AI40+AH41-AQ40)))</f>
        <v>152.99999999999997</v>
      </c>
      <c r="AJ41" s="13">
        <f>AI41*VLOOKUP('Données projet'!$B$10,Paramètres!$A$1:$I$89,3,0)*VLOOKUP('Données projet'!$B$10,Paramètres!$A$1:$I$89,5,0)</f>
        <v>100.2456</v>
      </c>
      <c r="AK41" s="13">
        <f t="shared" si="35"/>
        <v>27.020500005754936</v>
      </c>
      <c r="AL41" s="20">
        <f t="shared" si="4"/>
        <v>221.65512417668984</v>
      </c>
      <c r="AM41" s="59">
        <f t="shared" si="5"/>
        <v>514.98845751002318</v>
      </c>
      <c r="AN41" s="59">
        <f ca="1">AVERAGE(OFFSET($AM$3,0,0,'Données projet'!$E$10+1,1))-AVERAGE(OFFSET($H$3,0,0,'Données projet'!$E$10+1,1))</f>
        <v>230.58262378842818</v>
      </c>
      <c r="AO41" s="59">
        <f t="shared" si="36"/>
        <v>235.68746142880792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133.64930057142865</v>
      </c>
      <c r="BF41" s="13">
        <f t="shared" si="37"/>
        <v>34.8382420646657</v>
      </c>
      <c r="BG41" s="20">
        <f t="shared" si="7"/>
        <v>293.44913675786432</v>
      </c>
      <c r="BH41" s="59">
        <f t="shared" si="8"/>
        <v>586.78247009119764</v>
      </c>
      <c r="BI41" s="59">
        <f ca="1">AVERAGE(OFFSET($BH$3,0,0,'Données projet'!$E$11+1,1))-AVERAGE(OFFSET($H$3,0,0,'Données projet'!$E$11+1,1))</f>
        <v>581.88778927327667</v>
      </c>
      <c r="BJ41" s="59">
        <f t="shared" si="38"/>
        <v>269.67340993773422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140.56219542857153</v>
      </c>
      <c r="CA41" s="13">
        <f t="shared" si="39"/>
        <v>36.425766517864517</v>
      </c>
      <c r="CB41" s="20">
        <f t="shared" si="10"/>
        <v>308.2540337233761</v>
      </c>
      <c r="CC41" s="59">
        <f t="shared" si="11"/>
        <v>601.58736705670935</v>
      </c>
      <c r="CD41" s="59">
        <f ca="1">AVERAGE(OFFSET($CC$3,0,0,'Données projet'!$E$12+1,1))-AVERAGE(OFFSET($H$3,0,0,'Données projet'!$E$12+1,1))</f>
        <v>609.60019207204277</v>
      </c>
      <c r="CE41" s="59">
        <f t="shared" si="40"/>
        <v>281.42238288764503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4.8667500000000015</v>
      </c>
      <c r="CT41" s="12">
        <f>IF('Données projet'!$A$140&gt;35,CT40+CS41-DB40,IF(A41&lt;'Données projet'!$A$140,$CQ$205^A41,IF(A41='Données projet'!$A$140,'Données projet'!$B$140,CT40+CS41-DB40)))</f>
        <v>88.322499999999962</v>
      </c>
      <c r="CU41" s="17">
        <f>CT41*VLOOKUP('Données projet'!$B$13,Paramètres!$A$1:$I$89,3,0)*VLOOKUP('Données projet'!$B$13,Paramètres!$A$1:$I$89,5,0)</f>
        <v>70.269380999999981</v>
      </c>
      <c r="CV41" s="13">
        <f t="shared" si="41"/>
        <v>19.740339406325493</v>
      </c>
      <c r="CW41" s="20">
        <f t="shared" si="13"/>
        <v>156.76692970768354</v>
      </c>
      <c r="CX41" s="59">
        <f t="shared" si="14"/>
        <v>450.10026304101689</v>
      </c>
      <c r="CY41" s="59">
        <f ca="1">AVERAGE(OFFSET($CX$3,0,0,'Données projet'!$E$13+1,1))-AVERAGE(OFFSET($H$3,0,0,'Données projet'!$E$13+1,1))</f>
        <v>172.13940525084604</v>
      </c>
      <c r="CZ41" s="59">
        <f t="shared" si="42"/>
        <v>172.82328007157236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7.05</v>
      </c>
      <c r="DO41" s="12">
        <f>IF('Données projet'!$A$166&gt;35,DO40+DN41-DW40,IF(A41&lt;'Données projet'!$A$166,$DL$205^A41,IF(A41='Données projet'!$A$166,'Données projet'!$B$166,DO40+DN41-DW40)))</f>
        <v>181.65000000000009</v>
      </c>
      <c r="DP41" s="17">
        <f>DO41*VLOOKUP('Données projet'!$B$14,Paramètres!$A$1:$I$89,3,0)*VLOOKUP('Données projet'!$B$14,Paramètres!$A$1:$I$89,5,0)</f>
        <v>133.18578000000005</v>
      </c>
      <c r="DQ41" s="13">
        <f t="shared" si="43"/>
        <v>34.731459086602484</v>
      </c>
      <c r="DR41" s="20">
        <f t="shared" si="16"/>
        <v>292.45585807583274</v>
      </c>
      <c r="DS41" s="59">
        <f t="shared" si="17"/>
        <v>585.78919140916605</v>
      </c>
      <c r="DT41" s="59">
        <f ca="1">AVERAGE(OFFSET($DS$3,0,0,'Données projet'!$E$14+1,1))-AVERAGE(OFFSET($H$3,0,0,'Données projet'!$E$14+1,1))</f>
        <v>197.34725966440715</v>
      </c>
      <c r="DU41" s="59">
        <f t="shared" si="44"/>
        <v>240.16326570529532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13.745647006025415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13.745647006025415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11.142857142857142</v>
      </c>
      <c r="EJ41" s="12">
        <f>IF('Données projet'!$A$192&gt;35,EJ40+EI41-ER40,IF(A41&lt;'Données projet'!$A$192,$EG$205^A41,IF(A41='Données projet'!$A$192,'Données projet'!$B$192,EJ40+EI41-ER40)))</f>
        <v>163.14285714285708</v>
      </c>
      <c r="EK41" s="17">
        <f>EJ41*VLOOKUP('Données projet'!$B$15,Paramètres!$A$1:$I$89,3,0)*VLOOKUP('Données projet'!$B$15,Paramètres!$A$1:$I$89,5,0)</f>
        <v>127.25142857142853</v>
      </c>
      <c r="EL41" s="13">
        <f t="shared" si="45"/>
        <v>33.360457439554281</v>
      </c>
      <c r="EM41" s="20">
        <f t="shared" si="19"/>
        <v>279.73236813579501</v>
      </c>
      <c r="EN41" s="59">
        <f t="shared" si="20"/>
        <v>573.06570146912827</v>
      </c>
      <c r="EO41" s="59">
        <f ca="1">AVERAGE(OFFSET($EN$3,0,0,'Données projet'!$E$15+1,1))-AVERAGE(OFFSET($H$3,0,0,'Données projet'!$E$15+1,1))</f>
        <v>288.82868507674738</v>
      </c>
      <c r="EP41" s="59">
        <f t="shared" si="46"/>
        <v>283.48738729114024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14.823697228172115</v>
      </c>
      <c r="EW41" s="21">
        <f>EXP(-LN(2)/25)*EW40+(1-EXP(-LN(2)/25))/(LN(2)/25)*Calculateur!ER41*Calculateur!ET41*VLOOKUP('Données projet'!$B$15,Paramètres!$A$1:$I$89,3,0)*0.475*44/12</f>
        <v>11.348666815358222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26.172364043530337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3.887142857142857</v>
      </c>
      <c r="N42" s="13">
        <f>IF('Données projet'!$A$36&gt;35,N41+M42-V41,IF(A42&lt;'Données projet'!$A$36,$K$205^A42,IF(A42='Données projet'!$A$36,'Données projet'!$B$36,N41+M42-V41)))</f>
        <v>151.59857142857152</v>
      </c>
      <c r="O42" s="13">
        <f>N42*VLOOKUP('Données projet'!$B$9,Paramètres!$A$1:$I$89,3,0)*VLOOKUP('Données projet'!$B$9,Paramètres!$A$1:$I$89,5,0)</f>
        <v>137.16638742857151</v>
      </c>
      <c r="P42" s="13">
        <f t="shared" si="33"/>
        <v>35.647094153273272</v>
      </c>
      <c r="Q42" s="20">
        <f t="shared" si="53"/>
        <v>300.98348042171295</v>
      </c>
      <c r="R42" s="59">
        <f t="shared" si="0"/>
        <v>594.31681375504627</v>
      </c>
      <c r="S42" s="59">
        <f ca="1">AVERAGE(OFFSET($R$3,0,0,'Données projet'!$E$9+1,1))-AVERAGE(OFFSET($H$3,0,0,'Données projet'!$E$9+1,1))</f>
        <v>581.88778927327667</v>
      </c>
      <c r="T42" s="59">
        <f t="shared" si="34"/>
        <v>269.67340993773422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7</v>
      </c>
      <c r="AI42" s="13">
        <f>IF('Données projet'!$A$62&gt;35,AI41+AH42-AQ41,IF(A42&lt;'Données projet'!$A$62,$AF$205^A42,IF(A42='Données projet'!$A$62,'Données projet'!$B$62,AI41+AH42-AQ41)))</f>
        <v>159.99999999999997</v>
      </c>
      <c r="AJ42" s="13">
        <f>AI42*VLOOKUP('Données projet'!$B$10,Paramètres!$A$1:$I$89,3,0)*VLOOKUP('Données projet'!$B$10,Paramètres!$A$1:$I$89,5,0)</f>
        <v>104.83199999999998</v>
      </c>
      <c r="AK42" s="13">
        <f t="shared" si="35"/>
        <v>28.109974371137692</v>
      </c>
      <c r="AL42" s="20">
        <f t="shared" si="4"/>
        <v>231.54060536306474</v>
      </c>
      <c r="AM42" s="59">
        <f t="shared" si="5"/>
        <v>524.873938696398</v>
      </c>
      <c r="AN42" s="59">
        <f ca="1">AVERAGE(OFFSET($AM$3,0,0,'Données projet'!$E$10+1,1))-AVERAGE(OFFSET($H$3,0,0,'Données projet'!$E$10+1,1))</f>
        <v>230.58262378842818</v>
      </c>
      <c r="AO42" s="59">
        <f t="shared" si="36"/>
        <v>235.68746142880792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137.16638742857151</v>
      </c>
      <c r="BF42" s="13">
        <f t="shared" si="37"/>
        <v>35.647094153273272</v>
      </c>
      <c r="BG42" s="20">
        <f t="shared" si="7"/>
        <v>300.98348042171295</v>
      </c>
      <c r="BH42" s="59">
        <f t="shared" si="8"/>
        <v>594.31681375504627</v>
      </c>
      <c r="BI42" s="59">
        <f ca="1">AVERAGE(OFFSET($BH$3,0,0,'Données projet'!$E$11+1,1))-AVERAGE(OFFSET($H$3,0,0,'Données projet'!$E$11+1,1))</f>
        <v>581.88778927327667</v>
      </c>
      <c r="BJ42" s="59">
        <f t="shared" si="38"/>
        <v>269.67340993773422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144.26120057142867</v>
      </c>
      <c r="CA42" s="13">
        <f t="shared" si="39"/>
        <v>37.271476736893916</v>
      </c>
      <c r="CB42" s="20">
        <f t="shared" si="10"/>
        <v>316.16941297866185</v>
      </c>
      <c r="CC42" s="59">
        <f t="shared" si="11"/>
        <v>609.50274631199522</v>
      </c>
      <c r="CD42" s="59">
        <f ca="1">AVERAGE(OFFSET($CC$3,0,0,'Données projet'!$E$12+1,1))-AVERAGE(OFFSET($H$3,0,0,'Données projet'!$E$12+1,1))</f>
        <v>609.60019207204277</v>
      </c>
      <c r="CE42" s="59">
        <f t="shared" si="40"/>
        <v>281.42238288764503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4.8667500000000015</v>
      </c>
      <c r="CT42" s="12">
        <f>IF('Données projet'!$A$140&gt;35,CT41+CS42-DB41,IF(A42&lt;'Données projet'!$A$140,$CQ$205^A42,IF(A42='Données projet'!$A$140,'Données projet'!$B$140,CT41+CS42-DB41)))</f>
        <v>93.189249999999959</v>
      </c>
      <c r="CU42" s="17">
        <f>CT42*VLOOKUP('Données projet'!$B$13,Paramètres!$A$1:$I$89,3,0)*VLOOKUP('Données projet'!$B$13,Paramètres!$A$1:$I$89,5,0)</f>
        <v>74.14136729999997</v>
      </c>
      <c r="CV42" s="13">
        <f t="shared" si="41"/>
        <v>20.698439439416433</v>
      </c>
      <c r="CW42" s="20">
        <f t="shared" si="13"/>
        <v>165.17933007115022</v>
      </c>
      <c r="CX42" s="59">
        <f t="shared" si="14"/>
        <v>458.51266340448353</v>
      </c>
      <c r="CY42" s="59">
        <f ca="1">AVERAGE(OFFSET($CX$3,0,0,'Données projet'!$E$13+1,1))-AVERAGE(OFFSET($H$3,0,0,'Données projet'!$E$13+1,1))</f>
        <v>172.13940525084604</v>
      </c>
      <c r="CZ42" s="59">
        <f t="shared" si="42"/>
        <v>172.82328007157236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7.05</v>
      </c>
      <c r="DO42" s="12">
        <f>IF('Données projet'!$A$166&gt;35,DO41+DN42-DW41,IF(A42&lt;'Données projet'!$A$166,$DL$205^A42,IF(A42='Données projet'!$A$166,'Données projet'!$B$166,DO41+DN42-DW41)))</f>
        <v>188.7000000000001</v>
      </c>
      <c r="DP42" s="17">
        <f>DO42*VLOOKUP('Données projet'!$B$14,Paramètres!$A$1:$I$89,3,0)*VLOOKUP('Données projet'!$B$14,Paramètres!$A$1:$I$89,5,0)</f>
        <v>138.35484000000008</v>
      </c>
      <c r="DQ42" s="13">
        <f t="shared" si="43"/>
        <v>35.919863550332231</v>
      </c>
      <c r="DR42" s="20">
        <f t="shared" si="16"/>
        <v>303.52844201682876</v>
      </c>
      <c r="DS42" s="59">
        <f t="shared" si="17"/>
        <v>596.86177535016213</v>
      </c>
      <c r="DT42" s="59">
        <f ca="1">AVERAGE(OFFSET($DS$3,0,0,'Données projet'!$E$14+1,1))-AVERAGE(OFFSET($H$3,0,0,'Données projet'!$E$14+1,1))</f>
        <v>197.34725966440715</v>
      </c>
      <c r="DU42" s="59">
        <f t="shared" si="44"/>
        <v>240.16326570529532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13.36977156579349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13.36977156579349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11.142857142857142</v>
      </c>
      <c r="EJ42" s="12">
        <f>IF('Données projet'!$A$192&gt;35,EJ41+EI42-ER41,IF(A42&lt;'Données projet'!$A$192,$EG$205^A42,IF(A42='Données projet'!$A$192,'Données projet'!$B$192,EJ41+EI42-ER41)))</f>
        <v>174.28571428571422</v>
      </c>
      <c r="EK42" s="17">
        <f>EJ42*VLOOKUP('Données projet'!$B$15,Paramètres!$A$1:$I$89,3,0)*VLOOKUP('Données projet'!$B$15,Paramètres!$A$1:$I$89,5,0)</f>
        <v>135.94285714285709</v>
      </c>
      <c r="EL42" s="13">
        <f t="shared" si="45"/>
        <v>35.365986273808367</v>
      </c>
      <c r="EM42" s="20">
        <f t="shared" si="19"/>
        <v>298.36290228402567</v>
      </c>
      <c r="EN42" s="59">
        <f t="shared" si="20"/>
        <v>591.69623561735898</v>
      </c>
      <c r="EO42" s="59">
        <f ca="1">AVERAGE(OFFSET($EN$3,0,0,'Données projet'!$E$15+1,1))-AVERAGE(OFFSET($H$3,0,0,'Données projet'!$E$15+1,1))</f>
        <v>288.82868507674738</v>
      </c>
      <c r="EP42" s="59">
        <f t="shared" si="46"/>
        <v>283.48738729114024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14.533013567090189</v>
      </c>
      <c r="EW42" s="21">
        <f>EXP(-LN(2)/25)*EW41+(1-EXP(-LN(2)/25))/(LN(2)/25)*Calculateur!ER42*Calculateur!ET42*VLOOKUP('Données projet'!$B$15,Paramètres!$A$1:$I$89,3,0)*0.475*44/12</f>
        <v>11.038336924491801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25.571350491581988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3.887142857142857</v>
      </c>
      <c r="N43" s="13">
        <f>IF('Données projet'!$A$36&gt;35,N42+M43-V42,IF(A43&lt;'Données projet'!$A$36,$K$205^A43,IF(A43='Données projet'!$A$36,'Données projet'!$B$36,N42+M43-V42)))</f>
        <v>155.48571428571438</v>
      </c>
      <c r="O43" s="13">
        <f>N43*VLOOKUP('Données projet'!$B$9,Paramètres!$A$1:$I$89,3,0)*VLOOKUP('Données projet'!$B$9,Paramètres!$A$1:$I$89,5,0)</f>
        <v>140.68347428571437</v>
      </c>
      <c r="P43" s="13">
        <f t="shared" si="33"/>
        <v>36.453535449340755</v>
      </c>
      <c r="Q43" s="20">
        <f t="shared" si="53"/>
        <v>308.51362528855435</v>
      </c>
      <c r="R43" s="59">
        <f t="shared" si="0"/>
        <v>601.84695862188767</v>
      </c>
      <c r="S43" s="59">
        <f ca="1">AVERAGE(OFFSET($R$3,0,0,'Données projet'!$E$9+1,1))-AVERAGE(OFFSET($H$3,0,0,'Données projet'!$E$9+1,1))</f>
        <v>581.88778927327667</v>
      </c>
      <c r="T43" s="59">
        <f t="shared" si="34"/>
        <v>269.67340993773422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167</v>
      </c>
      <c r="AG43" s="12">
        <f>VLOOKUP(A43,'Données projet'!$A$61:$I$81,9,0)</f>
        <v>7</v>
      </c>
      <c r="AH43" s="12">
        <f t="array" ref="AH43">INDEX(AG:AG,MIN(IF(ISNUMBER(AG43:AG239),ROW(AG43:AG239),"")))</f>
        <v>7</v>
      </c>
      <c r="AI43" s="13">
        <f>IF('Données projet'!$A$62&gt;35,AI42+AH43-AQ42,IF(A43&lt;'Données projet'!$A$62,$AF$205^A43,IF(A43='Données projet'!$A$62,'Données projet'!$B$62,AI42+AH43-AQ42)))</f>
        <v>166.99999999999997</v>
      </c>
      <c r="AJ43" s="13">
        <f>AI43*VLOOKUP('Données projet'!$B$10,Paramètres!$A$1:$I$89,3,0)*VLOOKUP('Données projet'!$B$10,Paramètres!$A$1:$I$89,5,0)</f>
        <v>109.41839999999998</v>
      </c>
      <c r="AK43" s="13">
        <f t="shared" si="35"/>
        <v>29.193912826430967</v>
      </c>
      <c r="AL43" s="20">
        <f t="shared" si="4"/>
        <v>241.41644483936719</v>
      </c>
      <c r="AM43" s="59">
        <f t="shared" si="5"/>
        <v>534.74977817270053</v>
      </c>
      <c r="AN43" s="59">
        <f ca="1">AVERAGE(OFFSET($AM$3,0,0,'Données projet'!$E$10+1,1))-AVERAGE(OFFSET($H$3,0,0,'Données projet'!$E$10+1,1))</f>
        <v>230.58262378842818</v>
      </c>
      <c r="AO43" s="59">
        <f t="shared" si="36"/>
        <v>235.68746142880792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22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140.68347428571437</v>
      </c>
      <c r="BF43" s="13">
        <f t="shared" si="37"/>
        <v>36.453535449340755</v>
      </c>
      <c r="BG43" s="20">
        <f t="shared" si="7"/>
        <v>308.51362528855435</v>
      </c>
      <c r="BH43" s="59">
        <f t="shared" si="8"/>
        <v>601.84695862188767</v>
      </c>
      <c r="BI43" s="59">
        <f ca="1">AVERAGE(OFFSET($BH$3,0,0,'Données projet'!$E$11+1,1))-AVERAGE(OFFSET($H$3,0,0,'Données projet'!$E$11+1,1))</f>
        <v>581.88778927327667</v>
      </c>
      <c r="BJ43" s="59">
        <f t="shared" si="38"/>
        <v>269.67340993773422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147.96020571428582</v>
      </c>
      <c r="CA43" s="13">
        <f t="shared" si="39"/>
        <v>38.11466630732037</v>
      </c>
      <c r="CB43" s="20">
        <f t="shared" si="10"/>
        <v>324.08040210429743</v>
      </c>
      <c r="CC43" s="59">
        <f t="shared" si="11"/>
        <v>617.41373543763075</v>
      </c>
      <c r="CD43" s="59">
        <f ca="1">AVERAGE(OFFSET($CC$3,0,0,'Données projet'!$E$12+1,1))-AVERAGE(OFFSET($H$3,0,0,'Données projet'!$E$12+1,1))</f>
        <v>609.60019207204277</v>
      </c>
      <c r="CE43" s="59">
        <f t="shared" si="40"/>
        <v>281.42238288764503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98.055999999999997</v>
      </c>
      <c r="CR43" s="12">
        <f>VLOOKUP(A43,'Données projet'!$A$139:$I$159,9,0)</f>
        <v>4.8667500000000015</v>
      </c>
      <c r="CS43" s="12">
        <f t="array" ref="CS43">INDEX(CR:CR,MIN(IF(ISNUMBER(CR43:CR239),ROW(CR43:CR239),"")))</f>
        <v>4.8667500000000015</v>
      </c>
      <c r="CT43" s="12">
        <f>IF('Données projet'!$A$140&gt;35,CT42+CS43-DB42,IF(A43&lt;'Données projet'!$A$140,$CQ$205^A43,IF(A43='Données projet'!$A$140,'Données projet'!$B$140,CT42+CS43-DB42)))</f>
        <v>98.055999999999955</v>
      </c>
      <c r="CU43" s="17">
        <f>CT43*VLOOKUP('Données projet'!$B$13,Paramètres!$A$1:$I$89,3,0)*VLOOKUP('Données projet'!$B$13,Paramètres!$A$1:$I$89,5,0)</f>
        <v>78.013353599999959</v>
      </c>
      <c r="CV43" s="13">
        <f t="shared" si="41"/>
        <v>21.65073014095999</v>
      </c>
      <c r="CW43" s="20">
        <f t="shared" si="13"/>
        <v>173.58161251550527</v>
      </c>
      <c r="CX43" s="59">
        <f t="shared" si="14"/>
        <v>466.91494584883856</v>
      </c>
      <c r="CY43" s="59">
        <f ca="1">AVERAGE(OFFSET($CX$3,0,0,'Données projet'!$E$13+1,1))-AVERAGE(OFFSET($H$3,0,0,'Données projet'!$E$13+1,1))</f>
        <v>172.13940525084604</v>
      </c>
      <c r="CZ43" s="59">
        <f t="shared" si="42"/>
        <v>172.82328007157236</v>
      </c>
      <c r="DA43" s="15">
        <f>IF(ISNA(VLOOKUP(A43,'Données projet'!$A$139:$I$159,3,0)),0,VLOOKUP(A43,'Données projet'!$A$139:$I$159,3,0))</f>
        <v>7</v>
      </c>
      <c r="DB43" s="15">
        <f>IF(ISNA(VLOOKUP(A43,'Données projet'!$A$139:$I$159,4,0)),0,VLOOKUP(A43,'Données projet'!$A$139:$I$159,4,0))</f>
        <v>15.141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7.05</v>
      </c>
      <c r="DO43" s="12">
        <f>IF('Données projet'!$A$166&gt;35,DO42+DN43-DW42,IF(A43&lt;'Données projet'!$A$166,$DL$205^A43,IF(A43='Données projet'!$A$166,'Données projet'!$B$166,DO42+DN43-DW42)))</f>
        <v>195.75000000000011</v>
      </c>
      <c r="DP43" s="17">
        <f>DO43*VLOOKUP('Données projet'!$B$14,Paramètres!$A$1:$I$89,3,0)*VLOOKUP('Données projet'!$B$14,Paramètres!$A$1:$I$89,5,0)</f>
        <v>143.52390000000008</v>
      </c>
      <c r="DQ43" s="13">
        <f t="shared" si="43"/>
        <v>37.103109825509989</v>
      </c>
      <c r="DR43" s="20">
        <f t="shared" si="16"/>
        <v>314.59204211276341</v>
      </c>
      <c r="DS43" s="59">
        <f t="shared" si="17"/>
        <v>607.92537544609672</v>
      </c>
      <c r="DT43" s="59">
        <f ca="1">AVERAGE(OFFSET($DS$3,0,0,'Données projet'!$E$14+1,1))-AVERAGE(OFFSET($H$3,0,0,'Données projet'!$E$14+1,1))</f>
        <v>197.34725966440715</v>
      </c>
      <c r="DU43" s="59">
        <f t="shared" si="44"/>
        <v>240.16326570529532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13.004174459241138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13.004174459241138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11.142857142857142</v>
      </c>
      <c r="EJ43" s="12">
        <f>IF('Données projet'!$A$192&gt;35,EJ42+EI43-ER42,IF(A43&lt;'Données projet'!$A$192,$EG$205^A43,IF(A43='Données projet'!$A$192,'Données projet'!$B$192,EJ42+EI43-ER42)))</f>
        <v>185.42857142857136</v>
      </c>
      <c r="EK43" s="17">
        <f>EJ43*VLOOKUP('Données projet'!$B$15,Paramètres!$A$1:$I$89,3,0)*VLOOKUP('Données projet'!$B$15,Paramètres!$A$1:$I$89,5,0)</f>
        <v>144.63428571428565</v>
      </c>
      <c r="EL43" s="13">
        <f t="shared" si="45"/>
        <v>37.356634728420524</v>
      </c>
      <c r="EM43" s="20">
        <f t="shared" si="19"/>
        <v>316.96751977104657</v>
      </c>
      <c r="EN43" s="59">
        <f t="shared" si="20"/>
        <v>610.30085310437994</v>
      </c>
      <c r="EO43" s="59">
        <f ca="1">AVERAGE(OFFSET($EN$3,0,0,'Données projet'!$E$15+1,1))-AVERAGE(OFFSET($H$3,0,0,'Données projet'!$E$15+1,1))</f>
        <v>288.82868507674738</v>
      </c>
      <c r="EP43" s="59">
        <f t="shared" si="46"/>
        <v>283.48738729114024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14.248030035302552</v>
      </c>
      <c r="EW43" s="21">
        <f>EXP(-LN(2)/25)*EW42+(1-EXP(-LN(2)/25))/(LN(2)/25)*Calculateur!ER43*Calculateur!ET43*VLOOKUP('Données projet'!$B$15,Paramètres!$A$1:$I$89,3,0)*0.475*44/12</f>
        <v>10.736493020810663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24.984523056113215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3.887142857142857</v>
      </c>
      <c r="N44" s="13">
        <f>IF('Données projet'!$A$36&gt;35,N43+M44-V43,IF(A44&lt;'Données projet'!$A$36,$K$205^A44,IF(A44='Données projet'!$A$36,'Données projet'!$B$36,N43+M44-V43)))</f>
        <v>159.37285714285724</v>
      </c>
      <c r="O44" s="13">
        <f>N44*VLOOKUP('Données projet'!$B$9,Paramètres!$A$1:$I$89,3,0)*VLOOKUP('Données projet'!$B$9,Paramètres!$A$1:$I$89,5,0)</f>
        <v>144.20056114285723</v>
      </c>
      <c r="P44" s="13">
        <f t="shared" si="33"/>
        <v>37.257633154444321</v>
      </c>
      <c r="Q44" s="20">
        <f t="shared" si="53"/>
        <v>316.03968840113345</v>
      </c>
      <c r="R44" s="59">
        <f t="shared" si="0"/>
        <v>609.37302173446676</v>
      </c>
      <c r="S44" s="59">
        <f ca="1">AVERAGE(OFFSET($R$3,0,0,'Données projet'!$E$9+1,1))-AVERAGE(OFFSET($H$3,0,0,'Données projet'!$E$9+1,1))</f>
        <v>581.88778927327667</v>
      </c>
      <c r="T44" s="59">
        <f t="shared" si="34"/>
        <v>269.67340993773422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6.4</v>
      </c>
      <c r="AI44" s="13">
        <f>IF('Données projet'!$A$62&gt;35,AI43+AH44-AQ43,IF(A44&lt;'Données projet'!$A$62,$AF$205^A44,IF(A44='Données projet'!$A$62,'Données projet'!$B$62,AI43+AH44-AQ43)))</f>
        <v>151.39999999999998</v>
      </c>
      <c r="AJ44" s="13">
        <f>AI44*VLOOKUP('Données projet'!$B$10,Paramètres!$A$1:$I$89,3,0)*VLOOKUP('Données projet'!$B$10,Paramètres!$A$1:$I$89,5,0)</f>
        <v>99.197279999999978</v>
      </c>
      <c r="AK44" s="13">
        <f t="shared" si="35"/>
        <v>26.770670966897111</v>
      </c>
      <c r="AL44" s="20">
        <f t="shared" si="4"/>
        <v>219.39418126734574</v>
      </c>
      <c r="AM44" s="59">
        <f t="shared" si="5"/>
        <v>512.72751460067911</v>
      </c>
      <c r="AN44" s="59">
        <f ca="1">AVERAGE(OFFSET($AM$3,0,0,'Données projet'!$E$10+1,1))-AVERAGE(OFFSET($H$3,0,0,'Données projet'!$E$10+1,1))</f>
        <v>230.58262378842818</v>
      </c>
      <c r="AO44" s="59">
        <f t="shared" si="36"/>
        <v>235.68746142880792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144.20056114285723</v>
      </c>
      <c r="BF44" s="13">
        <f t="shared" si="37"/>
        <v>37.257633154444321</v>
      </c>
      <c r="BG44" s="20">
        <f t="shared" si="7"/>
        <v>316.03968840113345</v>
      </c>
      <c r="BH44" s="59">
        <f t="shared" si="8"/>
        <v>609.37302173446676</v>
      </c>
      <c r="BI44" s="59">
        <f ca="1">AVERAGE(OFFSET($BH$3,0,0,'Données projet'!$E$11+1,1))-AVERAGE(OFFSET($H$3,0,0,'Données projet'!$E$11+1,1))</f>
        <v>581.88778927327667</v>
      </c>
      <c r="BJ44" s="59">
        <f t="shared" si="38"/>
        <v>269.67340993773422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151.65921085714294</v>
      </c>
      <c r="CA44" s="13">
        <f t="shared" si="39"/>
        <v>38.955405492991275</v>
      </c>
      <c r="CB44" s="20">
        <f t="shared" si="10"/>
        <v>331.98712347648376</v>
      </c>
      <c r="CC44" s="59">
        <f t="shared" si="11"/>
        <v>625.32045680981707</v>
      </c>
      <c r="CD44" s="59">
        <f ca="1">AVERAGE(OFFSET($CC$3,0,0,'Données projet'!$E$12+1,1))-AVERAGE(OFFSET($H$3,0,0,'Données projet'!$E$12+1,1))</f>
        <v>609.60019207204277</v>
      </c>
      <c r="CE44" s="59">
        <f t="shared" si="40"/>
        <v>281.42238288764503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4.2178500000000012</v>
      </c>
      <c r="CT44" s="12">
        <f>IF('Données projet'!$A$140&gt;35,CT43+CS44-DB43,IF(A44&lt;'Données projet'!$A$140,$CQ$205^A44,IF(A44='Données projet'!$A$140,'Données projet'!$B$140,CT43+CS44-DB43)))</f>
        <v>87.132849999999948</v>
      </c>
      <c r="CU44" s="17">
        <f>CT44*VLOOKUP('Données projet'!$B$13,Paramètres!$A$1:$I$89,3,0)*VLOOKUP('Données projet'!$B$13,Paramètres!$A$1:$I$89,5,0)</f>
        <v>69.322895459999955</v>
      </c>
      <c r="CV44" s="13">
        <f t="shared" si="41"/>
        <v>19.505213645633464</v>
      </c>
      <c r="CW44" s="20">
        <f t="shared" si="13"/>
        <v>154.70895669231155</v>
      </c>
      <c r="CX44" s="59">
        <f t="shared" si="14"/>
        <v>448.04229002564489</v>
      </c>
      <c r="CY44" s="59">
        <f ca="1">AVERAGE(OFFSET($CX$3,0,0,'Données projet'!$E$13+1,1))-AVERAGE(OFFSET($H$3,0,0,'Données projet'!$E$13+1,1))</f>
        <v>172.13940525084604</v>
      </c>
      <c r="CZ44" s="59">
        <f t="shared" si="42"/>
        <v>172.82328007157236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7.05</v>
      </c>
      <c r="DO44" s="12">
        <f>IF('Données projet'!$A$166&gt;35,DO43+DN44-DW43,IF(A44&lt;'Données projet'!$A$166,$DL$205^A44,IF(A44='Données projet'!$A$166,'Données projet'!$B$166,DO43+DN44-DW43)))</f>
        <v>202.80000000000013</v>
      </c>
      <c r="DP44" s="17">
        <f>DO44*VLOOKUP('Données projet'!$B$14,Paramètres!$A$1:$I$89,3,0)*VLOOKUP('Données projet'!$B$14,Paramètres!$A$1:$I$89,5,0)</f>
        <v>148.69296000000008</v>
      </c>
      <c r="DQ44" s="13">
        <f t="shared" si="43"/>
        <v>38.281404966971365</v>
      </c>
      <c r="DR44" s="20">
        <f t="shared" si="16"/>
        <v>325.64701898414194</v>
      </c>
      <c r="DS44" s="59">
        <f t="shared" si="17"/>
        <v>618.98035231747531</v>
      </c>
      <c r="DT44" s="59">
        <f ca="1">AVERAGE(OFFSET($DS$3,0,0,'Données projet'!$E$14+1,1))-AVERAGE(OFFSET($H$3,0,0,'Données projet'!$E$14+1,1))</f>
        <v>197.34725966440715</v>
      </c>
      <c r="DU44" s="59">
        <f t="shared" si="44"/>
        <v>240.16326570529532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12.648574624793376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12.648574624793376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11.142857142857142</v>
      </c>
      <c r="EJ44" s="12">
        <f>IF('Données projet'!$A$192&gt;35,EJ43+EI44-ER43,IF(A44&lt;'Données projet'!$A$192,$EG$205^A44,IF(A44='Données projet'!$A$192,'Données projet'!$B$192,EJ43+EI44-ER43)))</f>
        <v>196.5714285714285</v>
      </c>
      <c r="EK44" s="17">
        <f>EJ44*VLOOKUP('Données projet'!$B$15,Paramètres!$A$1:$I$89,3,0)*VLOOKUP('Données projet'!$B$15,Paramètres!$A$1:$I$89,5,0)</f>
        <v>153.32571428571424</v>
      </c>
      <c r="EL44" s="13">
        <f t="shared" si="45"/>
        <v>39.333398837614155</v>
      </c>
      <c r="EM44" s="20">
        <f t="shared" si="19"/>
        <v>335.5479553564636</v>
      </c>
      <c r="EN44" s="59">
        <f t="shared" si="20"/>
        <v>628.88128868979697</v>
      </c>
      <c r="EO44" s="59">
        <f ca="1">AVERAGE(OFFSET($EN$3,0,0,'Données projet'!$E$15+1,1))-AVERAGE(OFFSET($H$3,0,0,'Données projet'!$E$15+1,1))</f>
        <v>288.82868507674738</v>
      </c>
      <c r="EP44" s="59">
        <f t="shared" si="46"/>
        <v>283.48738729114024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13.96863485675048</v>
      </c>
      <c r="EW44" s="21">
        <f>EXP(-LN(2)/25)*EW43+(1-EXP(-LN(2)/25))/(LN(2)/25)*Calculateur!ER44*Calculateur!ET44*VLOOKUP('Données projet'!$B$15,Paramètres!$A$1:$I$89,3,0)*0.475*44/12</f>
        <v>10.442903054548966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24.411537911299448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163.26</v>
      </c>
      <c r="L45" s="12">
        <f>VLOOKUP(A45,'Données projet'!$A$35:$I$55,9,0)</f>
        <v>3.887142857142857</v>
      </c>
      <c r="M45" s="12">
        <f t="array" ref="M45">INDEX(L:L,MIN(IF(ISNUMBER(L45:L241),ROW(L45:L241),"")))</f>
        <v>3.887142857142857</v>
      </c>
      <c r="N45" s="13">
        <f>IF('Données projet'!$A$36&gt;35,N44+M45-V44,IF(A45&lt;'Données projet'!$A$36,$K$205^A45,IF(A45='Données projet'!$A$36,'Données projet'!$B$36,N44+M45-V44)))</f>
        <v>163.2600000000001</v>
      </c>
      <c r="O45" s="13">
        <f>N45*VLOOKUP('Données projet'!$B$9,Paramètres!$A$1:$I$89,3,0)*VLOOKUP('Données projet'!$B$9,Paramètres!$A$1:$I$89,5,0)</f>
        <v>147.71764800000008</v>
      </c>
      <c r="P45" s="13">
        <f t="shared" si="33"/>
        <v>38.059451005131997</v>
      </c>
      <c r="Q45" s="20">
        <f t="shared" si="53"/>
        <v>323.56178076727167</v>
      </c>
      <c r="R45" s="59">
        <f t="shared" si="0"/>
        <v>616.89511410060504</v>
      </c>
      <c r="S45" s="59">
        <f ca="1">AVERAGE(OFFSET($R$3,0,0,'Données projet'!$E$9+1,1))-AVERAGE(OFFSET($H$3,0,0,'Données projet'!$E$9+1,1))</f>
        <v>581.88778927327667</v>
      </c>
      <c r="T45" s="59">
        <f t="shared" si="34"/>
        <v>269.67340993773422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43.21</v>
      </c>
      <c r="W45" s="16">
        <f>IF(ISNA(VLOOKUP(A45,'Données projet'!$A$35:$I$55,5,0)),0%,VLOOKUP(A45,'Données projet'!$A$35:$I$55,5,0)*VLOOKUP('Données projet'!$B$9,Paramètres!$A$1:$I$89,7,0))</f>
        <v>0.129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5.575369807727423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5.575369807727423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6.4</v>
      </c>
      <c r="AI45" s="13">
        <f>IF('Données projet'!$A$62&gt;35,AI44+AH45-AQ44,IF(A45&lt;'Données projet'!$A$62,$AF$205^A45,IF(A45='Données projet'!$A$62,'Données projet'!$B$62,AI44+AH45-AQ44)))</f>
        <v>157.79999999999998</v>
      </c>
      <c r="AJ45" s="13">
        <f>AI45*VLOOKUP('Données projet'!$B$10,Paramètres!$A$1:$I$89,3,0)*VLOOKUP('Données projet'!$B$10,Paramètres!$A$1:$I$89,5,0)</f>
        <v>103.39055999999999</v>
      </c>
      <c r="AK45" s="13">
        <f t="shared" si="35"/>
        <v>27.768177525719913</v>
      </c>
      <c r="AL45" s="20">
        <f t="shared" si="4"/>
        <v>228.43480119062883</v>
      </c>
      <c r="AM45" s="59">
        <f t="shared" si="5"/>
        <v>521.76813452396209</v>
      </c>
      <c r="AN45" s="59">
        <f ca="1">AVERAGE(OFFSET($AM$3,0,0,'Données projet'!$E$10+1,1))-AVERAGE(OFFSET($H$3,0,0,'Données projet'!$E$10+1,1))</f>
        <v>230.58262378842818</v>
      </c>
      <c r="AO45" s="59">
        <f t="shared" si="36"/>
        <v>235.68746142880792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147.71764800000008</v>
      </c>
      <c r="BF45" s="13">
        <f t="shared" si="37"/>
        <v>38.059451005131997</v>
      </c>
      <c r="BG45" s="20">
        <f t="shared" si="7"/>
        <v>323.56178076727167</v>
      </c>
      <c r="BH45" s="59">
        <f t="shared" si="8"/>
        <v>616.89511410060504</v>
      </c>
      <c r="BI45" s="59">
        <f ca="1">AVERAGE(OFFSET($BH$3,0,0,'Données projet'!$E$11+1,1))-AVERAGE(OFFSET($H$3,0,0,'Données projet'!$E$11+1,1))</f>
        <v>581.88778927327667</v>
      </c>
      <c r="BJ45" s="59">
        <f t="shared" si="38"/>
        <v>269.67340993773422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5.575369807727423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5.575369807727423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155.35821600000008</v>
      </c>
      <c r="CA45" s="13">
        <f t="shared" si="39"/>
        <v>39.793760934829947</v>
      </c>
      <c r="CB45" s="20">
        <f t="shared" si="10"/>
        <v>339.88969316149564</v>
      </c>
      <c r="CC45" s="59">
        <f t="shared" si="11"/>
        <v>633.2230264948289</v>
      </c>
      <c r="CD45" s="59">
        <f ca="1">AVERAGE(OFFSET($CC$3,0,0,'Données projet'!$E$12+1,1))-AVERAGE(OFFSET($H$3,0,0,'Données projet'!$E$12+1,1))</f>
        <v>609.60019207204277</v>
      </c>
      <c r="CE45" s="59">
        <f t="shared" si="40"/>
        <v>281.42238288764503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5.8637510046788428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5.8637510046788428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4.2178500000000012</v>
      </c>
      <c r="CT45" s="12">
        <f>IF('Données projet'!$A$140&gt;35,CT44+CS45-DB44,IF(A45&lt;'Données projet'!$A$140,$CQ$205^A45,IF(A45='Données projet'!$A$140,'Données projet'!$B$140,CT44+CS45-DB44)))</f>
        <v>91.350699999999946</v>
      </c>
      <c r="CU45" s="17">
        <f>CT45*VLOOKUP('Données projet'!$B$13,Paramètres!$A$1:$I$89,3,0)*VLOOKUP('Données projet'!$B$13,Paramètres!$A$1:$I$89,5,0)</f>
        <v>72.678616919999968</v>
      </c>
      <c r="CV45" s="13">
        <f t="shared" si="41"/>
        <v>20.337191795986875</v>
      </c>
      <c r="CW45" s="20">
        <f t="shared" si="13"/>
        <v>162.00253351367709</v>
      </c>
      <c r="CX45" s="59">
        <f t="shared" si="14"/>
        <v>455.33586684701038</v>
      </c>
      <c r="CY45" s="59">
        <f ca="1">AVERAGE(OFFSET($CX$3,0,0,'Données projet'!$E$13+1,1))-AVERAGE(OFFSET($H$3,0,0,'Données projet'!$E$13+1,1))</f>
        <v>172.13940525084604</v>
      </c>
      <c r="CZ45" s="59">
        <f t="shared" si="42"/>
        <v>172.82328007157236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7.05</v>
      </c>
      <c r="DO45" s="12">
        <f>IF('Données projet'!$A$166&gt;35,DO44+DN45-DW44,IF(A45&lt;'Données projet'!$A$166,$DL$205^A45,IF(A45='Données projet'!$A$166,'Données projet'!$B$166,DO44+DN45-DW44)))</f>
        <v>209.85000000000014</v>
      </c>
      <c r="DP45" s="17">
        <f>DO45*VLOOKUP('Données projet'!$B$14,Paramètres!$A$1:$I$89,3,0)*VLOOKUP('Données projet'!$B$14,Paramètres!$A$1:$I$89,5,0)</f>
        <v>153.86202000000011</v>
      </c>
      <c r="DQ45" s="13">
        <f t="shared" si="43"/>
        <v>39.454940817339221</v>
      </c>
      <c r="DR45" s="20">
        <f t="shared" si="16"/>
        <v>336.69370675686599</v>
      </c>
      <c r="DS45" s="59">
        <f t="shared" si="17"/>
        <v>630.02704009019931</v>
      </c>
      <c r="DT45" s="59">
        <f ca="1">AVERAGE(OFFSET($DS$3,0,0,'Données projet'!$E$14+1,1))-AVERAGE(OFFSET($H$3,0,0,'Données projet'!$E$14+1,1))</f>
        <v>197.34725966440715</v>
      </c>
      <c r="DU45" s="59">
        <f t="shared" si="44"/>
        <v>240.16326570529532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12.30269868651877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12.30269868651877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11.142857142857142</v>
      </c>
      <c r="EJ45" s="12">
        <f>IF('Données projet'!$A$192&gt;35,EJ44+EI45-ER44,IF(A45&lt;'Données projet'!$A$192,$EG$205^A45,IF(A45='Données projet'!$A$192,'Données projet'!$B$192,EJ44+EI45-ER44)))</f>
        <v>207.71428571428564</v>
      </c>
      <c r="EK45" s="17">
        <f>EJ45*VLOOKUP('Données projet'!$B$15,Paramètres!$A$1:$I$89,3,0)*VLOOKUP('Données projet'!$B$15,Paramètres!$A$1:$I$89,5,0)</f>
        <v>162.0171428571428</v>
      </c>
      <c r="EL45" s="13">
        <f t="shared" si="45"/>
        <v>41.29715533509664</v>
      </c>
      <c r="EM45" s="20">
        <f t="shared" si="19"/>
        <v>354.10573601815037</v>
      </c>
      <c r="EN45" s="59">
        <f t="shared" si="20"/>
        <v>647.43906935148368</v>
      </c>
      <c r="EO45" s="59">
        <f ca="1">AVERAGE(OFFSET($EN$3,0,0,'Données projet'!$E$15+1,1))-AVERAGE(OFFSET($H$3,0,0,'Données projet'!$E$15+1,1))</f>
        <v>288.82868507674738</v>
      </c>
      <c r="EP45" s="59">
        <f t="shared" si="46"/>
        <v>283.48738729114024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13.694718447235584</v>
      </c>
      <c r="EW45" s="21">
        <f>EXP(-LN(2)/25)*EW44+(1-EXP(-LN(2)/25))/(LN(2)/25)*Calculateur!ER45*Calculateur!ET45*VLOOKUP('Données projet'!$B$15,Paramètres!$A$1:$I$89,3,0)*0.475*44/12</f>
        <v>10.15734132135392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23.852059768589505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9.3712500000000034</v>
      </c>
      <c r="N46" s="13">
        <f>IF('Données projet'!$A$36&gt;35,N45+M46-V45,IF(A46&lt;'Données projet'!$A$36,$K$205^A46,IF(A46='Données projet'!$A$36,'Données projet'!$B$36,N45+M46-V45)))</f>
        <v>129.4212500000001</v>
      </c>
      <c r="O46" s="13">
        <f>N46*VLOOKUP('Données projet'!$B$9,Paramètres!$A$1:$I$89,3,0)*VLOOKUP('Données projet'!$B$9,Paramètres!$A$1:$I$89,5,0)</f>
        <v>117.10034700000008</v>
      </c>
      <c r="P46" s="13">
        <f t="shared" si="33"/>
        <v>30.997743089027207</v>
      </c>
      <c r="Q46" s="20">
        <f t="shared" si="53"/>
        <v>257.93750690505584</v>
      </c>
      <c r="R46" s="59">
        <f t="shared" si="0"/>
        <v>551.27084023838916</v>
      </c>
      <c r="S46" s="59">
        <f ca="1">AVERAGE(OFFSET($R$3,0,0,'Données projet'!$E$9+1,1))-AVERAGE(OFFSET($H$3,0,0,'Données projet'!$E$9+1,1))</f>
        <v>581.88778927327667</v>
      </c>
      <c r="T46" s="59">
        <f t="shared" si="34"/>
        <v>269.67340993773422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5.4660402064376861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5.4660402064376861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6.4</v>
      </c>
      <c r="AI46" s="13">
        <f>IF('Données projet'!$A$62&gt;35,AI45+AH46-AQ45,IF(A46&lt;'Données projet'!$A$62,$AF$205^A46,IF(A46='Données projet'!$A$62,'Données projet'!$B$62,AI45+AH46-AQ45)))</f>
        <v>164.2</v>
      </c>
      <c r="AJ46" s="13">
        <f>AI46*VLOOKUP('Données projet'!$B$10,Paramètres!$A$1:$I$89,3,0)*VLOOKUP('Données projet'!$B$10,Paramètres!$A$1:$I$89,5,0)</f>
        <v>107.58384</v>
      </c>
      <c r="AK46" s="13">
        <f t="shared" si="35"/>
        <v>28.760984680893039</v>
      </c>
      <c r="AL46" s="20">
        <f t="shared" si="4"/>
        <v>237.46723631922202</v>
      </c>
      <c r="AM46" s="59">
        <f t="shared" si="5"/>
        <v>530.8005696525554</v>
      </c>
      <c r="AN46" s="59">
        <f ca="1">AVERAGE(OFFSET($AM$3,0,0,'Données projet'!$E$10+1,1))-AVERAGE(OFFSET($H$3,0,0,'Données projet'!$E$10+1,1))</f>
        <v>230.58262378842818</v>
      </c>
      <c r="AO46" s="59">
        <f t="shared" si="36"/>
        <v>235.68746142880792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117.10034700000008</v>
      </c>
      <c r="BF46" s="13">
        <f t="shared" si="37"/>
        <v>30.997743089027207</v>
      </c>
      <c r="BG46" s="20">
        <f t="shared" si="7"/>
        <v>257.93750690505584</v>
      </c>
      <c r="BH46" s="59">
        <f t="shared" si="8"/>
        <v>551.27084023838916</v>
      </c>
      <c r="BI46" s="59">
        <f ca="1">AVERAGE(OFFSET($BH$3,0,0,'Données projet'!$E$11+1,1))-AVERAGE(OFFSET($H$3,0,0,'Données projet'!$E$11+1,1))</f>
        <v>581.88778927327667</v>
      </c>
      <c r="BJ46" s="59">
        <f t="shared" si="38"/>
        <v>269.67340993773422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5.4660402064376861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5.4660402064376861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123.15726150000009</v>
      </c>
      <c r="CA46" s="13">
        <f t="shared" si="39"/>
        <v>32.410261982961771</v>
      </c>
      <c r="CB46" s="20">
        <f t="shared" si="10"/>
        <v>270.94677006615854</v>
      </c>
      <c r="CC46" s="59">
        <f t="shared" si="11"/>
        <v>564.28010339949185</v>
      </c>
      <c r="CD46" s="59">
        <f ca="1">AVERAGE(OFFSET($CC$3,0,0,'Données projet'!$E$12+1,1))-AVERAGE(OFFSET($H$3,0,0,'Données projet'!$E$12+1,1))</f>
        <v>609.60019207204277</v>
      </c>
      <c r="CE46" s="59">
        <f t="shared" si="40"/>
        <v>281.42238288764503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5.7487664240120502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5.7487664240120502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4.2178500000000012</v>
      </c>
      <c r="CT46" s="12">
        <f>IF('Données projet'!$A$140&gt;35,CT45+CS46-DB45,IF(A46&lt;'Données projet'!$A$140,$CQ$205^A46,IF(A46='Données projet'!$A$140,'Données projet'!$B$140,CT45+CS46-DB45)))</f>
        <v>95.568549999999945</v>
      </c>
      <c r="CU46" s="17">
        <f>CT46*VLOOKUP('Données projet'!$B$13,Paramètres!$A$1:$I$89,3,0)*VLOOKUP('Données projet'!$B$13,Paramètres!$A$1:$I$89,5,0)</f>
        <v>76.034338379999966</v>
      </c>
      <c r="CV46" s="13">
        <f t="shared" si="41"/>
        <v>21.16470886030292</v>
      </c>
      <c r="CW46" s="20">
        <f t="shared" si="13"/>
        <v>169.28834061019418</v>
      </c>
      <c r="CX46" s="59">
        <f t="shared" si="14"/>
        <v>462.62167394352753</v>
      </c>
      <c r="CY46" s="59">
        <f ca="1">AVERAGE(OFFSET($CX$3,0,0,'Données projet'!$E$13+1,1))-AVERAGE(OFFSET($H$3,0,0,'Données projet'!$E$13+1,1))</f>
        <v>172.13940525084604</v>
      </c>
      <c r="CZ46" s="59">
        <f t="shared" si="42"/>
        <v>172.82328007157236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7.05</v>
      </c>
      <c r="DO46" s="12">
        <f>IF('Données projet'!$A$166&gt;35,DO45+DN46-DW45,IF(A46&lt;'Données projet'!$A$166,$DL$205^A46,IF(A46='Données projet'!$A$166,'Données projet'!$B$166,DO45+DN46-DW45)))</f>
        <v>216.90000000000015</v>
      </c>
      <c r="DP46" s="17">
        <f>DO46*VLOOKUP('Données projet'!$B$14,Paramètres!$A$1:$I$89,3,0)*VLOOKUP('Données projet'!$B$14,Paramètres!$A$1:$I$89,5,0)</f>
        <v>159.03108000000012</v>
      </c>
      <c r="DQ46" s="13">
        <f t="shared" si="43"/>
        <v>40.623895597807319</v>
      </c>
      <c r="DR46" s="20">
        <f t="shared" si="16"/>
        <v>347.73241583284789</v>
      </c>
      <c r="DS46" s="59">
        <f t="shared" si="17"/>
        <v>641.06574916618115</v>
      </c>
      <c r="DT46" s="59">
        <f ca="1">AVERAGE(OFFSET($DS$3,0,0,'Données projet'!$E$14+1,1))-AVERAGE(OFFSET($H$3,0,0,'Données projet'!$E$14+1,1))</f>
        <v>197.34725966440715</v>
      </c>
      <c r="DU46" s="59">
        <f t="shared" si="44"/>
        <v>240.16326570529532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11.966280743965109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11.966280743965109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11.142857142857142</v>
      </c>
      <c r="EJ46" s="12">
        <f>IF('Données projet'!$A$192&gt;35,EJ45+EI46-ER45,IF(A46&lt;'Données projet'!$A$192,$EG$205^A46,IF(A46='Données projet'!$A$192,'Données projet'!$B$192,EJ45+EI46-ER45)))</f>
        <v>218.85714285714278</v>
      </c>
      <c r="EK46" s="17">
        <f>EJ46*VLOOKUP('Données projet'!$B$15,Paramètres!$A$1:$I$89,3,0)*VLOOKUP('Données projet'!$B$15,Paramètres!$A$1:$I$89,5,0)</f>
        <v>170.70857142857136</v>
      </c>
      <c r="EL46" s="13">
        <f t="shared" si="45"/>
        <v>43.248681576985376</v>
      </c>
      <c r="EM46" s="20">
        <f t="shared" si="19"/>
        <v>372.64221565134466</v>
      </c>
      <c r="EN46" s="59">
        <f t="shared" si="20"/>
        <v>665.97554898467797</v>
      </c>
      <c r="EO46" s="59">
        <f ca="1">AVERAGE(OFFSET($EN$3,0,0,'Données projet'!$E$15+1,1))-AVERAGE(OFFSET($H$3,0,0,'Données projet'!$E$15+1,1))</f>
        <v>288.82868507674738</v>
      </c>
      <c r="EP46" s="59">
        <f t="shared" si="46"/>
        <v>283.48738729114024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13.426173371438761</v>
      </c>
      <c r="EW46" s="21">
        <f>EXP(-LN(2)/25)*EW45+(1-EXP(-LN(2)/25))/(LN(2)/25)*Calculateur!ER46*Calculateur!ET46*VLOOKUP('Données projet'!$B$15,Paramètres!$A$1:$I$89,3,0)*0.475*44/12</f>
        <v>9.8795882887701314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23.305761660208894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9.3712500000000034</v>
      </c>
      <c r="N47" s="13">
        <f>IF('Données projet'!$A$36&gt;35,N46+M47-V46,IF(A47&lt;'Données projet'!$A$36,$K$205^A47,IF(A47='Données projet'!$A$36,'Données projet'!$B$36,N46+M47-V46)))</f>
        <v>138.7925000000001</v>
      </c>
      <c r="O47" s="13">
        <f>N47*VLOOKUP('Données projet'!$B$9,Paramètres!$A$1:$I$89,3,0)*VLOOKUP('Données projet'!$B$9,Paramètres!$A$1:$I$89,5,0)</f>
        <v>125.5794540000001</v>
      </c>
      <c r="P47" s="13">
        <f t="shared" si="33"/>
        <v>32.97285338000448</v>
      </c>
      <c r="Q47" s="20">
        <f t="shared" si="53"/>
        <v>276.14526868684135</v>
      </c>
      <c r="R47" s="59">
        <f t="shared" si="0"/>
        <v>569.47860202017466</v>
      </c>
      <c r="S47" s="59">
        <f ca="1">AVERAGE(OFFSET($R$3,0,0,'Données projet'!$E$9+1,1))-AVERAGE(OFFSET($H$3,0,0,'Données projet'!$E$9+1,1))</f>
        <v>581.88778927327667</v>
      </c>
      <c r="T47" s="59">
        <f t="shared" si="34"/>
        <v>269.67340993773422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5.3588544919447685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5.3588544919447685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6.4</v>
      </c>
      <c r="AI47" s="13">
        <f>IF('Données projet'!$A$62&gt;35,AI46+AH47-AQ46,IF(A47&lt;'Données projet'!$A$62,$AF$205^A47,IF(A47='Données projet'!$A$62,'Données projet'!$B$62,AI46+AH47-AQ46)))</f>
        <v>170.6</v>
      </c>
      <c r="AJ47" s="13">
        <f>AI47*VLOOKUP('Données projet'!$B$10,Paramètres!$A$1:$I$89,3,0)*VLOOKUP('Données projet'!$B$10,Paramètres!$A$1:$I$89,5,0)</f>
        <v>111.77712000000001</v>
      </c>
      <c r="AK47" s="13">
        <f t="shared" si="35"/>
        <v>29.749296563258223</v>
      </c>
      <c r="AL47" s="20">
        <f t="shared" si="4"/>
        <v>246.49184218100808</v>
      </c>
      <c r="AM47" s="59">
        <f t="shared" si="5"/>
        <v>539.82517551434137</v>
      </c>
      <c r="AN47" s="59">
        <f ca="1">AVERAGE(OFFSET($AM$3,0,0,'Données projet'!$E$10+1,1))-AVERAGE(OFFSET($H$3,0,0,'Données projet'!$E$10+1,1))</f>
        <v>230.58262378842818</v>
      </c>
      <c r="AO47" s="59">
        <f t="shared" si="36"/>
        <v>235.68746142880792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125.5794540000001</v>
      </c>
      <c r="BF47" s="13">
        <f t="shared" si="37"/>
        <v>32.97285338000448</v>
      </c>
      <c r="BG47" s="20">
        <f t="shared" si="7"/>
        <v>276.14526868684135</v>
      </c>
      <c r="BH47" s="59">
        <f t="shared" si="8"/>
        <v>569.47860202017466</v>
      </c>
      <c r="BI47" s="59">
        <f ca="1">AVERAGE(OFFSET($BH$3,0,0,'Données projet'!$E$11+1,1))-AVERAGE(OFFSET($H$3,0,0,'Données projet'!$E$11+1,1))</f>
        <v>581.88778927327667</v>
      </c>
      <c r="BJ47" s="59">
        <f t="shared" si="38"/>
        <v>269.67340993773422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5.3588544919447685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5.3588544919447685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132.0749430000001</v>
      </c>
      <c r="CA47" s="13">
        <f t="shared" si="39"/>
        <v>34.475374974961412</v>
      </c>
      <c r="CB47" s="20">
        <f t="shared" si="10"/>
        <v>290.07513713972457</v>
      </c>
      <c r="CC47" s="59">
        <f t="shared" si="11"/>
        <v>583.40847047305783</v>
      </c>
      <c r="CD47" s="59">
        <f ca="1">AVERAGE(OFFSET($CC$3,0,0,'Données projet'!$E$12+1,1))-AVERAGE(OFFSET($H$3,0,0,'Données projet'!$E$12+1,1))</f>
        <v>609.60019207204277</v>
      </c>
      <c r="CE47" s="59">
        <f t="shared" si="40"/>
        <v>281.42238288764503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5.636036620838464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5.636036620838464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4.2178500000000012</v>
      </c>
      <c r="CT47" s="12">
        <f>IF('Données projet'!$A$140&gt;35,CT46+CS47-DB46,IF(A47&lt;'Données projet'!$A$140,$CQ$205^A47,IF(A47='Données projet'!$A$140,'Données projet'!$B$140,CT46+CS47-DB46)))</f>
        <v>99.786399999999944</v>
      </c>
      <c r="CU47" s="17">
        <f>CT47*VLOOKUP('Données projet'!$B$13,Paramètres!$A$1:$I$89,3,0)*VLOOKUP('Données projet'!$B$13,Paramètres!$A$1:$I$89,5,0)</f>
        <v>79.390059839999964</v>
      </c>
      <c r="CV47" s="13">
        <f t="shared" si="41"/>
        <v>21.987984224884418</v>
      </c>
      <c r="CW47" s="20">
        <f t="shared" si="13"/>
        <v>176.56676007967363</v>
      </c>
      <c r="CX47" s="59">
        <f t="shared" si="14"/>
        <v>469.90009341300697</v>
      </c>
      <c r="CY47" s="59">
        <f ca="1">AVERAGE(OFFSET($CX$3,0,0,'Données projet'!$E$13+1,1))-AVERAGE(OFFSET($H$3,0,0,'Données projet'!$E$13+1,1))</f>
        <v>172.13940525084604</v>
      </c>
      <c r="CZ47" s="59">
        <f t="shared" si="42"/>
        <v>172.82328007157236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7.05</v>
      </c>
      <c r="DO47" s="12">
        <f>IF('Données projet'!$A$166&gt;35,DO46+DN47-DW46,IF(A47&lt;'Données projet'!$A$166,$DL$205^A47,IF(A47='Données projet'!$A$166,'Données projet'!$B$166,DO46+DN47-DW46)))</f>
        <v>223.95000000000016</v>
      </c>
      <c r="DP47" s="17">
        <f>DO47*VLOOKUP('Données projet'!$B$14,Paramètres!$A$1:$I$89,3,0)*VLOOKUP('Données projet'!$B$14,Paramètres!$A$1:$I$89,5,0)</f>
        <v>164.20014000000012</v>
      </c>
      <c r="DQ47" s="13">
        <f t="shared" si="43"/>
        <v>41.788435286289889</v>
      </c>
      <c r="DR47" s="20">
        <f t="shared" si="16"/>
        <v>358.76343529028844</v>
      </c>
      <c r="DS47" s="59">
        <f t="shared" si="17"/>
        <v>652.09676862362176</v>
      </c>
      <c r="DT47" s="59">
        <f ca="1">AVERAGE(OFFSET($DS$3,0,0,'Données projet'!$E$14+1,1))-AVERAGE(OFFSET($H$3,0,0,'Données projet'!$E$14+1,1))</f>
        <v>197.34725966440715</v>
      </c>
      <c r="DU47" s="59">
        <f t="shared" si="44"/>
        <v>240.16326570529532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11.639062167742029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11.639062167742029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>
        <f>VLOOKUP(A47,'Données projet'!$A$191:$I$211,2,0)</f>
        <v>230</v>
      </c>
      <c r="EH47" s="12">
        <f>VLOOKUP(A47,'Données projet'!$A$191:$I$211,9,0)</f>
        <v>11.142857142857142</v>
      </c>
      <c r="EI47" s="12">
        <f t="array" ref="EI47">INDEX(EH:EH,MIN(IF(ISNUMBER(EH47:EH243),ROW(EH47:EH243),"")))</f>
        <v>11.142857142857142</v>
      </c>
      <c r="EJ47" s="12">
        <f>IF('Données projet'!$A$192&gt;35,EJ46+EI47-ER46,IF(A47&lt;'Données projet'!$A$192,$EG$205^A47,IF(A47='Données projet'!$A$192,'Données projet'!$B$192,EJ46+EI47-ER46)))</f>
        <v>229.99999999999991</v>
      </c>
      <c r="EK47" s="17">
        <f>EJ47*VLOOKUP('Données projet'!$B$15,Paramètres!$A$1:$I$89,3,0)*VLOOKUP('Données projet'!$B$15,Paramètres!$A$1:$I$89,5,0)</f>
        <v>179.39999999999995</v>
      </c>
      <c r="EL47" s="13">
        <f t="shared" si="45"/>
        <v>45.188671291872232</v>
      </c>
      <c r="EM47" s="20">
        <f t="shared" si="19"/>
        <v>391.15860250001066</v>
      </c>
      <c r="EN47" s="59">
        <f t="shared" si="20"/>
        <v>684.49193583334397</v>
      </c>
      <c r="EO47" s="59">
        <f ca="1">AVERAGE(OFFSET($EN$3,0,0,'Données projet'!$E$15+1,1))-AVERAGE(OFFSET($H$3,0,0,'Données projet'!$E$15+1,1))</f>
        <v>288.82868507674738</v>
      </c>
      <c r="EP47" s="59">
        <f t="shared" si="46"/>
        <v>283.48738729114024</v>
      </c>
      <c r="EQ47" s="15">
        <f>IF(ISNA(VLOOKUP(A47,'Données projet'!$A$191:$I$211,3,0)),0,VLOOKUP(A47,'Données projet'!$A$191:$I$211,3,0))</f>
        <v>6</v>
      </c>
      <c r="ER47" s="15">
        <f>IF(ISNA(VLOOKUP(A47,'Données projet'!$A$191:$I$211,4,0)),0,VLOOKUP(A47,'Données projet'!$A$191:$I$211,4,0))</f>
        <v>43</v>
      </c>
      <c r="ES47" s="16">
        <f>IF(ISNA(VLOOKUP(A47,'Données projet'!$A$191:$I$211,5,0)),0%,VLOOKUP(A47,'Données projet'!$A$191:$I$211,5,0)*VLOOKUP('Données projet'!$B$15,Paramètres!$A$1:$I$89,7,0))</f>
        <v>0.25800000000000001</v>
      </c>
      <c r="ET47" s="16">
        <f>IF(ISNA(VLOOKUP(A47,'Données projet'!$A$191:$I$211,6,0)),0%,VLOOKUP(A47,'Données projet'!$A$191:$I$211,6,0)*VLOOKUP('Données projet'!$B$15,Paramètres!$A$1:$I$89,7,0))</f>
        <v>0.129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22.728883245402059</v>
      </c>
      <c r="EW47" s="21">
        <f>EXP(-LN(2)/25)*EW46+(1-EXP(-LN(2)/25))/(LN(2)/25)*Calculateur!ER47*Calculateur!ET47*VLOOKUP('Données projet'!$B$15,Paramètres!$A$1:$I$89,3,0)*0.475*44/12</f>
        <v>14.373592428077522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37.102475673479582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9.3712500000000034</v>
      </c>
      <c r="N48" s="13">
        <f>IF('Données projet'!$A$36&gt;35,N47+M48-V47,IF(A48&lt;'Données projet'!$A$36,$K$205^A48,IF(A48='Données projet'!$A$36,'Données projet'!$B$36,N47+M48-V47)))</f>
        <v>148.16375000000011</v>
      </c>
      <c r="O48" s="13">
        <f>N48*VLOOKUP('Données projet'!$B$9,Paramètres!$A$1:$I$89,3,0)*VLOOKUP('Données projet'!$B$9,Paramètres!$A$1:$I$89,5,0)</f>
        <v>134.05856100000008</v>
      </c>
      <c r="P48" s="13">
        <f t="shared" si="33"/>
        <v>34.932489097291651</v>
      </c>
      <c r="Q48" s="20">
        <f t="shared" si="53"/>
        <v>294.3260789194498</v>
      </c>
      <c r="R48" s="59">
        <f t="shared" si="0"/>
        <v>587.65941225278311</v>
      </c>
      <c r="S48" s="59">
        <f ca="1">AVERAGE(OFFSET($R$3,0,0,'Données projet'!$E$9+1,1))-AVERAGE(OFFSET($H$3,0,0,'Données projet'!$E$9+1,1))</f>
        <v>581.88778927327667</v>
      </c>
      <c r="T48" s="59">
        <f t="shared" si="34"/>
        <v>269.67340993773422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5.2537706239362265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5.2537706239362265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177</v>
      </c>
      <c r="AG48" s="12">
        <f>VLOOKUP(A48,'Données projet'!$A$61:$I$81,9,0)</f>
        <v>6.4</v>
      </c>
      <c r="AH48" s="12">
        <f t="array" ref="AH48">INDEX(AG:AG,MIN(IF(ISNUMBER(AG48:AG244),ROW(AG48:AG244),"")))</f>
        <v>6.4</v>
      </c>
      <c r="AI48" s="13">
        <f>IF('Données projet'!$A$62&gt;35,AI47+AH48-AQ47,IF(A48&lt;'Données projet'!$A$62,$AF$205^A48,IF(A48='Données projet'!$A$62,'Données projet'!$B$62,AI47+AH48-AQ47)))</f>
        <v>177</v>
      </c>
      <c r="AJ48" s="13">
        <f>AI48*VLOOKUP('Données projet'!$B$10,Paramètres!$A$1:$I$89,3,0)*VLOOKUP('Données projet'!$B$10,Paramètres!$A$1:$I$89,5,0)</f>
        <v>115.97040000000001</v>
      </c>
      <c r="AK48" s="13">
        <f t="shared" si="35"/>
        <v>30.733301120222794</v>
      </c>
      <c r="AL48" s="20">
        <f t="shared" si="4"/>
        <v>255.50894611772139</v>
      </c>
      <c r="AM48" s="59">
        <f t="shared" si="5"/>
        <v>548.84227945105476</v>
      </c>
      <c r="AN48" s="59">
        <f ca="1">AVERAGE(OFFSET($AM$3,0,0,'Données projet'!$E$10+1,1))-AVERAGE(OFFSET($H$3,0,0,'Données projet'!$E$10+1,1))</f>
        <v>230.58262378842818</v>
      </c>
      <c r="AO48" s="59">
        <f t="shared" si="36"/>
        <v>235.68746142880792</v>
      </c>
      <c r="AP48" s="15">
        <f>IF(ISNA(VLOOKUP(A48,'Données projet'!$A$61:$I$81,3,0)),0,VLOOKUP(A48,'Données projet'!$A$61:$I$81,3,0))</f>
        <v>8</v>
      </c>
      <c r="AQ48" s="15">
        <f>IF(ISNA(VLOOKUP(A48,'Données projet'!$A$61:$I$81,4,0)),0,VLOOKUP(A48,'Données projet'!$A$61:$I$81,4,0))</f>
        <v>22</v>
      </c>
      <c r="AR48" s="16">
        <f>IF(ISNA(VLOOKUP(A48,'Données projet'!$A$61:$I$81,5,0)),0%,VLOOKUP(A48,'Données projet'!$A$61:$I$81,5,0)*VLOOKUP('Données projet'!$B$10,Paramètres!$A$1:$I$89,7,0))</f>
        <v>0.129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2.0555752987974283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2.0555752987974283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134.05856100000008</v>
      </c>
      <c r="BF48" s="13">
        <f t="shared" si="37"/>
        <v>34.932489097291651</v>
      </c>
      <c r="BG48" s="20">
        <f t="shared" si="7"/>
        <v>294.3260789194498</v>
      </c>
      <c r="BH48" s="59">
        <f t="shared" si="8"/>
        <v>587.65941225278311</v>
      </c>
      <c r="BI48" s="59">
        <f ca="1">AVERAGE(OFFSET($BH$3,0,0,'Données projet'!$E$11+1,1))-AVERAGE(OFFSET($H$3,0,0,'Données projet'!$E$11+1,1))</f>
        <v>581.88778927327667</v>
      </c>
      <c r="BJ48" s="59">
        <f t="shared" si="38"/>
        <v>269.67340993773422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5.2537706239362265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5.2537706239362265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140.99262450000012</v>
      </c>
      <c r="CA48" s="13">
        <f t="shared" si="39"/>
        <v>36.524308241039392</v>
      </c>
      <c r="CB48" s="20">
        <f t="shared" si="10"/>
        <v>309.17532452397717</v>
      </c>
      <c r="CC48" s="59">
        <f t="shared" si="11"/>
        <v>602.50865785731048</v>
      </c>
      <c r="CD48" s="59">
        <f ca="1">AVERAGE(OFFSET($CC$3,0,0,'Données projet'!$E$12+1,1))-AVERAGE(OFFSET($H$3,0,0,'Données projet'!$E$12+1,1))</f>
        <v>609.60019207204277</v>
      </c>
      <c r="CE48" s="59">
        <f t="shared" si="40"/>
        <v>281.42238288764503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5.525517380346721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5.525517380346721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104.00425</v>
      </c>
      <c r="CR48" s="12">
        <f>VLOOKUP(A48,'Données projet'!$A$139:$I$159,9,0)</f>
        <v>4.2178500000000012</v>
      </c>
      <c r="CS48" s="12">
        <f t="array" ref="CS48">INDEX(CR:CR,MIN(IF(ISNUMBER(CR48:CR244),ROW(CR48:CR244),"")))</f>
        <v>4.2178500000000012</v>
      </c>
      <c r="CT48" s="12">
        <f>IF('Données projet'!$A$140&gt;35,CT47+CS48-DB47,IF(A48&lt;'Données projet'!$A$140,$CQ$205^A48,IF(A48='Données projet'!$A$140,'Données projet'!$B$140,CT47+CS48-DB47)))</f>
        <v>104.00424999999994</v>
      </c>
      <c r="CU48" s="17">
        <f>CT48*VLOOKUP('Données projet'!$B$13,Paramètres!$A$1:$I$89,3,0)*VLOOKUP('Données projet'!$B$13,Paramètres!$A$1:$I$89,5,0)</f>
        <v>82.745781299999962</v>
      </c>
      <c r="CV48" s="13">
        <f t="shared" si="41"/>
        <v>22.807217680537324</v>
      </c>
      <c r="CW48" s="20">
        <f t="shared" si="13"/>
        <v>183.83813989110243</v>
      </c>
      <c r="CX48" s="59">
        <f t="shared" si="14"/>
        <v>477.17147322443577</v>
      </c>
      <c r="CY48" s="59">
        <f ca="1">AVERAGE(OFFSET($CX$3,0,0,'Données projet'!$E$13+1,1))-AVERAGE(OFFSET($H$3,0,0,'Données projet'!$E$13+1,1))</f>
        <v>172.13940525084604</v>
      </c>
      <c r="CZ48" s="59">
        <f t="shared" si="42"/>
        <v>172.82328007157236</v>
      </c>
      <c r="DA48" s="15">
        <f>IF(ISNA(VLOOKUP(A48,'Données projet'!$A$139:$I$159,3,0)),0,VLOOKUP(A48,'Données projet'!$A$139:$I$159,3,0))</f>
        <v>8</v>
      </c>
      <c r="DB48" s="15">
        <f>IF(ISNA(VLOOKUP(A48,'Données projet'!$A$139:$I$159,4,0)),0,VLOOKUP(A48,'Données projet'!$A$139:$I$159,4,0))</f>
        <v>10.093999999999999</v>
      </c>
      <c r="DC48" s="16">
        <f>IF(ISNA(VLOOKUP(A48,'Données projet'!$A$139:$I$159,5,0)),0%,VLOOKUP(A48,'Données projet'!$A$139:$I$159,5,0)*VLOOKUP('Données projet'!$B$13,Paramètres!$A$1:$I$89,7,0))</f>
        <v>0.159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1.4115696418394126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1.4115696418394126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231</v>
      </c>
      <c r="DM48" s="12">
        <f>VLOOKUP(A48,'Données projet'!$A$165:$I$185,9,0)</f>
        <v>7.05</v>
      </c>
      <c r="DN48" s="12">
        <f t="array" ref="DN48">INDEX(DM:DM,MIN(IF(ISNUMBER(DM48:DM244),ROW(DM48:DM244),"")))</f>
        <v>7.05</v>
      </c>
      <c r="DO48" s="12">
        <f>IF('Données projet'!$A$166&gt;35,DO47+DN48-DW47,IF(A48&lt;'Données projet'!$A$166,$DL$205^A48,IF(A48='Données projet'!$A$166,'Données projet'!$B$166,DO47+DN48-DW47)))</f>
        <v>231.00000000000017</v>
      </c>
      <c r="DP48" s="17">
        <f>DO48*VLOOKUP('Données projet'!$B$14,Paramètres!$A$1:$I$89,3,0)*VLOOKUP('Données projet'!$B$14,Paramètres!$A$1:$I$89,5,0)</f>
        <v>169.36920000000012</v>
      </c>
      <c r="DQ48" s="13">
        <f t="shared" si="43"/>
        <v>42.948714817158709</v>
      </c>
      <c r="DR48" s="20">
        <f t="shared" si="16"/>
        <v>369.78703497321823</v>
      </c>
      <c r="DS48" s="59">
        <f t="shared" si="17"/>
        <v>663.12036830655154</v>
      </c>
      <c r="DT48" s="59">
        <f ca="1">AVERAGE(OFFSET($DS$3,0,0,'Données projet'!$E$14+1,1))-AVERAGE(OFFSET($H$3,0,0,'Données projet'!$E$14+1,1))</f>
        <v>197.34725966440715</v>
      </c>
      <c r="DU48" s="59">
        <f t="shared" si="44"/>
        <v>240.16326570529532</v>
      </c>
      <c r="DV48" s="15">
        <f>IF(ISNA(VLOOKUP(A48,'Données projet'!$A$165:$I$185,3,0)),0,VLOOKUP(A48,'Données projet'!$A$165:$I$185,3,0))</f>
        <v>4</v>
      </c>
      <c r="DW48" s="15">
        <f>IF(ISNA(VLOOKUP(A48,'Données projet'!$A$165:$I$185,4,0)),0,VLOOKUP(A48,'Données projet'!$A$165:$I$185,4,0))</f>
        <v>231</v>
      </c>
      <c r="DX48" s="16">
        <f>IF(ISNA(VLOOKUP(A48,'Données projet'!$A$165:$I$185,5,0)),0%,VLOOKUP(A48,'Données projet'!$A$165:$I$185,5,0)*VLOOKUP('Données projet'!$B$14,Paramètres!$A$1:$I$89,7,0))</f>
        <v>0.25800000000000001</v>
      </c>
      <c r="DY48" s="16">
        <f>IF(ISNA(VLOOKUP(A48,'Données projet'!$A$165:$I$185,6,0)),0%,VLOOKUP(A48,'Données projet'!$A$165:$I$185,6,0)*VLOOKUP('Données projet'!$B$14,Paramètres!$A$1:$I$89,7,0))</f>
        <v>0.129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48.306019521739564</v>
      </c>
      <c r="EB48" s="21">
        <f>EXP(-LN(2)/25)*EB47+(1-EXP(-LN(2)/25))/(LN(2)/25)*Calculateur!DW48*Calculateur!DY48*VLOOKUP('Données projet'!$B$14,Paramètres!$A$1:$I$89,3,0)*0.475*44/12</f>
        <v>35.378701559116458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83.684721080856022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10.375</v>
      </c>
      <c r="EJ48" s="12">
        <f>IF('Données projet'!$A$192&gt;35,EJ47+EI48-ER47,IF(A48&lt;'Données projet'!$A$192,$EG$205^A48,IF(A48='Données projet'!$A$192,'Données projet'!$B$192,EJ47+EI48-ER47)))</f>
        <v>197.37499999999991</v>
      </c>
      <c r="EK48" s="17">
        <f>EJ48*VLOOKUP('Données projet'!$B$15,Paramètres!$A$1:$I$89,3,0)*VLOOKUP('Données projet'!$B$15,Paramètres!$A$1:$I$89,5,0)</f>
        <v>153.95249999999993</v>
      </c>
      <c r="EL48" s="13">
        <f t="shared" si="45"/>
        <v>39.475441267837361</v>
      </c>
      <c r="EM48" s="20">
        <f t="shared" si="19"/>
        <v>336.88699770814992</v>
      </c>
      <c r="EN48" s="59">
        <f t="shared" si="20"/>
        <v>630.22033104148318</v>
      </c>
      <c r="EO48" s="59">
        <f ca="1">AVERAGE(OFFSET($EN$3,0,0,'Données projet'!$E$15+1,1))-AVERAGE(OFFSET($H$3,0,0,'Données projet'!$E$15+1,1))</f>
        <v>288.82868507674738</v>
      </c>
      <c r="EP48" s="59">
        <f t="shared" si="46"/>
        <v>283.48738729114024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22.283183708209624</v>
      </c>
      <c r="EW48" s="21">
        <f>EXP(-LN(2)/25)*EW47+(1-EXP(-LN(2)/25))/(LN(2)/25)*Calculateur!ER48*Calculateur!ET48*VLOOKUP('Données projet'!$B$15,Paramètres!$A$1:$I$89,3,0)*0.475*44/12</f>
        <v>13.980545787257368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36.26372949546699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9.3712500000000034</v>
      </c>
      <c r="N49" s="13">
        <f>IF('Données projet'!$A$36&gt;35,N48+M49-V48,IF(A49&lt;'Données projet'!$A$36,$K$205^A49,IF(A49='Données projet'!$A$36,'Données projet'!$B$36,N48+M49-V48)))</f>
        <v>157.53500000000011</v>
      </c>
      <c r="O49" s="13">
        <f>N49*VLOOKUP('Données projet'!$B$9,Paramètres!$A$1:$I$89,3,0)*VLOOKUP('Données projet'!$B$9,Paramètres!$A$1:$I$89,5,0)</f>
        <v>142.53766800000008</v>
      </c>
      <c r="P49" s="13">
        <f t="shared" si="33"/>
        <v>36.877740410345027</v>
      </c>
      <c r="Q49" s="20">
        <f t="shared" si="53"/>
        <v>312.48183631468436</v>
      </c>
      <c r="R49" s="59">
        <f t="shared" si="0"/>
        <v>605.81516964801767</v>
      </c>
      <c r="S49" s="59">
        <f ca="1">AVERAGE(OFFSET($R$3,0,0,'Données projet'!$E$9+1,1))-AVERAGE(OFFSET($H$3,0,0,'Données projet'!$E$9+1,1))</f>
        <v>581.88778927327667</v>
      </c>
      <c r="T49" s="59">
        <f t="shared" si="34"/>
        <v>269.67340993773422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5.1507473864845013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5.1507473864845013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5.8</v>
      </c>
      <c r="AI49" s="13">
        <f>IF('Données projet'!$A$62&gt;35,AI48+AH49-AQ48,IF(A49&lt;'Données projet'!$A$62,$AF$205^A49,IF(A49='Données projet'!$A$62,'Données projet'!$B$62,AI48+AH49-AQ48)))</f>
        <v>160.80000000000001</v>
      </c>
      <c r="AJ49" s="13">
        <f>AI49*VLOOKUP('Données projet'!$B$10,Paramètres!$A$1:$I$89,3,0)*VLOOKUP('Données projet'!$B$10,Paramètres!$A$1:$I$89,5,0)</f>
        <v>105.35616</v>
      </c>
      <c r="AK49" s="13">
        <f t="shared" si="35"/>
        <v>28.234128165723941</v>
      </c>
      <c r="AL49" s="20">
        <f t="shared" si="4"/>
        <v>232.66975188863583</v>
      </c>
      <c r="AM49" s="59">
        <f t="shared" si="5"/>
        <v>526.00308522196917</v>
      </c>
      <c r="AN49" s="59">
        <f ca="1">AVERAGE(OFFSET($AM$3,0,0,'Données projet'!$E$10+1,1))-AVERAGE(OFFSET($H$3,0,0,'Données projet'!$E$10+1,1))</f>
        <v>230.58262378842818</v>
      </c>
      <c r="AO49" s="59">
        <f t="shared" si="36"/>
        <v>235.68746142880792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2.0152667209651427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2.0152667209651427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142.53766800000008</v>
      </c>
      <c r="BF49" s="13">
        <f t="shared" si="37"/>
        <v>36.877740410345027</v>
      </c>
      <c r="BG49" s="20">
        <f t="shared" si="7"/>
        <v>312.48183631468436</v>
      </c>
      <c r="BH49" s="59">
        <f t="shared" si="8"/>
        <v>605.81516964801767</v>
      </c>
      <c r="BI49" s="59">
        <f ca="1">AVERAGE(OFFSET($BH$3,0,0,'Données projet'!$E$11+1,1))-AVERAGE(OFFSET($H$3,0,0,'Données projet'!$E$11+1,1))</f>
        <v>581.88778927327667</v>
      </c>
      <c r="BJ49" s="59">
        <f t="shared" si="38"/>
        <v>269.67340993773422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5.1507473864845013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5.1507473864845013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149.91030600000011</v>
      </c>
      <c r="CA49" s="13">
        <f t="shared" si="39"/>
        <v>38.558201627976892</v>
      </c>
      <c r="CB49" s="20">
        <f t="shared" si="10"/>
        <v>328.24931745205993</v>
      </c>
      <c r="CC49" s="59">
        <f t="shared" si="11"/>
        <v>621.5826507853933</v>
      </c>
      <c r="CD49" s="59">
        <f ca="1">AVERAGE(OFFSET($CC$3,0,0,'Données projet'!$E$12+1,1))-AVERAGE(OFFSET($H$3,0,0,'Données projet'!$E$12+1,1))</f>
        <v>609.60019207204277</v>
      </c>
      <c r="CE49" s="59">
        <f t="shared" si="40"/>
        <v>281.42238288764503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5.4171653547509413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5.4171653547509413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3.6410499999999986</v>
      </c>
      <c r="CT49" s="12">
        <f>IF('Données projet'!$A$140&gt;35,CT48+CS49-DB48,IF(A49&lt;'Données projet'!$A$140,$CQ$205^A49,IF(A49='Données projet'!$A$140,'Données projet'!$B$140,CT48+CS49-DB48)))</f>
        <v>97.551299999999941</v>
      </c>
      <c r="CU49" s="17">
        <f>CT49*VLOOKUP('Données projet'!$B$13,Paramètres!$A$1:$I$89,3,0)*VLOOKUP('Données projet'!$B$13,Paramètres!$A$1:$I$89,5,0)</f>
        <v>77.611814279999962</v>
      </c>
      <c r="CV49" s="13">
        <f t="shared" si="41"/>
        <v>21.552234340766535</v>
      </c>
      <c r="CW49" s="20">
        <f t="shared" si="13"/>
        <v>172.71071801450162</v>
      </c>
      <c r="CX49" s="59">
        <f t="shared" si="14"/>
        <v>466.04405134783497</v>
      </c>
      <c r="CY49" s="59">
        <f ca="1">AVERAGE(OFFSET($CX$3,0,0,'Données projet'!$E$13+1,1))-AVERAGE(OFFSET($H$3,0,0,'Données projet'!$E$13+1,1))</f>
        <v>172.13940525084604</v>
      </c>
      <c r="CZ49" s="59">
        <f t="shared" si="42"/>
        <v>172.82328007157236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1.3838896221354093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1.3838896221354093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1.7053025658242404E-13</v>
      </c>
      <c r="DP49" s="17">
        <f>DO49*VLOOKUP('Données projet'!$B$14,Paramètres!$A$1:$I$89,3,0)*VLOOKUP('Données projet'!$B$14,Paramètres!$A$1:$I$89,5,0)</f>
        <v>1.250327841262333E-13</v>
      </c>
      <c r="DQ49" s="13">
        <f t="shared" si="43"/>
        <v>1.8301318724634299E-12</v>
      </c>
      <c r="DR49" s="20">
        <f t="shared" si="16"/>
        <v>3.405245110226996E-12</v>
      </c>
      <c r="DS49" s="59">
        <f t="shared" si="17"/>
        <v>293.33333333333672</v>
      </c>
      <c r="DT49" s="59">
        <f ca="1">AVERAGE(OFFSET($DS$3,0,0,'Données projet'!$E$14+1,1))-AVERAGE(OFFSET($H$3,0,0,'Données projet'!$E$14+1,1))</f>
        <v>197.34725966440715</v>
      </c>
      <c r="DU49" s="59">
        <f t="shared" si="44"/>
        <v>240.16326570529532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47.358767942680856</v>
      </c>
      <c r="EB49" s="21">
        <f>EXP(-LN(2)/25)*EB48+(1-EXP(-LN(2)/25))/(LN(2)/25)*Calculateur!DW49*Calculateur!DY49*VLOOKUP('Données projet'!$B$14,Paramètres!$A$1:$I$89,3,0)*0.475*44/12</f>
        <v>34.411269104497364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81.770037047178221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10.375</v>
      </c>
      <c r="EJ49" s="12">
        <f>IF('Données projet'!$A$192&gt;35,EJ48+EI49-ER48,IF(A49&lt;'Données projet'!$A$192,$EG$205^A49,IF(A49='Données projet'!$A$192,'Données projet'!$B$192,EJ48+EI49-ER48)))</f>
        <v>207.74999999999991</v>
      </c>
      <c r="EK49" s="17">
        <f>EJ49*VLOOKUP('Données projet'!$B$15,Paramètres!$A$1:$I$89,3,0)*VLOOKUP('Données projet'!$B$15,Paramètres!$A$1:$I$89,5,0)</f>
        <v>162.04499999999993</v>
      </c>
      <c r="EL49" s="13">
        <f t="shared" si="45"/>
        <v>41.303429372463391</v>
      </c>
      <c r="EM49" s="20">
        <f t="shared" si="19"/>
        <v>354.16518115704025</v>
      </c>
      <c r="EN49" s="59">
        <f t="shared" si="20"/>
        <v>647.49851449037351</v>
      </c>
      <c r="EO49" s="59">
        <f ca="1">AVERAGE(OFFSET($EN$3,0,0,'Données projet'!$E$15+1,1))-AVERAGE(OFFSET($H$3,0,0,'Données projet'!$E$15+1,1))</f>
        <v>288.82868507674738</v>
      </c>
      <c r="EP49" s="59">
        <f t="shared" si="46"/>
        <v>283.48738729114024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21.846224067091654</v>
      </c>
      <c r="EW49" s="21">
        <f>EXP(-LN(2)/25)*EW48+(1-EXP(-LN(2)/25))/(LN(2)/25)*Calculateur!ER49*Calculateur!ET49*VLOOKUP('Données projet'!$B$15,Paramètres!$A$1:$I$89,3,0)*0.475*44/12</f>
        <v>13.598247027499866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35.44447109459152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9.3712500000000034</v>
      </c>
      <c r="N50" s="13">
        <f>IF('Données projet'!$A$36&gt;35,N49+M50-V49,IF(A50&lt;'Données projet'!$A$36,$K$205^A50,IF(A50='Données projet'!$A$36,'Données projet'!$B$36,N49+M50-V49)))</f>
        <v>166.90625000000011</v>
      </c>
      <c r="O50" s="13">
        <f>N50*VLOOKUP('Données projet'!$B$9,Paramètres!$A$1:$I$89,3,0)*VLOOKUP('Données projet'!$B$9,Paramètres!$A$1:$I$89,5,0)</f>
        <v>151.01677500000011</v>
      </c>
      <c r="P50" s="13">
        <f t="shared" si="33"/>
        <v>38.809560459830927</v>
      </c>
      <c r="Q50" s="20">
        <f t="shared" si="53"/>
        <v>330.61420092587235</v>
      </c>
      <c r="R50" s="59">
        <f t="shared" si="0"/>
        <v>623.94753425920567</v>
      </c>
      <c r="S50" s="59">
        <f ca="1">AVERAGE(OFFSET($R$3,0,0,'Données projet'!$E$9+1,1))-AVERAGE(OFFSET($H$3,0,0,'Données projet'!$E$9+1,1))</f>
        <v>581.88778927327667</v>
      </c>
      <c r="T50" s="59">
        <f t="shared" si="34"/>
        <v>269.67340993773422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5.0497443718812338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5.0497443718812338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5.8</v>
      </c>
      <c r="AI50" s="13">
        <f>IF('Données projet'!$A$62&gt;35,AI49+AH50-AQ49,IF(A50&lt;'Données projet'!$A$62,$AF$205^A50,IF(A50='Données projet'!$A$62,'Données projet'!$B$62,AI49+AH50-AQ49)))</f>
        <v>166.60000000000002</v>
      </c>
      <c r="AJ50" s="13">
        <f>AI50*VLOOKUP('Données projet'!$B$10,Paramètres!$A$1:$I$89,3,0)*VLOOKUP('Données projet'!$B$10,Paramètres!$A$1:$I$89,5,0)</f>
        <v>109.15632000000002</v>
      </c>
      <c r="AK50" s="13">
        <f t="shared" si="35"/>
        <v>29.13211799879036</v>
      </c>
      <c r="AL50" s="20">
        <f t="shared" si="4"/>
        <v>240.85236284789323</v>
      </c>
      <c r="AM50" s="59">
        <f t="shared" si="5"/>
        <v>534.1856961812266</v>
      </c>
      <c r="AN50" s="59">
        <f ca="1">AVERAGE(OFFSET($AM$3,0,0,'Données projet'!$E$10+1,1))-AVERAGE(OFFSET($H$3,0,0,'Données projet'!$E$10+1,1))</f>
        <v>230.58262378842818</v>
      </c>
      <c r="AO50" s="59">
        <f t="shared" si="36"/>
        <v>235.68746142880792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1.9757485697583435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1.9757485697583435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151.01677500000011</v>
      </c>
      <c r="BF50" s="13">
        <f t="shared" si="37"/>
        <v>38.809560459830927</v>
      </c>
      <c r="BG50" s="20">
        <f t="shared" si="7"/>
        <v>330.61420092587235</v>
      </c>
      <c r="BH50" s="59">
        <f t="shared" si="8"/>
        <v>623.94753425920567</v>
      </c>
      <c r="BI50" s="59">
        <f ca="1">AVERAGE(OFFSET($BH$3,0,0,'Données projet'!$E$11+1,1))-AVERAGE(OFFSET($H$3,0,0,'Données projet'!$E$11+1,1))</f>
        <v>581.88778927327667</v>
      </c>
      <c r="BJ50" s="59">
        <f t="shared" si="38"/>
        <v>269.67340993773422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5.0497443718812338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5.0497443718812338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158.82798750000009</v>
      </c>
      <c r="CA50" s="13">
        <f t="shared" si="39"/>
        <v>40.578051709576528</v>
      </c>
      <c r="CB50" s="20">
        <f t="shared" si="10"/>
        <v>347.29885162334591</v>
      </c>
      <c r="CC50" s="59">
        <f t="shared" si="11"/>
        <v>640.63218495667923</v>
      </c>
      <c r="CD50" s="59">
        <f ca="1">AVERAGE(OFFSET($CC$3,0,0,'Données projet'!$E$12+1,1))-AVERAGE(OFFSET($H$3,0,0,'Données projet'!$E$12+1,1))</f>
        <v>609.60019207204277</v>
      </c>
      <c r="CE50" s="59">
        <f t="shared" si="40"/>
        <v>281.42238288764503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5.3109380462888849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5.3109380462888849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3.6410499999999986</v>
      </c>
      <c r="CT50" s="12">
        <f>IF('Données projet'!$A$140&gt;35,CT49+CS50-DB49,IF(A50&lt;'Données projet'!$A$140,$CQ$205^A50,IF(A50='Données projet'!$A$140,'Données projet'!$B$140,CT49+CS50-DB49)))</f>
        <v>101.19234999999993</v>
      </c>
      <c r="CU50" s="17">
        <f>CT50*VLOOKUP('Données projet'!$B$13,Paramètres!$A$1:$I$89,3,0)*VLOOKUP('Données projet'!$B$13,Paramètres!$A$1:$I$89,5,0)</f>
        <v>80.508633659999958</v>
      </c>
      <c r="CV50" s="13">
        <f t="shared" si="41"/>
        <v>22.261501792903918</v>
      </c>
      <c r="CW50" s="20">
        <f t="shared" si="13"/>
        <v>178.99131924714092</v>
      </c>
      <c r="CX50" s="59">
        <f t="shared" si="14"/>
        <v>472.32465258047421</v>
      </c>
      <c r="CY50" s="59">
        <f ca="1">AVERAGE(OFFSET($CX$3,0,0,'Données projet'!$E$13+1,1))-AVERAGE(OFFSET($H$3,0,0,'Données projet'!$E$13+1,1))</f>
        <v>172.13940525084604</v>
      </c>
      <c r="CZ50" s="59">
        <f t="shared" si="42"/>
        <v>172.82328007157236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1.3567523907346566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1.3567523907346566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1.7053025658242404E-13</v>
      </c>
      <c r="DP50" s="17">
        <f>DO50*VLOOKUP('Données projet'!$B$14,Paramètres!$A$1:$I$89,3,0)*VLOOKUP('Données projet'!$B$14,Paramètres!$A$1:$I$89,5,0)</f>
        <v>1.250327841262333E-13</v>
      </c>
      <c r="DQ50" s="13">
        <f t="shared" si="43"/>
        <v>1.8301318724634299E-12</v>
      </c>
      <c r="DR50" s="20">
        <f t="shared" si="16"/>
        <v>3.405245110226996E-12</v>
      </c>
      <c r="DS50" s="59">
        <f t="shared" si="17"/>
        <v>293.33333333333672</v>
      </c>
      <c r="DT50" s="59">
        <f ca="1">AVERAGE(OFFSET($DS$3,0,0,'Données projet'!$E$14+1,1))-AVERAGE(OFFSET($H$3,0,0,'Données projet'!$E$14+1,1))</f>
        <v>197.34725966440715</v>
      </c>
      <c r="DU50" s="59">
        <f t="shared" si="44"/>
        <v>240.16326570529532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46.430091389321078</v>
      </c>
      <c r="EB50" s="21">
        <f>EXP(-LN(2)/25)*EB49+(1-EXP(-LN(2)/25))/(LN(2)/25)*Calculateur!DW50*Calculateur!DY50*VLOOKUP('Données projet'!$B$14,Paramètres!$A$1:$I$89,3,0)*0.475*44/12</f>
        <v>33.470291141224891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79.900382530545969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10.375</v>
      </c>
      <c r="EJ50" s="12">
        <f>IF('Données projet'!$A$192&gt;35,EJ49+EI50-ER49,IF(A50&lt;'Données projet'!$A$192,$EG$205^A50,IF(A50='Données projet'!$A$192,'Données projet'!$B$192,EJ49+EI50-ER49)))</f>
        <v>218.12499999999991</v>
      </c>
      <c r="EK50" s="17">
        <f>EJ50*VLOOKUP('Données projet'!$B$15,Paramètres!$A$1:$I$89,3,0)*VLOOKUP('Données projet'!$B$15,Paramètres!$A$1:$I$89,5,0)</f>
        <v>170.13749999999993</v>
      </c>
      <c r="EL50" s="13">
        <f t="shared" si="45"/>
        <v>43.120817562072375</v>
      </c>
      <c r="EM50" s="20">
        <f t="shared" si="19"/>
        <v>371.42490308727588</v>
      </c>
      <c r="EN50" s="59">
        <f t="shared" si="20"/>
        <v>664.75823642060914</v>
      </c>
      <c r="EO50" s="59">
        <f ca="1">AVERAGE(OFFSET($EN$3,0,0,'Données projet'!$E$15+1,1))-AVERAGE(OFFSET($H$3,0,0,'Données projet'!$E$15+1,1))</f>
        <v>288.82868507674738</v>
      </c>
      <c r="EP50" s="59">
        <f t="shared" si="46"/>
        <v>283.48738729114024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21.417832938016947</v>
      </c>
      <c r="EW50" s="21">
        <f>EXP(-LN(2)/25)*EW49+(1-EXP(-LN(2)/25))/(LN(2)/25)*Calculateur!ER50*Calculateur!ET50*VLOOKUP('Données projet'!$B$15,Paramètres!$A$1:$I$89,3,0)*0.475*44/12</f>
        <v>13.22640224743215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34.644235185449098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9.3712500000000034</v>
      </c>
      <c r="N51" s="13">
        <f>IF('Données projet'!$A$36&gt;35,N50+M51-V50,IF(A51&lt;'Données projet'!$A$36,$K$205^A51,IF(A51='Données projet'!$A$36,'Données projet'!$B$36,N50+M51-V50)))</f>
        <v>176.27750000000012</v>
      </c>
      <c r="O51" s="13">
        <f>N51*VLOOKUP('Données projet'!$B$9,Paramètres!$A$1:$I$89,3,0)*VLOOKUP('Données projet'!$B$9,Paramètres!$A$1:$I$89,5,0)</f>
        <v>159.49588200000008</v>
      </c>
      <c r="P51" s="13">
        <f t="shared" si="33"/>
        <v>40.728789309687656</v>
      </c>
      <c r="Q51" s="20">
        <f t="shared" si="53"/>
        <v>348.72463586437283</v>
      </c>
      <c r="R51" s="59">
        <f t="shared" si="0"/>
        <v>642.05796919770614</v>
      </c>
      <c r="S51" s="59">
        <f ca="1">AVERAGE(OFFSET($R$3,0,0,'Données projet'!$E$9+1,1))-AVERAGE(OFFSET($H$3,0,0,'Données projet'!$E$9+1,1))</f>
        <v>581.88778927327667</v>
      </c>
      <c r="T51" s="59">
        <f t="shared" si="34"/>
        <v>269.67340993773422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4.9507219647885812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4.9507219647885812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5.8</v>
      </c>
      <c r="AI51" s="13">
        <f>IF('Données projet'!$A$62&gt;35,AI50+AH51-AQ50,IF(A51&lt;'Données projet'!$A$62,$AF$205^A51,IF(A51='Données projet'!$A$62,'Données projet'!$B$62,AI50+AH51-AQ50)))</f>
        <v>172.40000000000003</v>
      </c>
      <c r="AJ51" s="13">
        <f>AI51*VLOOKUP('Données projet'!$B$10,Paramètres!$A$1:$I$89,3,0)*VLOOKUP('Données projet'!$B$10,Paramètres!$A$1:$I$89,5,0)</f>
        <v>112.95648000000003</v>
      </c>
      <c r="AK51" s="13">
        <f t="shared" si="35"/>
        <v>30.026475458997034</v>
      </c>
      <c r="AL51" s="20">
        <f t="shared" si="4"/>
        <v>249.02864742441989</v>
      </c>
      <c r="AM51" s="59">
        <f t="shared" si="5"/>
        <v>542.36198075775314</v>
      </c>
      <c r="AN51" s="59">
        <f ca="1">AVERAGE(OFFSET($AM$3,0,0,'Données projet'!$E$10+1,1))-AVERAGE(OFFSET($H$3,0,0,'Données projet'!$E$10+1,1))</f>
        <v>230.58262378842818</v>
      </c>
      <c r="AO51" s="59">
        <f t="shared" si="36"/>
        <v>235.68746142880792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1.9370053453930174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1.9370053453930174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159.49588200000008</v>
      </c>
      <c r="BF51" s="13">
        <f t="shared" si="37"/>
        <v>40.728789309687656</v>
      </c>
      <c r="BG51" s="20">
        <f t="shared" si="7"/>
        <v>348.72463586437283</v>
      </c>
      <c r="BH51" s="59">
        <f t="shared" si="8"/>
        <v>642.05796919770614</v>
      </c>
      <c r="BI51" s="59">
        <f ca="1">AVERAGE(OFFSET($BH$3,0,0,'Données projet'!$E$11+1,1))-AVERAGE(OFFSET($H$3,0,0,'Données projet'!$E$11+1,1))</f>
        <v>581.88778927327667</v>
      </c>
      <c r="BJ51" s="59">
        <f t="shared" si="38"/>
        <v>269.67340993773422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4.9507219647885812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4.9507219647885812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167.74566900000011</v>
      </c>
      <c r="CA51" s="13">
        <f t="shared" si="39"/>
        <v>42.584736830182422</v>
      </c>
      <c r="CB51" s="20">
        <f t="shared" si="10"/>
        <v>366.32545682090125</v>
      </c>
      <c r="CC51" s="59">
        <f t="shared" si="11"/>
        <v>659.65879015423457</v>
      </c>
      <c r="CD51" s="59">
        <f ca="1">AVERAGE(OFFSET($CC$3,0,0,'Données projet'!$E$12+1,1))-AVERAGE(OFFSET($H$3,0,0,'Données projet'!$E$12+1,1))</f>
        <v>609.60019207204277</v>
      </c>
      <c r="CE51" s="59">
        <f t="shared" si="40"/>
        <v>281.42238288764503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5.2067937905535082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5.2067937905535082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3.6410499999999986</v>
      </c>
      <c r="CT51" s="12">
        <f>IF('Données projet'!$A$140&gt;35,CT50+CS51-DB50,IF(A51&lt;'Données projet'!$A$140,$CQ$205^A51,IF(A51='Données projet'!$A$140,'Données projet'!$B$140,CT50+CS51-DB50)))</f>
        <v>104.83339999999993</v>
      </c>
      <c r="CU51" s="17">
        <f>CT51*VLOOKUP('Données projet'!$B$13,Paramètres!$A$1:$I$89,3,0)*VLOOKUP('Données projet'!$B$13,Paramètres!$A$1:$I$89,5,0)</f>
        <v>83.405453039999941</v>
      </c>
      <c r="CV51" s="13">
        <f t="shared" si="41"/>
        <v>22.9678041963883</v>
      </c>
      <c r="CW51" s="20">
        <f t="shared" si="13"/>
        <v>185.26675635337617</v>
      </c>
      <c r="CX51" s="59">
        <f t="shared" si="14"/>
        <v>478.60008968670945</v>
      </c>
      <c r="CY51" s="59">
        <f ca="1">AVERAGE(OFFSET($CX$3,0,0,'Données projet'!$E$13+1,1))-AVERAGE(OFFSET($H$3,0,0,'Données projet'!$E$13+1,1))</f>
        <v>172.13940525084604</v>
      </c>
      <c r="CZ51" s="59">
        <f t="shared" si="42"/>
        <v>172.82328007157236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1.3301473038895959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1.3301473038895959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1.7053025658242404E-13</v>
      </c>
      <c r="DP51" s="17">
        <f>DO51*VLOOKUP('Données projet'!$B$14,Paramètres!$A$1:$I$89,3,0)*VLOOKUP('Données projet'!$B$14,Paramètres!$A$1:$I$89,5,0)</f>
        <v>1.250327841262333E-13</v>
      </c>
      <c r="DQ51" s="13">
        <f t="shared" si="43"/>
        <v>1.8301318724634299E-12</v>
      </c>
      <c r="DR51" s="20">
        <f t="shared" si="16"/>
        <v>3.405245110226996E-12</v>
      </c>
      <c r="DS51" s="59">
        <f t="shared" si="17"/>
        <v>293.33333333333672</v>
      </c>
      <c r="DT51" s="59">
        <f ca="1">AVERAGE(OFFSET($DS$3,0,0,'Données projet'!$E$14+1,1))-AVERAGE(OFFSET($H$3,0,0,'Données projet'!$E$14+1,1))</f>
        <v>197.34725966440715</v>
      </c>
      <c r="DU51" s="59">
        <f t="shared" si="44"/>
        <v>240.16326570529532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45.519625616735915</v>
      </c>
      <c r="EB51" s="21">
        <f>EXP(-LN(2)/25)*EB50+(1-EXP(-LN(2)/25))/(LN(2)/25)*Calculateur!DW51*Calculateur!DY51*VLOOKUP('Données projet'!$B$14,Paramètres!$A$1:$I$89,3,0)*0.475*44/12</f>
        <v>32.555044269841986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78.074669886577908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10.375</v>
      </c>
      <c r="EJ51" s="12">
        <f>IF('Données projet'!$A$192&gt;35,EJ50+EI51-ER50,IF(A51&lt;'Données projet'!$A$192,$EG$205^A51,IF(A51='Données projet'!$A$192,'Données projet'!$B$192,EJ50+EI51-ER50)))</f>
        <v>228.49999999999991</v>
      </c>
      <c r="EK51" s="17">
        <f>EJ51*VLOOKUP('Données projet'!$B$15,Paramètres!$A$1:$I$89,3,0)*VLOOKUP('Données projet'!$B$15,Paramètres!$A$1:$I$89,5,0)</f>
        <v>178.22999999999993</v>
      </c>
      <c r="EL51" s="13">
        <f t="shared" si="45"/>
        <v>44.928167580487852</v>
      </c>
      <c r="EM51" s="20">
        <f t="shared" si="19"/>
        <v>388.66714186934951</v>
      </c>
      <c r="EN51" s="59">
        <f t="shared" si="20"/>
        <v>682.00047520268276</v>
      </c>
      <c r="EO51" s="59">
        <f ca="1">AVERAGE(OFFSET($EN$3,0,0,'Données projet'!$E$15+1,1))-AVERAGE(OFFSET($H$3,0,0,'Données projet'!$E$15+1,1))</f>
        <v>288.82868507674738</v>
      </c>
      <c r="EP51" s="59">
        <f t="shared" si="46"/>
        <v>283.48738729114024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20.997842297690603</v>
      </c>
      <c r="EW51" s="21">
        <f>EXP(-LN(2)/25)*EW50+(1-EXP(-LN(2)/25))/(LN(2)/25)*Calculateur!ER51*Calculateur!ET51*VLOOKUP('Données projet'!$B$15,Paramètres!$A$1:$I$89,3,0)*0.475*44/12</f>
        <v>12.864725582429852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33.862567880120451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9.3712500000000034</v>
      </c>
      <c r="N52" s="13">
        <f>IF('Données projet'!$A$36&gt;35,N51+M52-V51,IF(A52&lt;'Données projet'!$A$36,$K$205^A52,IF(A52='Données projet'!$A$36,'Données projet'!$B$36,N51+M52-V51)))</f>
        <v>185.64875000000012</v>
      </c>
      <c r="O52" s="13">
        <f>N52*VLOOKUP('Données projet'!$B$9,Paramètres!$A$1:$I$89,3,0)*VLOOKUP('Données projet'!$B$9,Paramètres!$A$1:$I$89,5,0)</f>
        <v>167.97498900000011</v>
      </c>
      <c r="P52" s="13">
        <f t="shared" si="33"/>
        <v>42.636172660412917</v>
      </c>
      <c r="Q52" s="20">
        <f t="shared" si="53"/>
        <v>366.81443989188602</v>
      </c>
      <c r="R52" s="59">
        <f t="shared" si="0"/>
        <v>660.14777322521934</v>
      </c>
      <c r="S52" s="59">
        <f ca="1">AVERAGE(OFFSET($R$3,0,0,'Données projet'!$E$9+1,1))-AVERAGE(OFFSET($H$3,0,0,'Données projet'!$E$9+1,1))</f>
        <v>581.88778927327667</v>
      </c>
      <c r="T52" s="59">
        <f t="shared" si="34"/>
        <v>269.67340993773422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4.853641326701311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4.853641326701311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5.8</v>
      </c>
      <c r="AI52" s="13">
        <f>IF('Données projet'!$A$62&gt;35,AI51+AH52-AQ51,IF(A52&lt;'Données projet'!$A$62,$AF$205^A52,IF(A52='Données projet'!$A$62,'Données projet'!$B$62,AI51+AH52-AQ51)))</f>
        <v>178.20000000000005</v>
      </c>
      <c r="AJ52" s="13">
        <f>AI52*VLOOKUP('Données projet'!$B$10,Paramètres!$A$1:$I$89,3,0)*VLOOKUP('Données projet'!$B$10,Paramètres!$A$1:$I$89,5,0)</f>
        <v>116.75664000000003</v>
      </c>
      <c r="AK52" s="13">
        <f t="shared" si="35"/>
        <v>30.91733675897062</v>
      </c>
      <c r="AL52" s="20">
        <f t="shared" si="4"/>
        <v>257.19884285520715</v>
      </c>
      <c r="AM52" s="59">
        <f t="shared" si="5"/>
        <v>550.53217618854046</v>
      </c>
      <c r="AN52" s="59">
        <f ca="1">AVERAGE(OFFSET($AM$3,0,0,'Données projet'!$E$10+1,1))-AVERAGE(OFFSET($H$3,0,0,'Données projet'!$E$10+1,1))</f>
        <v>230.58262378842818</v>
      </c>
      <c r="AO52" s="59">
        <f t="shared" si="36"/>
        <v>235.68746142880792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1.8990218520264619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1.8990218520264619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167.97498900000011</v>
      </c>
      <c r="BF52" s="13">
        <f t="shared" si="37"/>
        <v>42.636172660412917</v>
      </c>
      <c r="BG52" s="20">
        <f t="shared" si="7"/>
        <v>366.81443989188602</v>
      </c>
      <c r="BH52" s="59">
        <f t="shared" si="8"/>
        <v>660.14777322521934</v>
      </c>
      <c r="BI52" s="59">
        <f ca="1">AVERAGE(OFFSET($BH$3,0,0,'Données projet'!$E$11+1,1))-AVERAGE(OFFSET($H$3,0,0,'Données projet'!$E$11+1,1))</f>
        <v>581.88778927327667</v>
      </c>
      <c r="BJ52" s="59">
        <f t="shared" si="38"/>
        <v>269.67340993773422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4.853641326701311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4.853641326701311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176.66335050000012</v>
      </c>
      <c r="CA52" s="13">
        <f t="shared" si="39"/>
        <v>44.579036670703012</v>
      </c>
      <c r="CB52" s="20">
        <f t="shared" si="10"/>
        <v>385.33049098897459</v>
      </c>
      <c r="CC52" s="59">
        <f t="shared" si="11"/>
        <v>678.66382432230785</v>
      </c>
      <c r="CD52" s="59">
        <f ca="1">AVERAGE(OFFSET($CC$3,0,0,'Données projet'!$E$12+1,1))-AVERAGE(OFFSET($H$3,0,0,'Données projet'!$E$12+1,1))</f>
        <v>609.60019207204277</v>
      </c>
      <c r="CE52" s="59">
        <f t="shared" si="40"/>
        <v>281.42238288764503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5.1046917401513792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5.1046917401513792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3.6410499999999986</v>
      </c>
      <c r="CT52" s="12">
        <f>IF('Données projet'!$A$140&gt;35,CT51+CS52-DB51,IF(A52&lt;'Données projet'!$A$140,$CQ$205^A52,IF(A52='Données projet'!$A$140,'Données projet'!$B$140,CT51+CS52-DB51)))</f>
        <v>108.47444999999992</v>
      </c>
      <c r="CU52" s="17">
        <f>CT52*VLOOKUP('Données projet'!$B$13,Paramètres!$A$1:$I$89,3,0)*VLOOKUP('Données projet'!$B$13,Paramètres!$A$1:$I$89,5,0)</f>
        <v>86.302272419999937</v>
      </c>
      <c r="CV52" s="13">
        <f t="shared" si="41"/>
        <v>23.67125633447796</v>
      </c>
      <c r="CW52" s="20">
        <f t="shared" si="13"/>
        <v>191.53722924738233</v>
      </c>
      <c r="CX52" s="59">
        <f t="shared" si="14"/>
        <v>484.87056258071561</v>
      </c>
      <c r="CY52" s="59">
        <f ca="1">AVERAGE(OFFSET($CX$3,0,0,'Données projet'!$E$13+1,1))-AVERAGE(OFFSET($H$3,0,0,'Données projet'!$E$13+1,1))</f>
        <v>172.13940525084604</v>
      </c>
      <c r="CZ52" s="59">
        <f t="shared" si="42"/>
        <v>172.82328007157236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1.3040639265700662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1.3040639265700662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1.7053025658242404E-13</v>
      </c>
      <c r="DP52" s="17">
        <f>DO52*VLOOKUP('Données projet'!$B$14,Paramètres!$A$1:$I$89,3,0)*VLOOKUP('Données projet'!$B$14,Paramètres!$A$1:$I$89,5,0)</f>
        <v>1.250327841262333E-13</v>
      </c>
      <c r="DQ52" s="13">
        <f t="shared" si="43"/>
        <v>1.8301318724634299E-12</v>
      </c>
      <c r="DR52" s="20">
        <f t="shared" si="16"/>
        <v>3.405245110226996E-12</v>
      </c>
      <c r="DS52" s="59">
        <f t="shared" si="17"/>
        <v>293.33333333333672</v>
      </c>
      <c r="DT52" s="59">
        <f ca="1">AVERAGE(OFFSET($DS$3,0,0,'Données projet'!$E$14+1,1))-AVERAGE(OFFSET($H$3,0,0,'Données projet'!$E$14+1,1))</f>
        <v>197.34725966440715</v>
      </c>
      <c r="DU52" s="59">
        <f t="shared" si="44"/>
        <v>240.16326570529532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44.627013522621858</v>
      </c>
      <c r="EB52" s="21">
        <f>EXP(-LN(2)/25)*EB51+(1-EXP(-LN(2)/25))/(LN(2)/25)*Calculateur!DW52*Calculateur!DY52*VLOOKUP('Données projet'!$B$14,Paramètres!$A$1:$I$89,3,0)*0.475*44/12</f>
        <v>31.664824872287785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76.291838394909647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10.375</v>
      </c>
      <c r="EJ52" s="12">
        <f>IF('Données projet'!$A$192&gt;35,EJ51+EI52-ER51,IF(A52&lt;'Données projet'!$A$192,$EG$205^A52,IF(A52='Données projet'!$A$192,'Données projet'!$B$192,EJ51+EI52-ER51)))</f>
        <v>238.87499999999991</v>
      </c>
      <c r="EK52" s="17">
        <f>EJ52*VLOOKUP('Données projet'!$B$15,Paramètres!$A$1:$I$89,3,0)*VLOOKUP('Données projet'!$B$15,Paramètres!$A$1:$I$89,5,0)</f>
        <v>186.32249999999993</v>
      </c>
      <c r="EL52" s="13">
        <f t="shared" si="45"/>
        <v>46.725987276254116</v>
      </c>
      <c r="EM52" s="20">
        <f t="shared" si="19"/>
        <v>405.8927820061424</v>
      </c>
      <c r="EN52" s="59">
        <f t="shared" si="20"/>
        <v>699.22611533947565</v>
      </c>
      <c r="EO52" s="59">
        <f ca="1">AVERAGE(OFFSET($EN$3,0,0,'Données projet'!$E$15+1,1))-AVERAGE(OFFSET($H$3,0,0,'Données projet'!$E$15+1,1))</f>
        <v>288.82868507674738</v>
      </c>
      <c r="EP52" s="59">
        <f t="shared" si="46"/>
        <v>283.48738729114024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20.586087417652063</v>
      </c>
      <c r="EW52" s="21">
        <f>EXP(-LN(2)/25)*EW51+(1-EXP(-LN(2)/25))/(LN(2)/25)*Calculateur!ER52*Calculateur!ET52*VLOOKUP('Données projet'!$B$15,Paramètres!$A$1:$I$89,3,0)*0.475*44/12</f>
        <v>12.512938984851791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33.099026402503853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195.02</v>
      </c>
      <c r="L53" s="12">
        <f>VLOOKUP(A53,'Données projet'!$A$35:$I$55,9,0)</f>
        <v>9.3712500000000034</v>
      </c>
      <c r="M53" s="12">
        <f t="array" ref="M53">INDEX(L:L,MIN(IF(ISNUMBER(L53:L249),ROW(L53:L249),"")))</f>
        <v>9.3712500000000034</v>
      </c>
      <c r="N53" s="13">
        <f>IF('Données projet'!$A$36&gt;35,N52+M53-V52,IF(A53&lt;'Données projet'!$A$36,$K$205^A53,IF(A53='Données projet'!$A$36,'Données projet'!$B$36,N52+M53-V52)))</f>
        <v>195.02000000000012</v>
      </c>
      <c r="O53" s="13">
        <f>N53*VLOOKUP('Données projet'!$B$9,Paramètres!$A$1:$I$89,3,0)*VLOOKUP('Données projet'!$B$9,Paramètres!$A$1:$I$89,5,0)</f>
        <v>176.45409600000011</v>
      </c>
      <c r="P53" s="13">
        <f t="shared" si="33"/>
        <v>44.532376676436577</v>
      </c>
      <c r="Q53" s="20">
        <f t="shared" si="53"/>
        <v>384.88477324479385</v>
      </c>
      <c r="R53" s="59">
        <f t="shared" si="0"/>
        <v>678.21810657812716</v>
      </c>
      <c r="S53" s="59">
        <f ca="1">AVERAGE(OFFSET($R$3,0,0,'Données projet'!$E$9+1,1))-AVERAGE(OFFSET($H$3,0,0,'Données projet'!$E$9+1,1))</f>
        <v>581.88778927327667</v>
      </c>
      <c r="T53" s="59">
        <f t="shared" si="34"/>
        <v>269.67340993773422</v>
      </c>
      <c r="U53" s="15">
        <f>IF(ISNA(VLOOKUP(A53,'Données projet'!$A$35:$I$55,3,0)),0,VLOOKUP(A53,'Données projet'!$A$35:$I$55,3,0))</f>
        <v>2</v>
      </c>
      <c r="V53" s="15">
        <f>IF(ISNA(VLOOKUP(A53,'Données projet'!$A$35:$I$55,4,0)),0,VLOOKUP(A53,'Données projet'!$A$35:$I$55,4,0))</f>
        <v>35.58</v>
      </c>
      <c r="W53" s="16">
        <f>IF(ISNA(VLOOKUP(A53,'Données projet'!$A$35:$I$55,5,0)),0%,VLOOKUP(A53,'Données projet'!$A$35:$I$55,5,0)*VLOOKUP('Données projet'!$B$9,Paramètres!$A$1:$I$89,7,0))</f>
        <v>0.129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9.3493382006381829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9.3493382006381829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184</v>
      </c>
      <c r="AG53" s="12">
        <f>VLOOKUP(A53,'Données projet'!$A$61:$I$81,9,0)</f>
        <v>5.8</v>
      </c>
      <c r="AH53" s="12">
        <f t="array" ref="AH53">INDEX(AG:AG,MIN(IF(ISNUMBER(AG53:AG249),ROW(AG53:AG249),"")))</f>
        <v>5.8</v>
      </c>
      <c r="AI53" s="13">
        <f>IF('Données projet'!$A$62&gt;35,AI52+AH53-AQ52,IF(A53&lt;'Données projet'!$A$62,$AF$205^A53,IF(A53='Données projet'!$A$62,'Données projet'!$B$62,AI52+AH53-AQ52)))</f>
        <v>184.00000000000006</v>
      </c>
      <c r="AJ53" s="13">
        <f>AI53*VLOOKUP('Données projet'!$B$10,Paramètres!$A$1:$I$89,3,0)*VLOOKUP('Données projet'!$B$10,Paramètres!$A$1:$I$89,5,0)</f>
        <v>120.55680000000002</v>
      </c>
      <c r="AK53" s="13">
        <f t="shared" si="35"/>
        <v>31.804828741198779</v>
      </c>
      <c r="AL53" s="20">
        <f t="shared" si="4"/>
        <v>265.36317005758792</v>
      </c>
      <c r="AM53" s="59">
        <f t="shared" si="5"/>
        <v>558.69650339092118</v>
      </c>
      <c r="AN53" s="59">
        <f ca="1">AVERAGE(OFFSET($AM$3,0,0,'Données projet'!$E$10+1,1))-AVERAGE(OFFSET($H$3,0,0,'Données projet'!$E$10+1,1))</f>
        <v>230.58262378842818</v>
      </c>
      <c r="AO53" s="59">
        <f t="shared" si="36"/>
        <v>235.68746142880792</v>
      </c>
      <c r="AP53" s="15">
        <f>IF(ISNA(VLOOKUP(A53,'Données projet'!$A$61:$I$81,3,0)),0,VLOOKUP(A53,'Données projet'!$A$61:$I$81,3,0))</f>
        <v>9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0.129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3.8239232497401812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3.8239232497401812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176.45409600000011</v>
      </c>
      <c r="BF53" s="13">
        <f t="shared" si="37"/>
        <v>44.532376676436577</v>
      </c>
      <c r="BG53" s="20">
        <f t="shared" si="7"/>
        <v>384.88477324479385</v>
      </c>
      <c r="BH53" s="59">
        <f t="shared" si="8"/>
        <v>678.21810657812716</v>
      </c>
      <c r="BI53" s="59">
        <f ca="1">AVERAGE(OFFSET($BH$3,0,0,'Données projet'!$E$11+1,1))-AVERAGE(OFFSET($H$3,0,0,'Données projet'!$E$11+1,1))</f>
        <v>581.88778927327667</v>
      </c>
      <c r="BJ53" s="59">
        <f t="shared" si="38"/>
        <v>269.67340993773422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9.3493382006381829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9.3493382006381829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185.58103200000011</v>
      </c>
      <c r="CA53" s="13">
        <f t="shared" si="39"/>
        <v>46.561647751644131</v>
      </c>
      <c r="CB53" s="20">
        <f t="shared" si="10"/>
        <v>404.31516723411369</v>
      </c>
      <c r="CC53" s="59">
        <f t="shared" si="11"/>
        <v>697.64850056744694</v>
      </c>
      <c r="CD53" s="59">
        <f ca="1">AVERAGE(OFFSET($CC$3,0,0,'Données projet'!$E$12+1,1))-AVERAGE(OFFSET($H$3,0,0,'Données projet'!$E$12+1,1))</f>
        <v>609.60019207204277</v>
      </c>
      <c r="CE53" s="59">
        <f t="shared" si="40"/>
        <v>281.42238288764503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9.8329246592918835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9.8329246592918835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112.1155</v>
      </c>
      <c r="CR53" s="12">
        <f>VLOOKUP(A53,'Données projet'!$A$139:$I$159,9,0)</f>
        <v>3.6410499999999986</v>
      </c>
      <c r="CS53" s="12">
        <f t="array" ref="CS53">INDEX(CR:CR,MIN(IF(ISNUMBER(CR53:CR249),ROW(CR53:CR249),"")))</f>
        <v>3.6410499999999986</v>
      </c>
      <c r="CT53" s="12">
        <f>IF('Données projet'!$A$140&gt;35,CT52+CS53-DB52,IF(A53&lt;'Données projet'!$A$140,$CQ$205^A53,IF(A53='Données projet'!$A$140,'Données projet'!$B$140,CT52+CS53-DB52)))</f>
        <v>112.11549999999991</v>
      </c>
      <c r="CU53" s="17">
        <f>CT53*VLOOKUP('Données projet'!$B$13,Paramètres!$A$1:$I$89,3,0)*VLOOKUP('Données projet'!$B$13,Paramètres!$A$1:$I$89,5,0)</f>
        <v>89.199091799999934</v>
      </c>
      <c r="CV53" s="13">
        <f t="shared" si="41"/>
        <v>24.371964847599283</v>
      </c>
      <c r="CW53" s="20">
        <f t="shared" si="13"/>
        <v>197.80292366123533</v>
      </c>
      <c r="CX53" s="59">
        <f t="shared" si="14"/>
        <v>491.13625699456861</v>
      </c>
      <c r="CY53" s="59">
        <f ca="1">AVERAGE(OFFSET($CX$3,0,0,'Données projet'!$E$13+1,1))-AVERAGE(OFFSET($H$3,0,0,'Données projet'!$E$13+1,1))</f>
        <v>172.13940525084604</v>
      </c>
      <c r="CZ53" s="59">
        <f t="shared" si="42"/>
        <v>172.82328007157236</v>
      </c>
      <c r="DA53" s="15">
        <f>IF(ISNA(VLOOKUP(A53,'Données projet'!$A$139:$I$159,3,0)),0,VLOOKUP(A53,'Données projet'!$A$139:$I$159,3,0))</f>
        <v>9</v>
      </c>
      <c r="DB53" s="15">
        <f>IF(ISNA(VLOOKUP(A53,'Données projet'!$A$139:$I$159,4,0)),0,VLOOKUP(A53,'Données projet'!$A$139:$I$159,4,0))</f>
        <v>7.931</v>
      </c>
      <c r="DC53" s="16">
        <f>IF(ISNA(VLOOKUP(A53,'Données projet'!$A$139:$I$159,5,0)),0%,VLOOKUP(A53,'Données projet'!$A$139:$I$159,5,0)*VLOOKUP('Données projet'!$B$13,Paramètres!$A$1:$I$89,7,0))</f>
        <v>0.159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2.3875824612443073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2.3875824612443073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1.7053025658242404E-13</v>
      </c>
      <c r="DP53" s="17">
        <f>DO53*VLOOKUP('Données projet'!$B$14,Paramètres!$A$1:$I$89,3,0)*VLOOKUP('Données projet'!$B$14,Paramètres!$A$1:$I$89,5,0)</f>
        <v>1.250327841262333E-13</v>
      </c>
      <c r="DQ53" s="13">
        <f t="shared" si="43"/>
        <v>1.8301318724634299E-12</v>
      </c>
      <c r="DR53" s="20">
        <f t="shared" si="16"/>
        <v>3.405245110226996E-12</v>
      </c>
      <c r="DS53" s="59">
        <f t="shared" si="17"/>
        <v>293.33333333333672</v>
      </c>
      <c r="DT53" s="59">
        <f ca="1">AVERAGE(OFFSET($DS$3,0,0,'Données projet'!$E$14+1,1))-AVERAGE(OFFSET($H$3,0,0,'Données projet'!$E$14+1,1))</f>
        <v>197.34725966440715</v>
      </c>
      <c r="DU53" s="59">
        <f t="shared" si="44"/>
        <v>240.16326570529532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43.751905007233759</v>
      </c>
      <c r="EB53" s="21">
        <f>EXP(-LN(2)/25)*EB52+(1-EXP(-LN(2)/25))/(LN(2)/25)*Calculateur!DW53*Calculateur!DY53*VLOOKUP('Données projet'!$B$14,Paramètres!$A$1:$I$89,3,0)*0.475*44/12</f>
        <v>30.798948570974307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74.550853578208063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10.375</v>
      </c>
      <c r="EJ53" s="12">
        <f>IF('Données projet'!$A$192&gt;35,EJ52+EI53-ER52,IF(A53&lt;'Données projet'!$A$192,$EG$205^A53,IF(A53='Données projet'!$A$192,'Données projet'!$B$192,EJ52+EI53-ER52)))</f>
        <v>249.24999999999991</v>
      </c>
      <c r="EK53" s="17">
        <f>EJ53*VLOOKUP('Données projet'!$B$15,Paramètres!$A$1:$I$89,3,0)*VLOOKUP('Données projet'!$B$15,Paramètres!$A$1:$I$89,5,0)</f>
        <v>194.41499999999994</v>
      </c>
      <c r="EL53" s="13">
        <f t="shared" si="45"/>
        <v>48.514737888684927</v>
      </c>
      <c r="EM53" s="20">
        <f t="shared" si="19"/>
        <v>423.10262682279273</v>
      </c>
      <c r="EN53" s="59">
        <f t="shared" si="20"/>
        <v>716.43596015612604</v>
      </c>
      <c r="EO53" s="59">
        <f ca="1">AVERAGE(OFFSET($EN$3,0,0,'Données projet'!$E$15+1,1))-AVERAGE(OFFSET($H$3,0,0,'Données projet'!$E$15+1,1))</f>
        <v>288.82868507674738</v>
      </c>
      <c r="EP53" s="59">
        <f t="shared" si="46"/>
        <v>283.48738729114024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20.182406799665401</v>
      </c>
      <c r="EW53" s="21">
        <f>EXP(-LN(2)/25)*EW52+(1-EXP(-LN(2)/25))/(LN(2)/25)*Calculateur!ER53*Calculateur!ET53*VLOOKUP('Données projet'!$B$15,Paramètres!$A$1:$I$89,3,0)*0.475*44/12</f>
        <v>12.170772010284157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32.353178809949554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9.5537500000000009</v>
      </c>
      <c r="N54" s="13">
        <f>IF('Données projet'!$A$36&gt;35,N53+M54-V53,IF(A54&lt;'Données projet'!$A$36,$K$205^A54,IF(A54='Données projet'!$A$36,'Données projet'!$B$36,N53+M54-V53)))</f>
        <v>168.99375000000015</v>
      </c>
      <c r="O54" s="13">
        <f>N54*VLOOKUP('Données projet'!$B$9,Paramètres!$A$1:$I$89,3,0)*VLOOKUP('Données projet'!$B$9,Paramètres!$A$1:$I$89,5,0)</f>
        <v>152.90554500000013</v>
      </c>
      <c r="P54" s="13">
        <f t="shared" si="33"/>
        <v>39.238142074568863</v>
      </c>
      <c r="Q54" s="20">
        <f t="shared" si="53"/>
        <v>334.65025498820768</v>
      </c>
      <c r="R54" s="59">
        <f t="shared" si="0"/>
        <v>627.98358832154099</v>
      </c>
      <c r="S54" s="59">
        <f ca="1">AVERAGE(OFFSET($R$3,0,0,'Données projet'!$E$9+1,1))-AVERAGE(OFFSET($H$3,0,0,'Données projet'!$E$9+1,1))</f>
        <v>581.88778927327667</v>
      </c>
      <c r="T54" s="59">
        <f t="shared" si="34"/>
        <v>269.67340993773422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9.1660033810568926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9.1660033810568926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168.60000000000005</v>
      </c>
      <c r="AJ54" s="13">
        <f>AI54*VLOOKUP('Données projet'!$B$10,Paramètres!$A$1:$I$89,3,0)*VLOOKUP('Données projet'!$B$10,Paramètres!$A$1:$I$89,5,0)</f>
        <v>110.46672000000002</v>
      </c>
      <c r="AK54" s="13">
        <f t="shared" si="35"/>
        <v>29.440920333682921</v>
      </c>
      <c r="AL54" s="20">
        <f t="shared" si="4"/>
        <v>243.67247358116444</v>
      </c>
      <c r="AM54" s="59">
        <f t="shared" si="5"/>
        <v>537.00580691449773</v>
      </c>
      <c r="AN54" s="59">
        <f ca="1">AVERAGE(OFFSET($AM$3,0,0,'Données projet'!$E$10+1,1))-AVERAGE(OFFSET($H$3,0,0,'Données projet'!$E$10+1,1))</f>
        <v>230.58262378842818</v>
      </c>
      <c r="AO54" s="59">
        <f t="shared" si="36"/>
        <v>235.68746142880792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3.7489384471756568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3.7489384471756568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152.90554500000013</v>
      </c>
      <c r="BF54" s="13">
        <f t="shared" si="37"/>
        <v>39.238142074568863</v>
      </c>
      <c r="BG54" s="20">
        <f t="shared" si="7"/>
        <v>334.65025498820768</v>
      </c>
      <c r="BH54" s="59">
        <f t="shared" si="8"/>
        <v>627.98358832154099</v>
      </c>
      <c r="BI54" s="59">
        <f ca="1">AVERAGE(OFFSET($BH$3,0,0,'Données projet'!$E$11+1,1))-AVERAGE(OFFSET($H$3,0,0,'Données projet'!$E$11+1,1))</f>
        <v>581.88778927327667</v>
      </c>
      <c r="BJ54" s="59">
        <f t="shared" si="38"/>
        <v>269.67340993773422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9.1660033810568926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9.1660033810568926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160.81445250000016</v>
      </c>
      <c r="CA54" s="13">
        <f t="shared" si="39"/>
        <v>41.026163121263572</v>
      </c>
      <c r="CB54" s="20">
        <f t="shared" si="10"/>
        <v>351.53907220703439</v>
      </c>
      <c r="CC54" s="59">
        <f t="shared" si="11"/>
        <v>644.87240554036771</v>
      </c>
      <c r="CD54" s="59">
        <f ca="1">AVERAGE(OFFSET($CC$3,0,0,'Données projet'!$E$12+1,1))-AVERAGE(OFFSET($H$3,0,0,'Données projet'!$E$12+1,1))</f>
        <v>609.60019207204277</v>
      </c>
      <c r="CE54" s="59">
        <f t="shared" si="40"/>
        <v>281.42238288764503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9.6401070042150092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9.6401070042150092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3.1002999999999985</v>
      </c>
      <c r="CT54" s="12">
        <f>IF('Données projet'!$A$140&gt;35,CT53+CS54-DB53,IF(A54&lt;'Données projet'!$A$140,$CQ$205^A54,IF(A54='Données projet'!$A$140,'Données projet'!$B$140,CT53+CS54-DB53)))</f>
        <v>107.28479999999992</v>
      </c>
      <c r="CU54" s="17">
        <f>CT54*VLOOKUP('Données projet'!$B$13,Paramètres!$A$1:$I$89,3,0)*VLOOKUP('Données projet'!$B$13,Paramètres!$A$1:$I$89,5,0)</f>
        <v>85.35578687999994</v>
      </c>
      <c r="CV54" s="13">
        <f t="shared" si="41"/>
        <v>23.441722337011999</v>
      </c>
      <c r="CW54" s="20">
        <f t="shared" si="13"/>
        <v>189.48899521962912</v>
      </c>
      <c r="CX54" s="59">
        <f t="shared" si="14"/>
        <v>482.8223285529624</v>
      </c>
      <c r="CY54" s="59">
        <f ca="1">AVERAGE(OFFSET($CX$3,0,0,'Données projet'!$E$13+1,1))-AVERAGE(OFFSET($H$3,0,0,'Données projet'!$E$13+1,1))</f>
        <v>172.13940525084604</v>
      </c>
      <c r="CZ54" s="59">
        <f t="shared" si="42"/>
        <v>172.82328007157236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2.3407634254608118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2.3407634254608118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1.7053025658242404E-13</v>
      </c>
      <c r="DP54" s="17">
        <f>DO54*VLOOKUP('Données projet'!$B$14,Paramètres!$A$1:$I$89,3,0)*VLOOKUP('Données projet'!$B$14,Paramètres!$A$1:$I$89,5,0)</f>
        <v>1.250327841262333E-13</v>
      </c>
      <c r="DQ54" s="13">
        <f t="shared" si="43"/>
        <v>1.8301318724634299E-12</v>
      </c>
      <c r="DR54" s="20">
        <f t="shared" si="16"/>
        <v>3.405245110226996E-12</v>
      </c>
      <c r="DS54" s="59">
        <f t="shared" si="17"/>
        <v>293.33333333333672</v>
      </c>
      <c r="DT54" s="59">
        <f ca="1">AVERAGE(OFFSET($DS$3,0,0,'Données projet'!$E$14+1,1))-AVERAGE(OFFSET($H$3,0,0,'Données projet'!$E$14+1,1))</f>
        <v>197.34725966440715</v>
      </c>
      <c r="DU54" s="59">
        <f t="shared" si="44"/>
        <v>240.16326570529532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42.893956836068931</v>
      </c>
      <c r="EB54" s="21">
        <f>EXP(-LN(2)/25)*EB53+(1-EXP(-LN(2)/25))/(LN(2)/25)*Calculateur!DW54*Calculateur!DY54*VLOOKUP('Données projet'!$B$14,Paramètres!$A$1:$I$89,3,0)*0.475*44/12</f>
        <v>29.956749702654701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72.850706538723628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10.375</v>
      </c>
      <c r="EJ54" s="12">
        <f>IF('Données projet'!$A$192&gt;35,EJ53+EI54-ER53,IF(A54&lt;'Données projet'!$A$192,$EG$205^A54,IF(A54='Données projet'!$A$192,'Données projet'!$B$192,EJ53+EI54-ER53)))</f>
        <v>259.62499999999989</v>
      </c>
      <c r="EK54" s="17">
        <f>EJ54*VLOOKUP('Données projet'!$B$15,Paramètres!$A$1:$I$89,3,0)*VLOOKUP('Données projet'!$B$15,Paramètres!$A$1:$I$89,5,0)</f>
        <v>202.50749999999991</v>
      </c>
      <c r="EL54" s="13">
        <f t="shared" si="45"/>
        <v>50.294840086606349</v>
      </c>
      <c r="EM54" s="20">
        <f t="shared" si="19"/>
        <v>440.29740898417253</v>
      </c>
      <c r="EN54" s="59">
        <f t="shared" si="20"/>
        <v>733.63074231750579</v>
      </c>
      <c r="EO54" s="59">
        <f ca="1">AVERAGE(OFFSET($EN$3,0,0,'Données projet'!$E$15+1,1))-AVERAGE(OFFSET($H$3,0,0,'Données projet'!$E$15+1,1))</f>
        <v>288.82868507674738</v>
      </c>
      <c r="EP54" s="59">
        <f t="shared" si="46"/>
        <v>283.48738729114024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19.786642112376594</v>
      </c>
      <c r="EW54" s="21">
        <f>EXP(-LN(2)/25)*EW53+(1-EXP(-LN(2)/25))/(LN(2)/25)*Calculateur!ER54*Calculateur!ET54*VLOOKUP('Données projet'!$B$15,Paramètres!$A$1:$I$89,3,0)*0.475*44/12</f>
        <v>11.837961609629854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31.624603722006448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9.5537500000000009</v>
      </c>
      <c r="N55" s="13">
        <f>IF('Données projet'!$A$36&gt;35,N54+M55-V54,IF(A55&lt;'Données projet'!$A$36,$K$205^A55,IF(A55='Données projet'!$A$36,'Données projet'!$B$36,N54+M55-V54)))</f>
        <v>178.54750000000016</v>
      </c>
      <c r="O55" s="13">
        <f>N55*VLOOKUP('Données projet'!$B$9,Paramètres!$A$1:$I$89,3,0)*VLOOKUP('Données projet'!$B$9,Paramètres!$A$1:$I$89,5,0)</f>
        <v>161.54977800000012</v>
      </c>
      <c r="P55" s="13">
        <f t="shared" si="33"/>
        <v>41.191875810979205</v>
      </c>
      <c r="Q55" s="20">
        <f t="shared" si="53"/>
        <v>353.10838038745561</v>
      </c>
      <c r="R55" s="59">
        <f t="shared" si="0"/>
        <v>646.44171372078893</v>
      </c>
      <c r="S55" s="59">
        <f ca="1">AVERAGE(OFFSET($R$3,0,0,'Données projet'!$E$9+1,1))-AVERAGE(OFFSET($H$3,0,0,'Données projet'!$E$9+1,1))</f>
        <v>581.88778927327667</v>
      </c>
      <c r="T55" s="59">
        <f t="shared" si="34"/>
        <v>269.67340993773422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8.9862636454643923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8.9862636454643923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174.20000000000005</v>
      </c>
      <c r="AJ55" s="13">
        <f>AI55*VLOOKUP('Données projet'!$B$10,Paramètres!$A$1:$I$89,3,0)*VLOOKUP('Données projet'!$B$10,Paramètres!$A$1:$I$89,5,0)</f>
        <v>114.13584000000003</v>
      </c>
      <c r="AK55" s="13">
        <f t="shared" si="35"/>
        <v>30.303317693701107</v>
      </c>
      <c r="AL55" s="20">
        <f t="shared" si="4"/>
        <v>251.56486631652947</v>
      </c>
      <c r="AM55" s="59">
        <f t="shared" si="5"/>
        <v>544.89819964986282</v>
      </c>
      <c r="AN55" s="59">
        <f ca="1">AVERAGE(OFFSET($AM$3,0,0,'Données projet'!$E$10+1,1))-AVERAGE(OFFSET($H$3,0,0,'Données projet'!$E$10+1,1))</f>
        <v>230.58262378842818</v>
      </c>
      <c r="AO55" s="59">
        <f t="shared" si="36"/>
        <v>235.68746142880792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3.6754240508532092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3.6754240508532092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161.54977800000012</v>
      </c>
      <c r="BF55" s="13">
        <f t="shared" si="37"/>
        <v>41.191875810979205</v>
      </c>
      <c r="BG55" s="20">
        <f t="shared" si="7"/>
        <v>353.10838038745561</v>
      </c>
      <c r="BH55" s="59">
        <f t="shared" si="8"/>
        <v>646.44171372078893</v>
      </c>
      <c r="BI55" s="59">
        <f ca="1">AVERAGE(OFFSET($BH$3,0,0,'Données projet'!$E$11+1,1))-AVERAGE(OFFSET($H$3,0,0,'Données projet'!$E$11+1,1))</f>
        <v>581.88778927327667</v>
      </c>
      <c r="BJ55" s="59">
        <f t="shared" si="38"/>
        <v>269.67340993773422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8.9862636454643923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8.9862636454643923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169.90580100000014</v>
      </c>
      <c r="CA55" s="13">
        <f t="shared" si="39"/>
        <v>43.068925462384662</v>
      </c>
      <c r="CB55" s="20">
        <f t="shared" si="10"/>
        <v>370.93098192198687</v>
      </c>
      <c r="CC55" s="59">
        <f t="shared" si="11"/>
        <v>664.26431525532018</v>
      </c>
      <c r="CD55" s="59">
        <f ca="1">AVERAGE(OFFSET($CC$3,0,0,'Données projet'!$E$12+1,1))-AVERAGE(OFFSET($H$3,0,0,'Données projet'!$E$12+1,1))</f>
        <v>609.60019207204277</v>
      </c>
      <c r="CE55" s="59">
        <f t="shared" si="40"/>
        <v>281.42238288764503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9.4510703857470357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9.4510703857470357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3.1002999999999985</v>
      </c>
      <c r="CT55" s="12">
        <f>IF('Données projet'!$A$140&gt;35,CT54+CS55-DB54,IF(A55&lt;'Données projet'!$A$140,$CQ$205^A55,IF(A55='Données projet'!$A$140,'Données projet'!$B$140,CT54+CS55-DB54)))</f>
        <v>110.38509999999992</v>
      </c>
      <c r="CU55" s="17">
        <f>CT55*VLOOKUP('Données projet'!$B$13,Paramètres!$A$1:$I$89,3,0)*VLOOKUP('Données projet'!$B$13,Paramètres!$A$1:$I$89,5,0)</f>
        <v>87.822385559999944</v>
      </c>
      <c r="CV55" s="13">
        <f t="shared" si="41"/>
        <v>24.039290517124925</v>
      </c>
      <c r="CW55" s="20">
        <f t="shared" si="13"/>
        <v>194.82575250099248</v>
      </c>
      <c r="CX55" s="59">
        <f t="shared" si="14"/>
        <v>488.15908583432577</v>
      </c>
      <c r="CY55" s="59">
        <f ca="1">AVERAGE(OFFSET($CX$3,0,0,'Données projet'!$E$13+1,1))-AVERAGE(OFFSET($H$3,0,0,'Données projet'!$E$13+1,1))</f>
        <v>172.13940525084604</v>
      </c>
      <c r="CZ55" s="59">
        <f t="shared" si="42"/>
        <v>172.82328007157236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2.2948624824122388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2.2948624824122388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1.7053025658242404E-13</v>
      </c>
      <c r="DP55" s="17">
        <f>DO55*VLOOKUP('Données projet'!$B$14,Paramètres!$A$1:$I$89,3,0)*VLOOKUP('Données projet'!$B$14,Paramètres!$A$1:$I$89,5,0)</f>
        <v>1.250327841262333E-13</v>
      </c>
      <c r="DQ55" s="13">
        <f t="shared" si="43"/>
        <v>1.8301318724634299E-12</v>
      </c>
      <c r="DR55" s="20">
        <f t="shared" si="16"/>
        <v>3.405245110226996E-12</v>
      </c>
      <c r="DS55" s="59">
        <f t="shared" si="17"/>
        <v>293.33333333333672</v>
      </c>
      <c r="DT55" s="59">
        <f ca="1">AVERAGE(OFFSET($DS$3,0,0,'Données projet'!$E$14+1,1))-AVERAGE(OFFSET($H$3,0,0,'Données projet'!$E$14+1,1))</f>
        <v>197.34725966440715</v>
      </c>
      <c r="DU55" s="59">
        <f t="shared" si="44"/>
        <v>240.16326570529532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42.052832505243934</v>
      </c>
      <c r="EB55" s="21">
        <f>EXP(-LN(2)/25)*EB54+(1-EXP(-LN(2)/25))/(LN(2)/25)*Calculateur!DW55*Calculateur!DY55*VLOOKUP('Données projet'!$B$14,Paramètres!$A$1:$I$89,3,0)*0.475*44/12</f>
        <v>29.13758080667861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71.190413311922541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>
        <f>VLOOKUP(A55,'Données projet'!$A$191:$I$211,2,0)</f>
        <v>270</v>
      </c>
      <c r="EH55" s="12">
        <f>VLOOKUP(A55,'Données projet'!$A$191:$I$211,9,0)</f>
        <v>10.375</v>
      </c>
      <c r="EI55" s="12">
        <f t="array" ref="EI55">INDEX(EH:EH,MIN(IF(ISNUMBER(EH55:EH251),ROW(EH55:EH251),"")))</f>
        <v>10.375</v>
      </c>
      <c r="EJ55" s="12">
        <f>IF('Données projet'!$A$192&gt;35,EJ54+EI55-ER54,IF(A55&lt;'Données projet'!$A$192,$EG$205^A55,IF(A55='Données projet'!$A$192,'Données projet'!$B$192,EJ54+EI55-ER54)))</f>
        <v>269.99999999999989</v>
      </c>
      <c r="EK55" s="17">
        <f>EJ55*VLOOKUP('Données projet'!$B$15,Paramètres!$A$1:$I$89,3,0)*VLOOKUP('Données projet'!$B$15,Paramètres!$A$1:$I$89,5,0)</f>
        <v>210.59999999999991</v>
      </c>
      <c r="EL55" s="13">
        <f t="shared" si="45"/>
        <v>52.066679014659961</v>
      </c>
      <c r="EM55" s="20">
        <f t="shared" si="19"/>
        <v>457.47779928386586</v>
      </c>
      <c r="EN55" s="59">
        <f t="shared" si="20"/>
        <v>750.81113261719918</v>
      </c>
      <c r="EO55" s="59">
        <f ca="1">AVERAGE(OFFSET($EN$3,0,0,'Données projet'!$E$15+1,1))-AVERAGE(OFFSET($H$3,0,0,'Données projet'!$E$15+1,1))</f>
        <v>288.82868507674738</v>
      </c>
      <c r="EP55" s="59">
        <f t="shared" si="46"/>
        <v>283.48738729114024</v>
      </c>
      <c r="EQ55" s="15">
        <f>IF(ISNA(VLOOKUP(A55,'Données projet'!$A$191:$I$211,3,0)),0,VLOOKUP(A55,'Données projet'!$A$191:$I$211,3,0))</f>
        <v>7</v>
      </c>
      <c r="ER55" s="15">
        <f>IF(ISNA(VLOOKUP(A55,'Données projet'!$A$191:$I$211,4,0)),0,VLOOKUP(A55,'Données projet'!$A$191:$I$211,4,0))</f>
        <v>48</v>
      </c>
      <c r="ES55" s="16">
        <f>IF(ISNA(VLOOKUP(A55,'Données projet'!$A$191:$I$211,5,0)),0%,VLOOKUP(A55,'Données projet'!$A$191:$I$211,5,0)*VLOOKUP('Données projet'!$B$15,Paramètres!$A$1:$I$89,7,0))</f>
        <v>0.25800000000000001</v>
      </c>
      <c r="ET55" s="16">
        <f>IF(ISNA(VLOOKUP(A55,'Données projet'!$A$191:$I$211,6,0)),0%,VLOOKUP(A55,'Données projet'!$A$191:$I$211,6,0)*VLOOKUP('Données projet'!$B$15,Paramètres!$A$1:$I$89,7,0))</f>
        <v>0.129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30.076951369719019</v>
      </c>
      <c r="EW55" s="21">
        <f>EXP(-LN(2)/25)*EW54+(1-EXP(-LN(2)/25))/(LN(2)/25)*Calculateur!ER55*Calculateur!ET55*VLOOKUP('Données projet'!$B$15,Paramètres!$A$1:$I$89,3,0)*0.475*44/12</f>
        <v>16.832386253144143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46.909337622863163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9.5537500000000009</v>
      </c>
      <c r="N56" s="13">
        <f>IF('Données projet'!$A$36&gt;35,N55+M56-V55,IF(A56&lt;'Données projet'!$A$36,$K$205^A56,IF(A56='Données projet'!$A$36,'Données projet'!$B$36,N55+M56-V55)))</f>
        <v>188.10125000000016</v>
      </c>
      <c r="O56" s="13">
        <f>N56*VLOOKUP('Données projet'!$B$9,Paramètres!$A$1:$I$89,3,0)*VLOOKUP('Données projet'!$B$9,Paramètres!$A$1:$I$89,5,0)</f>
        <v>170.19401100000013</v>
      </c>
      <c r="P56" s="13">
        <f t="shared" si="33"/>
        <v>43.133472710542861</v>
      </c>
      <c r="Q56" s="20">
        <f t="shared" si="53"/>
        <v>371.54536746252899</v>
      </c>
      <c r="R56" s="59">
        <f t="shared" si="0"/>
        <v>664.8787007958623</v>
      </c>
      <c r="S56" s="59">
        <f ca="1">AVERAGE(OFFSET($R$3,0,0,'Données projet'!$E$9+1,1))-AVERAGE(OFFSET($H$3,0,0,'Données projet'!$E$9+1,1))</f>
        <v>581.88778927327667</v>
      </c>
      <c r="T56" s="59">
        <f t="shared" si="34"/>
        <v>269.67340993773422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8.8100484964564476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8.8100484964564476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179.80000000000004</v>
      </c>
      <c r="AJ56" s="13">
        <f>AI56*VLOOKUP('Données projet'!$B$10,Paramètres!$A$1:$I$89,3,0)*VLOOKUP('Données projet'!$B$10,Paramètres!$A$1:$I$89,5,0)</f>
        <v>117.80496000000004</v>
      </c>
      <c r="AK56" s="13">
        <f t="shared" si="35"/>
        <v>31.162493487829593</v>
      </c>
      <c r="AL56" s="20">
        <f t="shared" si="4"/>
        <v>259.45164815796994</v>
      </c>
      <c r="AM56" s="59">
        <f t="shared" si="5"/>
        <v>552.78498149130326</v>
      </c>
      <c r="AN56" s="59">
        <f ca="1">AVERAGE(OFFSET($AM$3,0,0,'Données projet'!$E$10+1,1))-AVERAGE(OFFSET($H$3,0,0,'Données projet'!$E$10+1,1))</f>
        <v>230.58262378842818</v>
      </c>
      <c r="AO56" s="59">
        <f t="shared" si="36"/>
        <v>235.68746142880792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3.6033512270032908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3.6033512270032908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170.19401100000013</v>
      </c>
      <c r="BF56" s="13">
        <f t="shared" si="37"/>
        <v>43.133472710542861</v>
      </c>
      <c r="BG56" s="20">
        <f t="shared" si="7"/>
        <v>371.54536746252899</v>
      </c>
      <c r="BH56" s="59">
        <f t="shared" si="8"/>
        <v>664.8787007958623</v>
      </c>
      <c r="BI56" s="59">
        <f ca="1">AVERAGE(OFFSET($BH$3,0,0,'Données projet'!$E$11+1,1))-AVERAGE(OFFSET($H$3,0,0,'Données projet'!$E$11+1,1))</f>
        <v>581.88778927327667</v>
      </c>
      <c r="BJ56" s="59">
        <f t="shared" si="38"/>
        <v>269.67340993773422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8.8100484964564476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8.8100484964564476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178.99714950000015</v>
      </c>
      <c r="CA56" s="13">
        <f t="shared" si="39"/>
        <v>45.098997909899069</v>
      </c>
      <c r="CB56" s="20">
        <f t="shared" si="10"/>
        <v>390.30079007224117</v>
      </c>
      <c r="CC56" s="59">
        <f t="shared" si="11"/>
        <v>683.63412340557443</v>
      </c>
      <c r="CD56" s="59">
        <f ca="1">AVERAGE(OFFSET($CC$3,0,0,'Données projet'!$E$12+1,1))-AVERAGE(OFFSET($H$3,0,0,'Données projet'!$E$12+1,1))</f>
        <v>609.60019207204277</v>
      </c>
      <c r="CE56" s="59">
        <f t="shared" si="40"/>
        <v>281.42238288764503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9.2657406600662657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9.2657406600662657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3.1002999999999985</v>
      </c>
      <c r="CT56" s="12">
        <f>IF('Données projet'!$A$140&gt;35,CT55+CS56-DB55,IF(A56&lt;'Données projet'!$A$140,$CQ$205^A56,IF(A56='Données projet'!$A$140,'Données projet'!$B$140,CT55+CS56-DB55)))</f>
        <v>113.48539999999993</v>
      </c>
      <c r="CU56" s="17">
        <f>CT56*VLOOKUP('Données projet'!$B$13,Paramètres!$A$1:$I$89,3,0)*VLOOKUP('Données projet'!$B$13,Paramètres!$A$1:$I$89,5,0)</f>
        <v>90.288984239999948</v>
      </c>
      <c r="CV56" s="13">
        <f t="shared" si="41"/>
        <v>24.634908024858088</v>
      </c>
      <c r="CW56" s="20">
        <f t="shared" si="13"/>
        <v>200.1591123612944</v>
      </c>
      <c r="CX56" s="59">
        <f t="shared" si="14"/>
        <v>493.49244569462769</v>
      </c>
      <c r="CY56" s="59">
        <f ca="1">AVERAGE(OFFSET($CX$3,0,0,'Données projet'!$E$13+1,1))-AVERAGE(OFFSET($H$3,0,0,'Données projet'!$E$13+1,1))</f>
        <v>172.13940525084604</v>
      </c>
      <c r="CZ56" s="59">
        <f t="shared" si="42"/>
        <v>172.82328007157236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2.2498616288600375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2.2498616288600375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1.7053025658242404E-13</v>
      </c>
      <c r="DP56" s="17">
        <f>DO56*VLOOKUP('Données projet'!$B$14,Paramètres!$A$1:$I$89,3,0)*VLOOKUP('Données projet'!$B$14,Paramètres!$A$1:$I$89,5,0)</f>
        <v>1.250327841262333E-13</v>
      </c>
      <c r="DQ56" s="13">
        <f t="shared" si="43"/>
        <v>1.8301318724634299E-12</v>
      </c>
      <c r="DR56" s="20">
        <f t="shared" si="16"/>
        <v>3.405245110226996E-12</v>
      </c>
      <c r="DS56" s="59">
        <f t="shared" si="17"/>
        <v>293.33333333333672</v>
      </c>
      <c r="DT56" s="59">
        <f ca="1">AVERAGE(OFFSET($DS$3,0,0,'Données projet'!$E$14+1,1))-AVERAGE(OFFSET($H$3,0,0,'Données projet'!$E$14+1,1))</f>
        <v>197.34725966440715</v>
      </c>
      <c r="DU56" s="59">
        <f t="shared" si="44"/>
        <v>240.16326570529532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41.22820210951123</v>
      </c>
      <c r="EB56" s="21">
        <f>EXP(-LN(2)/25)*EB55+(1-EXP(-LN(2)/25))/(LN(2)/25)*Calculateur!DW56*Calculateur!DY56*VLOOKUP('Données projet'!$B$14,Paramètres!$A$1:$I$89,3,0)*0.475*44/12</f>
        <v>28.340812127241204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69.569014236752437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9.375</v>
      </c>
      <c r="EJ56" s="12">
        <f>IF('Données projet'!$A$192&gt;35,EJ55+EI56-ER55,IF(A56&lt;'Données projet'!$A$192,$EG$205^A56,IF(A56='Données projet'!$A$192,'Données projet'!$B$192,EJ55+EI56-ER55)))</f>
        <v>231.37499999999989</v>
      </c>
      <c r="EK56" s="17">
        <f>EJ56*VLOOKUP('Données projet'!$B$15,Paramètres!$A$1:$I$89,3,0)*VLOOKUP('Données projet'!$B$15,Paramètres!$A$1:$I$89,5,0)</f>
        <v>180.47249999999991</v>
      </c>
      <c r="EL56" s="13">
        <f t="shared" si="45"/>
        <v>45.427292666837829</v>
      </c>
      <c r="EM56" s="20">
        <f t="shared" si="19"/>
        <v>393.44213889474241</v>
      </c>
      <c r="EN56" s="59">
        <f t="shared" si="20"/>
        <v>686.77547222807573</v>
      </c>
      <c r="EO56" s="59">
        <f ca="1">AVERAGE(OFFSET($EN$3,0,0,'Données projet'!$E$15+1,1))-AVERAGE(OFFSET($H$3,0,0,'Données projet'!$E$15+1,1))</f>
        <v>288.82868507674738</v>
      </c>
      <c r="EP56" s="59">
        <f t="shared" si="46"/>
        <v>283.48738729114024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29.487160698487735</v>
      </c>
      <c r="EW56" s="21">
        <f>EXP(-LN(2)/25)*EW55+(1-EXP(-LN(2)/25))/(LN(2)/25)*Calculateur!ER56*Calculateur!ET56*VLOOKUP('Données projet'!$B$15,Paramètres!$A$1:$I$89,3,0)*0.475*44/12</f>
        <v>16.372103765875195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45.85926446436293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9.5537500000000009</v>
      </c>
      <c r="N57" s="13">
        <f>IF('Données projet'!$A$36&gt;35,N56+M57-V56,IF(A57&lt;'Données projet'!$A$36,$K$205^A57,IF(A57='Données projet'!$A$36,'Données projet'!$B$36,N56+M57-V56)))</f>
        <v>197.65500000000017</v>
      </c>
      <c r="O57" s="13">
        <f>N57*VLOOKUP('Données projet'!$B$9,Paramètres!$A$1:$I$89,3,0)*VLOOKUP('Données projet'!$B$9,Paramètres!$A$1:$I$89,5,0)</f>
        <v>178.83824400000015</v>
      </c>
      <c r="P57" s="13">
        <f t="shared" si="33"/>
        <v>45.06361953668285</v>
      </c>
      <c r="Q57" s="20">
        <f t="shared" si="53"/>
        <v>389.96241232638954</v>
      </c>
      <c r="R57" s="59">
        <f t="shared" si="0"/>
        <v>683.2957456597228</v>
      </c>
      <c r="S57" s="59">
        <f ca="1">AVERAGE(OFFSET($R$3,0,0,'Données projet'!$E$9+1,1))-AVERAGE(OFFSET($H$3,0,0,'Données projet'!$E$9+1,1))</f>
        <v>581.88778927327667</v>
      </c>
      <c r="T57" s="59">
        <f t="shared" si="34"/>
        <v>269.67340993773422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8.6372888190399202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8.6372888190399202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185.40000000000003</v>
      </c>
      <c r="AJ57" s="13">
        <f>AI57*VLOOKUP('Données projet'!$B$10,Paramètres!$A$1:$I$89,3,0)*VLOOKUP('Données projet'!$B$10,Paramètres!$A$1:$I$89,5,0)</f>
        <v>121.47408000000001</v>
      </c>
      <c r="AK57" s="13">
        <f t="shared" si="35"/>
        <v>32.018559567275666</v>
      </c>
      <c r="AL57" s="20">
        <f t="shared" si="4"/>
        <v>267.33301391300517</v>
      </c>
      <c r="AM57" s="59">
        <f t="shared" si="5"/>
        <v>560.66634724633855</v>
      </c>
      <c r="AN57" s="59">
        <f ca="1">AVERAGE(OFFSET($AM$3,0,0,'Données projet'!$E$10+1,1))-AVERAGE(OFFSET($H$3,0,0,'Données projet'!$E$10+1,1))</f>
        <v>230.58262378842818</v>
      </c>
      <c r="AO57" s="59">
        <f t="shared" si="36"/>
        <v>235.68746142880792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3.5326917072689872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3.5326917072689872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178.83824400000015</v>
      </c>
      <c r="BF57" s="13">
        <f t="shared" si="37"/>
        <v>45.06361953668285</v>
      </c>
      <c r="BG57" s="20">
        <f t="shared" si="7"/>
        <v>389.96241232638954</v>
      </c>
      <c r="BH57" s="59">
        <f t="shared" si="8"/>
        <v>683.2957456597228</v>
      </c>
      <c r="BI57" s="59">
        <f ca="1">AVERAGE(OFFSET($BH$3,0,0,'Données projet'!$E$11+1,1))-AVERAGE(OFFSET($H$3,0,0,'Données projet'!$E$11+1,1))</f>
        <v>581.88778927327667</v>
      </c>
      <c r="BJ57" s="59">
        <f t="shared" si="38"/>
        <v>269.67340993773422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8.6372888190399202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8.6372888190399202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188.08849800000019</v>
      </c>
      <c r="CA57" s="13">
        <f t="shared" si="39"/>
        <v>47.117098521969908</v>
      </c>
      <c r="CB57" s="20">
        <f t="shared" si="10"/>
        <v>409.64974727576458</v>
      </c>
      <c r="CC57" s="59">
        <f t="shared" si="11"/>
        <v>702.9830806090979</v>
      </c>
      <c r="CD57" s="59">
        <f ca="1">AVERAGE(OFFSET($CC$3,0,0,'Données projet'!$E$12+1,1))-AVERAGE(OFFSET($H$3,0,0,'Données projet'!$E$12+1,1))</f>
        <v>609.60019207204277</v>
      </c>
      <c r="CE57" s="59">
        <f t="shared" si="40"/>
        <v>281.42238288764503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9.0840451372661253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9.0840451372661253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3.1002999999999985</v>
      </c>
      <c r="CT57" s="12">
        <f>IF('Données projet'!$A$140&gt;35,CT56+CS57-DB56,IF(A57&lt;'Données projet'!$A$140,$CQ$205^A57,IF(A57='Données projet'!$A$140,'Données projet'!$B$140,CT56+CS57-DB56)))</f>
        <v>116.58569999999993</v>
      </c>
      <c r="CU57" s="17">
        <f>CT57*VLOOKUP('Données projet'!$B$13,Paramètres!$A$1:$I$89,3,0)*VLOOKUP('Données projet'!$B$13,Paramètres!$A$1:$I$89,5,0)</f>
        <v>92.755582919999952</v>
      </c>
      <c r="CV57" s="13">
        <f t="shared" si="41"/>
        <v>25.228634273963689</v>
      </c>
      <c r="CW57" s="20">
        <f t="shared" si="13"/>
        <v>205.48917827948665</v>
      </c>
      <c r="CX57" s="59">
        <f t="shared" si="14"/>
        <v>498.82251161281999</v>
      </c>
      <c r="CY57" s="59">
        <f ca="1">AVERAGE(OFFSET($CX$3,0,0,'Données projet'!$E$13+1,1))-AVERAGE(OFFSET($H$3,0,0,'Données projet'!$E$13+1,1))</f>
        <v>172.13940525084604</v>
      </c>
      <c r="CZ57" s="59">
        <f t="shared" si="42"/>
        <v>172.82328007157236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2.2057432145981846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2.2057432145981846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1.7053025658242404E-13</v>
      </c>
      <c r="DP57" s="17">
        <f>DO57*VLOOKUP('Données projet'!$B$14,Paramètres!$A$1:$I$89,3,0)*VLOOKUP('Données projet'!$B$14,Paramètres!$A$1:$I$89,5,0)</f>
        <v>1.250327841262333E-13</v>
      </c>
      <c r="DQ57" s="13">
        <f t="shared" si="43"/>
        <v>1.8301318724634299E-12</v>
      </c>
      <c r="DR57" s="20">
        <f t="shared" si="16"/>
        <v>3.405245110226996E-12</v>
      </c>
      <c r="DS57" s="59">
        <f t="shared" si="17"/>
        <v>293.33333333333672</v>
      </c>
      <c r="DT57" s="59">
        <f ca="1">AVERAGE(OFFSET($DS$3,0,0,'Données projet'!$E$14+1,1))-AVERAGE(OFFSET($H$3,0,0,'Données projet'!$E$14+1,1))</f>
        <v>197.34725966440715</v>
      </c>
      <c r="DU57" s="59">
        <f t="shared" si="44"/>
        <v>240.16326570529532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40.419742212863966</v>
      </c>
      <c r="EB57" s="21">
        <f>EXP(-LN(2)/25)*EB56+(1-EXP(-LN(2)/25))/(LN(2)/25)*Calculateur!DW57*Calculateur!DY57*VLOOKUP('Données projet'!$B$14,Paramètres!$A$1:$I$89,3,0)*0.475*44/12</f>
        <v>27.565831129243257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67.985573342107216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9.375</v>
      </c>
      <c r="EJ57" s="12">
        <f>IF('Données projet'!$A$192&gt;35,EJ56+EI57-ER56,IF(A57&lt;'Données projet'!$A$192,$EG$205^A57,IF(A57='Données projet'!$A$192,'Données projet'!$B$192,EJ56+EI57-ER56)))</f>
        <v>240.74999999999989</v>
      </c>
      <c r="EK57" s="17">
        <f>EJ57*VLOOKUP('Données projet'!$B$15,Paramètres!$A$1:$I$89,3,0)*VLOOKUP('Données projet'!$B$15,Paramètres!$A$1:$I$89,5,0)</f>
        <v>187.78499999999991</v>
      </c>
      <c r="EL57" s="13">
        <f t="shared" si="45"/>
        <v>47.049914090154054</v>
      </c>
      <c r="EM57" s="20">
        <f t="shared" si="19"/>
        <v>409.0041420403515</v>
      </c>
      <c r="EN57" s="59">
        <f t="shared" si="20"/>
        <v>702.33747537368481</v>
      </c>
      <c r="EO57" s="59">
        <f ca="1">AVERAGE(OFFSET($EN$3,0,0,'Données projet'!$E$15+1,1))-AVERAGE(OFFSET($H$3,0,0,'Données projet'!$E$15+1,1))</f>
        <v>288.82868507674738</v>
      </c>
      <c r="EP57" s="59">
        <f t="shared" si="46"/>
        <v>283.48738729114024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28.908935462582505</v>
      </c>
      <c r="EW57" s="21">
        <f>EXP(-LN(2)/25)*EW56+(1-EXP(-LN(2)/25))/(LN(2)/25)*Calculateur!ER57*Calculateur!ET57*VLOOKUP('Données projet'!$B$15,Paramètres!$A$1:$I$89,3,0)*0.475*44/12</f>
        <v>15.92440772742582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44.833343190008321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9.5537500000000009</v>
      </c>
      <c r="N58" s="13">
        <f>IF('Données projet'!$A$36&gt;35,N57+M58-V57,IF(A58&lt;'Données projet'!$A$36,$K$205^A58,IF(A58='Données projet'!$A$36,'Données projet'!$B$36,N57+M58-V57)))</f>
        <v>207.20875000000018</v>
      </c>
      <c r="O58" s="13">
        <f>N58*VLOOKUP('Données projet'!$B$9,Paramètres!$A$1:$I$89,3,0)*VLOOKUP('Données projet'!$B$9,Paramètres!$A$1:$I$89,5,0)</f>
        <v>187.48247700000016</v>
      </c>
      <c r="P58" s="13">
        <f t="shared" si="33"/>
        <v>46.982932911694917</v>
      </c>
      <c r="Q58" s="20">
        <f t="shared" si="53"/>
        <v>408.3605889295356</v>
      </c>
      <c r="R58" s="59">
        <f t="shared" si="0"/>
        <v>701.69392226286891</v>
      </c>
      <c r="S58" s="59">
        <f ca="1">AVERAGE(OFFSET($R$3,0,0,'Données projet'!$E$9+1,1))-AVERAGE(OFFSET($H$3,0,0,'Données projet'!$E$9+1,1))</f>
        <v>581.88778927327667</v>
      </c>
      <c r="T58" s="59">
        <f t="shared" si="34"/>
        <v>269.67340993773422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8.4679168535245335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8.4679168535245335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191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191.00000000000003</v>
      </c>
      <c r="AJ58" s="13">
        <f>AI58*VLOOKUP('Données projet'!$B$10,Paramètres!$A$1:$I$89,3,0)*VLOOKUP('Données projet'!$B$10,Paramètres!$A$1:$I$89,5,0)</f>
        <v>125.14320000000002</v>
      </c>
      <c r="AK58" s="13">
        <f t="shared" si="35"/>
        <v>32.871620642334328</v>
      </c>
      <c r="AL58" s="20">
        <f t="shared" si="4"/>
        <v>275.20914595206563</v>
      </c>
      <c r="AM58" s="59">
        <f t="shared" si="5"/>
        <v>568.54247928539894</v>
      </c>
      <c r="AN58" s="59">
        <f ca="1">AVERAGE(OFFSET($AM$3,0,0,'Données projet'!$E$10+1,1))-AVERAGE(OFFSET($H$3,0,0,'Données projet'!$E$10+1,1))</f>
        <v>230.58262378842818</v>
      </c>
      <c r="AO58" s="59">
        <f t="shared" si="36"/>
        <v>235.68746142880792</v>
      </c>
      <c r="AP58" s="15">
        <f>IF(ISNA(VLOOKUP(A58,'Données projet'!$A$61:$I$81,3,0)),0,VLOOKUP(A58,'Données projet'!$A$61:$I$81,3,0))</f>
        <v>10</v>
      </c>
      <c r="AQ58" s="15">
        <f>IF(ISNA(VLOOKUP(A58,'Données projet'!$A$61:$I$81,4,0)),0,VLOOKUP(A58,'Données projet'!$A$61:$I$81,4,0))</f>
        <v>20</v>
      </c>
      <c r="AR58" s="16">
        <f>IF(ISNA(VLOOKUP(A58,'Données projet'!$A$61:$I$81,5,0)),0%,VLOOKUP(A58,'Données projet'!$A$61:$I$81,5,0)*VLOOKUP('Données projet'!$B$10,Paramètres!$A$1:$I$89,7,0))</f>
        <v>0.129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5.3321225947071937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5.3321225947071937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187.48247700000016</v>
      </c>
      <c r="BF58" s="13">
        <f t="shared" si="37"/>
        <v>46.982932911694917</v>
      </c>
      <c r="BG58" s="20">
        <f t="shared" si="7"/>
        <v>408.3605889295356</v>
      </c>
      <c r="BH58" s="59">
        <f t="shared" si="8"/>
        <v>701.69392226286891</v>
      </c>
      <c r="BI58" s="59">
        <f ca="1">AVERAGE(OFFSET($BH$3,0,0,'Données projet'!$E$11+1,1))-AVERAGE(OFFSET($H$3,0,0,'Données projet'!$E$11+1,1))</f>
        <v>581.88778927327667</v>
      </c>
      <c r="BJ58" s="59">
        <f t="shared" si="38"/>
        <v>269.67340993773422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8.4679168535245335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8.4679168535245335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197.17984650000017</v>
      </c>
      <c r="CA58" s="13">
        <f t="shared" si="39"/>
        <v>49.123872019410832</v>
      </c>
      <c r="CB58" s="20">
        <f t="shared" si="10"/>
        <v>428.97897642130755</v>
      </c>
      <c r="CC58" s="59">
        <f t="shared" si="11"/>
        <v>722.31230975464086</v>
      </c>
      <c r="CD58" s="59">
        <f ca="1">AVERAGE(OFFSET($CC$3,0,0,'Données projet'!$E$12+1,1))-AVERAGE(OFFSET($H$3,0,0,'Données projet'!$E$12+1,1))</f>
        <v>609.60019207204277</v>
      </c>
      <c r="CE58" s="59">
        <f t="shared" si="40"/>
        <v>281.42238288764503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8.9059125528447698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8.9059125528447698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119.68599999999999</v>
      </c>
      <c r="CR58" s="12">
        <f>VLOOKUP(A58,'Données projet'!$A$139:$I$159,9,0)</f>
        <v>3.1002999999999985</v>
      </c>
      <c r="CS58" s="12">
        <f t="array" ref="CS58">INDEX(CR:CR,MIN(IF(ISNUMBER(CR58:CR254),ROW(CR58:CR254),"")))</f>
        <v>3.1002999999999985</v>
      </c>
      <c r="CT58" s="12">
        <f>IF('Données projet'!$A$140&gt;35,CT57+CS58-DB57,IF(A58&lt;'Données projet'!$A$140,$CQ$205^A58,IF(A58='Données projet'!$A$140,'Données projet'!$B$140,CT57+CS58-DB57)))</f>
        <v>119.68599999999994</v>
      </c>
      <c r="CU58" s="17">
        <f>CT58*VLOOKUP('Données projet'!$B$13,Paramètres!$A$1:$I$89,3,0)*VLOOKUP('Données projet'!$B$13,Paramètres!$A$1:$I$89,5,0)</f>
        <v>95.222181599999956</v>
      </c>
      <c r="CV58" s="13">
        <f t="shared" si="41"/>
        <v>25.820525338353143</v>
      </c>
      <c r="CW58" s="20">
        <f t="shared" si="13"/>
        <v>210.81604791763161</v>
      </c>
      <c r="CX58" s="59">
        <f t="shared" si="14"/>
        <v>504.14938125096489</v>
      </c>
      <c r="CY58" s="59">
        <f ca="1">AVERAGE(OFFSET($CX$3,0,0,'Données projet'!$E$13+1,1))-AVERAGE(OFFSET($H$3,0,0,'Données projet'!$E$13+1,1))</f>
        <v>172.13940525084604</v>
      </c>
      <c r="CZ58" s="59">
        <f t="shared" si="42"/>
        <v>172.82328007157236</v>
      </c>
      <c r="DA58" s="15">
        <f>IF(ISNA(VLOOKUP(A58,'Données projet'!$A$139:$I$159,3,0)),0,VLOOKUP(A58,'Données projet'!$A$139:$I$159,3,0))</f>
        <v>10</v>
      </c>
      <c r="DB58" s="15">
        <f>IF(ISNA(VLOOKUP(A58,'Données projet'!$A$139:$I$159,4,0)),0,VLOOKUP(A58,'Données projet'!$A$139:$I$159,4,0))</f>
        <v>6.8494999999999999</v>
      </c>
      <c r="DC58" s="16">
        <f>IF(ISNA(VLOOKUP(A58,'Données projet'!$A$139:$I$159,5,0)),0%,VLOOKUP(A58,'Données projet'!$A$139:$I$159,5,0)*VLOOKUP('Données projet'!$B$13,Paramètres!$A$1:$I$89,7,0))</f>
        <v>0.159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3.1203407639214609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3.1203407639214609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1.7053025658242404E-13</v>
      </c>
      <c r="DP58" s="17">
        <f>DO58*VLOOKUP('Données projet'!$B$14,Paramètres!$A$1:$I$89,3,0)*VLOOKUP('Données projet'!$B$14,Paramètres!$A$1:$I$89,5,0)</f>
        <v>1.250327841262333E-13</v>
      </c>
      <c r="DQ58" s="13">
        <f t="shared" si="43"/>
        <v>1.8301318724634299E-12</v>
      </c>
      <c r="DR58" s="20">
        <f t="shared" si="16"/>
        <v>3.405245110226996E-12</v>
      </c>
      <c r="DS58" s="59">
        <f t="shared" si="17"/>
        <v>293.33333333333672</v>
      </c>
      <c r="DT58" s="59">
        <f ca="1">AVERAGE(OFFSET($DS$3,0,0,'Données projet'!$E$14+1,1))-AVERAGE(OFFSET($H$3,0,0,'Données projet'!$E$14+1,1))</f>
        <v>197.34725966440715</v>
      </c>
      <c r="DU58" s="59">
        <f t="shared" si="44"/>
        <v>240.16326570529532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39.627135721678108</v>
      </c>
      <c r="EB58" s="21">
        <f>EXP(-LN(2)/25)*EB57+(1-EXP(-LN(2)/25))/(LN(2)/25)*Calculateur!DW58*Calculateur!DY58*VLOOKUP('Données projet'!$B$14,Paramètres!$A$1:$I$89,3,0)*0.475*44/12</f>
        <v>26.812042027390042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66.439177749068151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9.375</v>
      </c>
      <c r="EJ58" s="12">
        <f>IF('Données projet'!$A$192&gt;35,EJ57+EI58-ER57,IF(A58&lt;'Données projet'!$A$192,$EG$205^A58,IF(A58='Données projet'!$A$192,'Données projet'!$B$192,EJ57+EI58-ER57)))</f>
        <v>250.12499999999989</v>
      </c>
      <c r="EK58" s="17">
        <f>EJ58*VLOOKUP('Données projet'!$B$15,Paramètres!$A$1:$I$89,3,0)*VLOOKUP('Données projet'!$B$15,Paramètres!$A$1:$I$89,5,0)</f>
        <v>195.09749999999991</v>
      </c>
      <c r="EL58" s="13">
        <f t="shared" si="45"/>
        <v>48.66519532492579</v>
      </c>
      <c r="EM58" s="20">
        <f t="shared" si="19"/>
        <v>424.55336102424553</v>
      </c>
      <c r="EN58" s="59">
        <f t="shared" si="20"/>
        <v>717.88669435757879</v>
      </c>
      <c r="EO58" s="59">
        <f ca="1">AVERAGE(OFFSET($EN$3,0,0,'Données projet'!$E$15+1,1))-AVERAGE(OFFSET($H$3,0,0,'Données projet'!$E$15+1,1))</f>
        <v>288.82868507674738</v>
      </c>
      <c r="EP58" s="59">
        <f t="shared" si="46"/>
        <v>283.48738729114024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28.342048870870808</v>
      </c>
      <c r="EW58" s="21">
        <f>EXP(-LN(2)/25)*EW57+(1-EXP(-LN(2)/25))/(LN(2)/25)*Calculateur!ER58*Calculateur!ET58*VLOOKUP('Données projet'!$B$15,Paramètres!$A$1:$I$89,3,0)*0.475*44/12</f>
        <v>15.488953960691154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43.83100283156196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9.5537500000000009</v>
      </c>
      <c r="N59" s="13">
        <f>IF('Données projet'!$A$36&gt;35,N58+M59-V58,IF(A59&lt;'Données projet'!$A$36,$K$205^A59,IF(A59='Données projet'!$A$36,'Données projet'!$B$36,N58+M59-V58)))</f>
        <v>216.76250000000019</v>
      </c>
      <c r="O59" s="13">
        <f>N59*VLOOKUP('Données projet'!$B$9,Paramètres!$A$1:$I$89,3,0)*VLOOKUP('Données projet'!$B$9,Paramètres!$A$1:$I$89,5,0)</f>
        <v>196.12671000000017</v>
      </c>
      <c r="P59" s="13">
        <f t="shared" si="33"/>
        <v>48.891969383051702</v>
      </c>
      <c r="Q59" s="20">
        <f t="shared" si="53"/>
        <v>426.74086659214868</v>
      </c>
      <c r="R59" s="59">
        <f t="shared" si="0"/>
        <v>720.07419992548193</v>
      </c>
      <c r="S59" s="59">
        <f ca="1">AVERAGE(OFFSET($R$3,0,0,'Données projet'!$E$9+1,1))-AVERAGE(OFFSET($H$3,0,0,'Données projet'!$E$9+1,1))</f>
        <v>581.88778927327667</v>
      </c>
      <c r="T59" s="59">
        <f t="shared" si="34"/>
        <v>269.67340993773422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8.301866168946205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8.301866168946205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</v>
      </c>
      <c r="AI59" s="13">
        <f>IF('Données projet'!$A$62&gt;35,AI58+AH59-AQ58,IF(A59&lt;'Données projet'!$A$62,$AF$205^A59,IF(A59='Données projet'!$A$62,'Données projet'!$B$62,AI58+AH59-AQ58)))</f>
        <v>176.00000000000003</v>
      </c>
      <c r="AJ59" s="13">
        <f>AI59*VLOOKUP('Données projet'!$B$10,Paramètres!$A$1:$I$89,3,0)*VLOOKUP('Données projet'!$B$10,Paramètres!$A$1:$I$89,5,0)</f>
        <v>115.31520000000003</v>
      </c>
      <c r="AK59" s="13">
        <f t="shared" si="35"/>
        <v>30.579827148797317</v>
      </c>
      <c r="AL59" s="20">
        <f t="shared" si="4"/>
        <v>254.10050561748869</v>
      </c>
      <c r="AM59" s="59">
        <f t="shared" si="5"/>
        <v>547.43383895082206</v>
      </c>
      <c r="AN59" s="59">
        <f ca="1">AVERAGE(OFFSET($AM$3,0,0,'Données projet'!$E$10+1,1))-AVERAGE(OFFSET($H$3,0,0,'Données projet'!$E$10+1,1))</f>
        <v>230.58262378842818</v>
      </c>
      <c r="AO59" s="59">
        <f t="shared" si="36"/>
        <v>235.68746142880792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5.2275629228986329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5.2275629228986329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196.12671000000017</v>
      </c>
      <c r="BF59" s="13">
        <f t="shared" si="37"/>
        <v>48.891969383051702</v>
      </c>
      <c r="BG59" s="20">
        <f t="shared" si="7"/>
        <v>426.74086659214868</v>
      </c>
      <c r="BH59" s="59">
        <f t="shared" si="8"/>
        <v>720.07419992548193</v>
      </c>
      <c r="BI59" s="59">
        <f ca="1">AVERAGE(OFFSET($BH$3,0,0,'Données projet'!$E$11+1,1))-AVERAGE(OFFSET($H$3,0,0,'Données projet'!$E$11+1,1))</f>
        <v>581.88778927327667</v>
      </c>
      <c r="BJ59" s="59">
        <f t="shared" si="38"/>
        <v>269.67340993773422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8.301866168946205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8.301866168946205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206.27119500000018</v>
      </c>
      <c r="CA59" s="13">
        <f t="shared" si="39"/>
        <v>51.11990031069643</v>
      </c>
      <c r="CB59" s="20">
        <f t="shared" si="10"/>
        <v>448.28949099946317</v>
      </c>
      <c r="CC59" s="59">
        <f t="shared" si="11"/>
        <v>741.62282433279643</v>
      </c>
      <c r="CD59" s="59">
        <f ca="1">AVERAGE(OFFSET($CC$3,0,0,'Données projet'!$E$12+1,1))-AVERAGE(OFFSET($H$3,0,0,'Données projet'!$E$12+1,1))</f>
        <v>609.60019207204277</v>
      </c>
      <c r="CE59" s="59">
        <f t="shared" si="40"/>
        <v>281.42238288764503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8.7312730397537681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8.7312730397537681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2.6677000000000022</v>
      </c>
      <c r="CT59" s="12">
        <f>IF('Données projet'!$A$140&gt;35,CT58+CS59-DB58,IF(A59&lt;'Données projet'!$A$140,$CQ$205^A59,IF(A59='Données projet'!$A$140,'Données projet'!$B$140,CT58+CS59-DB58)))</f>
        <v>115.50419999999993</v>
      </c>
      <c r="CU59" s="17">
        <f>CT59*VLOOKUP('Données projet'!$B$13,Paramètres!$A$1:$I$89,3,0)*VLOOKUP('Données projet'!$B$13,Paramètres!$A$1:$I$89,5,0)</f>
        <v>91.895141519999953</v>
      </c>
      <c r="CV59" s="13">
        <f t="shared" si="41"/>
        <v>25.021731693203296</v>
      </c>
      <c r="CW59" s="20">
        <f t="shared" si="13"/>
        <v>203.63022084632897</v>
      </c>
      <c r="CX59" s="59">
        <f t="shared" si="14"/>
        <v>496.96355417966231</v>
      </c>
      <c r="CY59" s="59">
        <f ca="1">AVERAGE(OFFSET($CX$3,0,0,'Données projet'!$E$13+1,1))-AVERAGE(OFFSET($H$3,0,0,'Données projet'!$E$13+1,1))</f>
        <v>172.13940525084604</v>
      </c>
      <c r="CZ59" s="59">
        <f t="shared" si="42"/>
        <v>172.82328007157236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3.0591527847608995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3.0591527847608995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1.7053025658242404E-13</v>
      </c>
      <c r="DP59" s="17">
        <f>DO59*VLOOKUP('Données projet'!$B$14,Paramètres!$A$1:$I$89,3,0)*VLOOKUP('Données projet'!$B$14,Paramètres!$A$1:$I$89,5,0)</f>
        <v>1.250327841262333E-13</v>
      </c>
      <c r="DQ59" s="13">
        <f t="shared" si="43"/>
        <v>1.8301318724634299E-12</v>
      </c>
      <c r="DR59" s="20">
        <f t="shared" si="16"/>
        <v>3.405245110226996E-12</v>
      </c>
      <c r="DS59" s="59">
        <f t="shared" si="17"/>
        <v>293.33333333333672</v>
      </c>
      <c r="DT59" s="59">
        <f ca="1">AVERAGE(OFFSET($DS$3,0,0,'Données projet'!$E$14+1,1))-AVERAGE(OFFSET($H$3,0,0,'Données projet'!$E$14+1,1))</f>
        <v>197.34725966440715</v>
      </c>
      <c r="DU59" s="59">
        <f t="shared" si="44"/>
        <v>240.16326570529532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38.850071760342182</v>
      </c>
      <c r="EB59" s="21">
        <f>EXP(-LN(2)/25)*EB58+(1-EXP(-LN(2)/25))/(LN(2)/25)*Calculateur!DW59*Calculateur!DY59*VLOOKUP('Données projet'!$B$14,Paramètres!$A$1:$I$89,3,0)*0.475*44/12</f>
        <v>26.078865328167051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64.92893708850923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9.375</v>
      </c>
      <c r="EJ59" s="12">
        <f>IF('Données projet'!$A$192&gt;35,EJ58+EI59-ER58,IF(A59&lt;'Données projet'!$A$192,$EG$205^A59,IF(A59='Données projet'!$A$192,'Données projet'!$B$192,EJ58+EI59-ER58)))</f>
        <v>259.49999999999989</v>
      </c>
      <c r="EK59" s="17">
        <f>EJ59*VLOOKUP('Données projet'!$B$15,Paramètres!$A$1:$I$89,3,0)*VLOOKUP('Données projet'!$B$15,Paramètres!$A$1:$I$89,5,0)</f>
        <v>202.40999999999991</v>
      </c>
      <c r="EL59" s="13">
        <f t="shared" si="45"/>
        <v>50.273442991661817</v>
      </c>
      <c r="EM59" s="20">
        <f t="shared" si="19"/>
        <v>440.09032987714414</v>
      </c>
      <c r="EN59" s="59">
        <f t="shared" si="20"/>
        <v>733.42366321047746</v>
      </c>
      <c r="EO59" s="59">
        <f ca="1">AVERAGE(OFFSET($EN$3,0,0,'Données projet'!$E$15+1,1))-AVERAGE(OFFSET($H$3,0,0,'Données projet'!$E$15+1,1))</f>
        <v>288.82868507674738</v>
      </c>
      <c r="EP59" s="59">
        <f t="shared" si="46"/>
        <v>283.48738729114024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27.7862785794559</v>
      </c>
      <c r="EW59" s="21">
        <f>EXP(-LN(2)/25)*EW58+(1-EXP(-LN(2)/25))/(LN(2)/25)*Calculateur!ER59*Calculateur!ET59*VLOOKUP('Données projet'!$B$15,Paramètres!$A$1:$I$89,3,0)*0.475*44/12</f>
        <v>15.065407700107366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42.851686279563268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9.5537500000000009</v>
      </c>
      <c r="N60" s="13">
        <f>IF('Données projet'!$A$36&gt;35,N59+M60-V59,IF(A60&lt;'Données projet'!$A$36,$K$205^A60,IF(A60='Données projet'!$A$36,'Données projet'!$B$36,N59+M60-V59)))</f>
        <v>226.3162500000002</v>
      </c>
      <c r="O60" s="13">
        <f>N60*VLOOKUP('Données projet'!$B$9,Paramètres!$A$1:$I$89,3,0)*VLOOKUP('Données projet'!$B$9,Paramètres!$A$1:$I$89,5,0)</f>
        <v>204.77094300000016</v>
      </c>
      <c r="P60" s="13">
        <f t="shared" si="33"/>
        <v>50.791233664926693</v>
      </c>
      <c r="Q60" s="20">
        <f t="shared" si="53"/>
        <v>445.10412435808092</v>
      </c>
      <c r="R60" s="59">
        <f t="shared" si="0"/>
        <v>738.43745769141424</v>
      </c>
      <c r="S60" s="59">
        <f ca="1">AVERAGE(OFFSET($R$3,0,0,'Données projet'!$E$9+1,1))-AVERAGE(OFFSET($H$3,0,0,'Données projet'!$E$9+1,1))</f>
        <v>581.88778927327667</v>
      </c>
      <c r="T60" s="59">
        <f t="shared" si="34"/>
        <v>269.67340993773422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8.1390716370115399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8.1390716370115399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</v>
      </c>
      <c r="AI60" s="13">
        <f>IF('Données projet'!$A$62&gt;35,AI59+AH60-AQ59,IF(A60&lt;'Données projet'!$A$62,$AF$205^A60,IF(A60='Données projet'!$A$62,'Données projet'!$B$62,AI59+AH60-AQ59)))</f>
        <v>181.00000000000003</v>
      </c>
      <c r="AJ60" s="13">
        <f>AI60*VLOOKUP('Données projet'!$B$10,Paramètres!$A$1:$I$89,3,0)*VLOOKUP('Données projet'!$B$10,Paramètres!$A$1:$I$89,5,0)</f>
        <v>118.59120000000001</v>
      </c>
      <c r="AK60" s="13">
        <f t="shared" si="35"/>
        <v>31.346194334434067</v>
      </c>
      <c r="AL60" s="20">
        <f t="shared" si="4"/>
        <v>261.14096179913935</v>
      </c>
      <c r="AM60" s="59">
        <f t="shared" si="5"/>
        <v>554.47429513247266</v>
      </c>
      <c r="AN60" s="59">
        <f ca="1">AVERAGE(OFFSET($AM$3,0,0,'Données projet'!$E$10+1,1))-AVERAGE(OFFSET($H$3,0,0,'Données projet'!$E$10+1,1))</f>
        <v>230.58262378842818</v>
      </c>
      <c r="AO60" s="59">
        <f t="shared" si="36"/>
        <v>235.68746142880792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5.1250536024791353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5.1250536024791353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204.77094300000016</v>
      </c>
      <c r="BF60" s="13">
        <f t="shared" si="37"/>
        <v>50.791233664926693</v>
      </c>
      <c r="BG60" s="20">
        <f t="shared" si="7"/>
        <v>445.10412435808092</v>
      </c>
      <c r="BH60" s="59">
        <f t="shared" si="8"/>
        <v>738.43745769141424</v>
      </c>
      <c r="BI60" s="59">
        <f ca="1">AVERAGE(OFFSET($BH$3,0,0,'Données projet'!$E$11+1,1))-AVERAGE(OFFSET($H$3,0,0,'Données projet'!$E$11+1,1))</f>
        <v>581.88778927327667</v>
      </c>
      <c r="BJ60" s="59">
        <f t="shared" si="38"/>
        <v>269.67340993773422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8.1390716370115399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8.1390716370115399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215.36254350000016</v>
      </c>
      <c r="CA60" s="13">
        <f t="shared" si="39"/>
        <v>53.105711109039405</v>
      </c>
      <c r="CB60" s="20">
        <f t="shared" si="10"/>
        <v>467.58221011074392</v>
      </c>
      <c r="CC60" s="59">
        <f t="shared" si="11"/>
        <v>760.91554344407723</v>
      </c>
      <c r="CD60" s="59">
        <f ca="1">AVERAGE(OFFSET($CC$3,0,0,'Données projet'!$E$12+1,1))-AVERAGE(OFFSET($H$3,0,0,'Données projet'!$E$12+1,1))</f>
        <v>609.60019207204277</v>
      </c>
      <c r="CE60" s="59">
        <f t="shared" si="40"/>
        <v>281.42238288764503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8.5600581009948957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8.5600581009948957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2.6677000000000022</v>
      </c>
      <c r="CT60" s="12">
        <f>IF('Données projet'!$A$140&gt;35,CT59+CS60-DB59,IF(A60&lt;'Données projet'!$A$140,$CQ$205^A60,IF(A60='Données projet'!$A$140,'Données projet'!$B$140,CT59+CS60-DB59)))</f>
        <v>118.17189999999992</v>
      </c>
      <c r="CU60" s="17">
        <f>CT60*VLOOKUP('Données projet'!$B$13,Paramètres!$A$1:$I$89,3,0)*VLOOKUP('Données projet'!$B$13,Paramètres!$A$1:$I$89,5,0)</f>
        <v>94.017563639999949</v>
      </c>
      <c r="CV60" s="13">
        <f t="shared" si="41"/>
        <v>25.531688128877423</v>
      </c>
      <c r="CW60" s="20">
        <f t="shared" si="13"/>
        <v>208.21494683079473</v>
      </c>
      <c r="CX60" s="59">
        <f t="shared" si="14"/>
        <v>501.54828016412807</v>
      </c>
      <c r="CY60" s="59">
        <f ca="1">AVERAGE(OFFSET($CX$3,0,0,'Données projet'!$E$13+1,1))-AVERAGE(OFFSET($H$3,0,0,'Données projet'!$E$13+1,1))</f>
        <v>172.13940525084604</v>
      </c>
      <c r="CZ60" s="59">
        <f t="shared" si="42"/>
        <v>172.82328007157236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2.9991646645506949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2.9991646645506949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1.7053025658242404E-13</v>
      </c>
      <c r="DP60" s="17">
        <f>DO60*VLOOKUP('Données projet'!$B$14,Paramètres!$A$1:$I$89,3,0)*VLOOKUP('Données projet'!$B$14,Paramètres!$A$1:$I$89,5,0)</f>
        <v>1.250327841262333E-13</v>
      </c>
      <c r="DQ60" s="13">
        <f t="shared" si="43"/>
        <v>1.8301318724634299E-12</v>
      </c>
      <c r="DR60" s="20">
        <f t="shared" si="16"/>
        <v>3.405245110226996E-12</v>
      </c>
      <c r="DS60" s="59">
        <f t="shared" si="17"/>
        <v>293.33333333333672</v>
      </c>
      <c r="DT60" s="59">
        <f ca="1">AVERAGE(OFFSET($DS$3,0,0,'Données projet'!$E$14+1,1))-AVERAGE(OFFSET($H$3,0,0,'Données projet'!$E$14+1,1))</f>
        <v>197.34725966440715</v>
      </c>
      <c r="DU60" s="59">
        <f t="shared" si="44"/>
        <v>240.16326570529532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38.08824554932584</v>
      </c>
      <c r="EB60" s="21">
        <f>EXP(-LN(2)/25)*EB59+(1-EXP(-LN(2)/25))/(LN(2)/25)*Calculateur!DW60*Calculateur!DY60*VLOOKUP('Données projet'!$B$14,Paramètres!$A$1:$I$89,3,0)*0.475*44/12</f>
        <v>25.365737384340399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63.453982933666239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9.375</v>
      </c>
      <c r="EJ60" s="12">
        <f>IF('Données projet'!$A$192&gt;35,EJ59+EI60-ER59,IF(A60&lt;'Données projet'!$A$192,$EG$205^A60,IF(A60='Données projet'!$A$192,'Données projet'!$B$192,EJ59+EI60-ER59)))</f>
        <v>268.87499999999989</v>
      </c>
      <c r="EK60" s="17">
        <f>EJ60*VLOOKUP('Données projet'!$B$15,Paramètres!$A$1:$I$89,3,0)*VLOOKUP('Données projet'!$B$15,Paramètres!$A$1:$I$89,5,0)</f>
        <v>209.72249999999991</v>
      </c>
      <c r="EL60" s="13">
        <f t="shared" si="45"/>
        <v>51.874940300502246</v>
      </c>
      <c r="EM60" s="20">
        <f t="shared" si="19"/>
        <v>455.61554185670792</v>
      </c>
      <c r="EN60" s="59">
        <f t="shared" si="20"/>
        <v>748.94887519004124</v>
      </c>
      <c r="EO60" s="59">
        <f ca="1">AVERAGE(OFFSET($EN$3,0,0,'Données projet'!$E$15+1,1))-AVERAGE(OFFSET($H$3,0,0,'Données projet'!$E$15+1,1))</f>
        <v>288.82868507674738</v>
      </c>
      <c r="EP60" s="59">
        <f t="shared" si="46"/>
        <v>283.48738729114024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27.24140660446923</v>
      </c>
      <c r="EW60" s="21">
        <f>EXP(-LN(2)/25)*EW59+(1-EXP(-LN(2)/25))/(LN(2)/25)*Calculateur!ER60*Calculateur!ET60*VLOOKUP('Données projet'!$B$15,Paramètres!$A$1:$I$89,3,0)*0.475*44/12</f>
        <v>14.653443334292572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41.894849938761801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>
        <f>VLOOKUP(A61,'Données projet'!$A$35:$I$55,2,0)</f>
        <v>235.87</v>
      </c>
      <c r="L61" s="12">
        <f>VLOOKUP(A61,'Données projet'!$A$35:$I$55,9,0)</f>
        <v>9.5537500000000009</v>
      </c>
      <c r="M61" s="12">
        <f t="array" ref="M61">INDEX(L:L,MIN(IF(ISNUMBER(L61:L257),ROW(L61:L257),"")))</f>
        <v>9.5537500000000009</v>
      </c>
      <c r="N61" s="13">
        <f>IF('Données projet'!$A$36&gt;35,N60+M61-V60,IF(A61&lt;'Données projet'!$A$36,$K$205^A61,IF(A61='Données projet'!$A$36,'Données projet'!$B$36,N60+M61-V60)))</f>
        <v>235.8700000000002</v>
      </c>
      <c r="O61" s="13">
        <f>N61*VLOOKUP('Données projet'!$B$9,Paramètres!$A$1:$I$89,3,0)*VLOOKUP('Données projet'!$B$9,Paramètres!$A$1:$I$89,5,0)</f>
        <v>213.41517600000017</v>
      </c>
      <c r="P61" s="13">
        <f t="shared" si="33"/>
        <v>52.681185448853228</v>
      </c>
      <c r="Q61" s="20">
        <f t="shared" si="53"/>
        <v>463.45116285675294</v>
      </c>
      <c r="R61" s="59">
        <f t="shared" si="0"/>
        <v>756.7844961900862</v>
      </c>
      <c r="S61" s="59">
        <f ca="1">AVERAGE(OFFSET($R$3,0,0,'Données projet'!$E$9+1,1))-AVERAGE(OFFSET($H$3,0,0,'Données projet'!$E$9+1,1))</f>
        <v>581.88778927327667</v>
      </c>
      <c r="T61" s="59">
        <f t="shared" si="34"/>
        <v>269.67340993773422</v>
      </c>
      <c r="U61" s="15">
        <f>IF(ISNA(VLOOKUP(A61,'Données projet'!$A$35:$I$55,3,0)),0,VLOOKUP(A61,'Données projet'!$A$35:$I$55,3,0))</f>
        <v>3</v>
      </c>
      <c r="V61" s="15">
        <f>IF(ISNA(VLOOKUP(A61,'Données projet'!$A$35:$I$55,4,0)),0,VLOOKUP(A61,'Données projet'!$A$35:$I$55,4,0))</f>
        <v>44.93</v>
      </c>
      <c r="W61" s="16">
        <f>IF(ISNA(VLOOKUP(A61,'Données projet'!$A$35:$I$55,5,0)),0%,VLOOKUP(A61,'Données projet'!$A$35:$I$55,5,0)*VLOOKUP('Données projet'!$B$9,Paramètres!$A$1:$I$89,7,0))</f>
        <v>0.129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13.776770157795863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13.776770157795863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</v>
      </c>
      <c r="AI61" s="13">
        <f>IF('Données projet'!$A$62&gt;35,AI60+AH61-AQ60,IF(A61&lt;'Données projet'!$A$62,$AF$205^A61,IF(A61='Données projet'!$A$62,'Données projet'!$B$62,AI60+AH61-AQ60)))</f>
        <v>186.00000000000003</v>
      </c>
      <c r="AJ61" s="13">
        <f>AI61*VLOOKUP('Données projet'!$B$10,Paramètres!$A$1:$I$89,3,0)*VLOOKUP('Données projet'!$B$10,Paramètres!$A$1:$I$89,5,0)</f>
        <v>121.86720000000001</v>
      </c>
      <c r="AK61" s="13">
        <f t="shared" si="35"/>
        <v>32.110100916567376</v>
      </c>
      <c r="AL61" s="20">
        <f t="shared" si="4"/>
        <v>268.17713242968824</v>
      </c>
      <c r="AM61" s="59">
        <f t="shared" si="5"/>
        <v>561.51046576302156</v>
      </c>
      <c r="AN61" s="59">
        <f ca="1">AVERAGE(OFFSET($AM$3,0,0,'Données projet'!$E$10+1,1))-AVERAGE(OFFSET($H$3,0,0,'Données projet'!$E$10+1,1))</f>
        <v>230.58262378842818</v>
      </c>
      <c r="AO61" s="59">
        <f t="shared" si="36"/>
        <v>235.68746142880792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5.0245544273085523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5.0245544273085523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213.41517600000017</v>
      </c>
      <c r="BF61" s="13">
        <f t="shared" si="37"/>
        <v>52.681185448853228</v>
      </c>
      <c r="BG61" s="20">
        <f t="shared" si="7"/>
        <v>463.45116285675294</v>
      </c>
      <c r="BH61" s="59">
        <f t="shared" si="8"/>
        <v>756.7844961900862</v>
      </c>
      <c r="BI61" s="59">
        <f ca="1">AVERAGE(OFFSET($BH$3,0,0,'Données projet'!$E$11+1,1))-AVERAGE(OFFSET($H$3,0,0,'Données projet'!$E$11+1,1))</f>
        <v>581.88778927327667</v>
      </c>
      <c r="BJ61" s="59">
        <f t="shared" si="38"/>
        <v>269.67340993773422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13.776770157795863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13.776770157795863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224.45389200000022</v>
      </c>
      <c r="CA61" s="13">
        <f t="shared" si="39"/>
        <v>55.081785053400523</v>
      </c>
      <c r="CB61" s="20">
        <f t="shared" si="10"/>
        <v>486.85797086800625</v>
      </c>
      <c r="CC61" s="59">
        <f t="shared" si="11"/>
        <v>780.19130420133956</v>
      </c>
      <c r="CD61" s="59">
        <f ca="1">AVERAGE(OFFSET($CC$3,0,0,'Données projet'!$E$12+1,1))-AVERAGE(OFFSET($H$3,0,0,'Données projet'!$E$12+1,1))</f>
        <v>609.60019207204277</v>
      </c>
      <c r="CE61" s="59">
        <f t="shared" si="40"/>
        <v>281.42238288764503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14.489361717681856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14.489361717681856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2.6677000000000022</v>
      </c>
      <c r="CT61" s="12">
        <f>IF('Données projet'!$A$140&gt;35,CT60+CS61-DB60,IF(A61&lt;'Données projet'!$A$140,$CQ$205^A61,IF(A61='Données projet'!$A$140,'Données projet'!$B$140,CT60+CS61-DB60)))</f>
        <v>120.83959999999992</v>
      </c>
      <c r="CU61" s="17">
        <f>CT61*VLOOKUP('Données projet'!$B$13,Paramètres!$A$1:$I$89,3,0)*VLOOKUP('Données projet'!$B$13,Paramètres!$A$1:$I$89,5,0)</f>
        <v>96.139985759999945</v>
      </c>
      <c r="CV61" s="13">
        <f t="shared" si="41"/>
        <v>26.040306191003406</v>
      </c>
      <c r="CW61" s="20">
        <f t="shared" si="13"/>
        <v>212.79734181466415</v>
      </c>
      <c r="CX61" s="59">
        <f t="shared" si="14"/>
        <v>506.13067514799747</v>
      </c>
      <c r="CY61" s="59">
        <f ca="1">AVERAGE(OFFSET($CX$3,0,0,'Données projet'!$E$13+1,1))-AVERAGE(OFFSET($H$3,0,0,'Données projet'!$E$13+1,1))</f>
        <v>172.13940525084604</v>
      </c>
      <c r="CZ61" s="59">
        <f t="shared" si="42"/>
        <v>172.82328007157236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2.9403528747886716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2.9403528747886716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1.7053025658242404E-13</v>
      </c>
      <c r="DP61" s="17">
        <f>DO61*VLOOKUP('Données projet'!$B$14,Paramètres!$A$1:$I$89,3,0)*VLOOKUP('Données projet'!$B$14,Paramètres!$A$1:$I$89,5,0)</f>
        <v>1.250327841262333E-13</v>
      </c>
      <c r="DQ61" s="13">
        <f t="shared" si="43"/>
        <v>1.8301318724634299E-12</v>
      </c>
      <c r="DR61" s="20">
        <f t="shared" si="16"/>
        <v>3.405245110226996E-12</v>
      </c>
      <c r="DS61" s="59">
        <f t="shared" si="17"/>
        <v>293.33333333333672</v>
      </c>
      <c r="DT61" s="59">
        <f ca="1">AVERAGE(OFFSET($DS$3,0,0,'Données projet'!$E$14+1,1))-AVERAGE(OFFSET($H$3,0,0,'Données projet'!$E$14+1,1))</f>
        <v>197.34725966440715</v>
      </c>
      <c r="DU61" s="59">
        <f t="shared" si="44"/>
        <v>240.16326570529532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37.341358285639423</v>
      </c>
      <c r="EB61" s="21">
        <f>EXP(-LN(2)/25)*EB60+(1-EXP(-LN(2)/25))/(LN(2)/25)*Calculateur!DW61*Calculateur!DY61*VLOOKUP('Données projet'!$B$14,Paramètres!$A$1:$I$89,3,0)*0.475*44/12</f>
        <v>24.672109961639457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62.01346824727888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9.375</v>
      </c>
      <c r="EJ61" s="12">
        <f>IF('Données projet'!$A$192&gt;35,EJ60+EI61-ER60,IF(A61&lt;'Données projet'!$A$192,$EG$205^A61,IF(A61='Données projet'!$A$192,'Données projet'!$B$192,EJ60+EI61-ER60)))</f>
        <v>278.24999999999989</v>
      </c>
      <c r="EK61" s="17">
        <f>EJ61*VLOOKUP('Données projet'!$B$15,Paramètres!$A$1:$I$89,3,0)*VLOOKUP('Données projet'!$B$15,Paramètres!$A$1:$I$89,5,0)</f>
        <v>217.03499999999991</v>
      </c>
      <c r="EL61" s="13">
        <f t="shared" si="45"/>
        <v>53.469949591969474</v>
      </c>
      <c r="EM61" s="20">
        <f t="shared" si="19"/>
        <v>471.12945387267996</v>
      </c>
      <c r="EN61" s="59">
        <f t="shared" si="20"/>
        <v>764.46278720601322</v>
      </c>
      <c r="EO61" s="59">
        <f ca="1">AVERAGE(OFFSET($EN$3,0,0,'Données projet'!$E$15+1,1))-AVERAGE(OFFSET($H$3,0,0,'Données projet'!$E$15+1,1))</f>
        <v>288.82868507674738</v>
      </c>
      <c r="EP61" s="59">
        <f t="shared" si="46"/>
        <v>283.48738729114024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26.707219236572961</v>
      </c>
      <c r="EW61" s="21">
        <f>EXP(-LN(2)/25)*EW60+(1-EXP(-LN(2)/25))/(LN(2)/25)*Calculateur!ER61*Calculateur!ET61*VLOOKUP('Données projet'!$B$15,Paramètres!$A$1:$I$89,3,0)*0.475*44/12</f>
        <v>14.252744155725248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40.959963392298206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9.2524999999999977</v>
      </c>
      <c r="N62" s="13">
        <f>IF('Données projet'!$A$36&gt;35,N61+M62-V61,IF(A62&lt;'Données projet'!$A$36,$K$205^A62,IF(A62='Données projet'!$A$36,'Données projet'!$B$36,N61+M62-V61)))</f>
        <v>200.19250000000019</v>
      </c>
      <c r="O62" s="13">
        <f>N62*VLOOKUP('Données projet'!$B$9,Paramètres!$A$1:$I$89,3,0)*VLOOKUP('Données projet'!$B$9,Paramètres!$A$1:$I$89,5,0)</f>
        <v>181.13417400000017</v>
      </c>
      <c r="P62" s="13">
        <f t="shared" si="33"/>
        <v>45.574426667354729</v>
      </c>
      <c r="Q62" s="20">
        <f t="shared" si="53"/>
        <v>394.85081282897653</v>
      </c>
      <c r="R62" s="59">
        <f t="shared" si="0"/>
        <v>688.18414616230984</v>
      </c>
      <c r="S62" s="59">
        <f ca="1">AVERAGE(OFFSET($R$3,0,0,'Données projet'!$E$9+1,1))-AVERAGE(OFFSET($H$3,0,0,'Données projet'!$E$9+1,1))</f>
        <v>581.88778927327667</v>
      </c>
      <c r="T62" s="59">
        <f t="shared" si="34"/>
        <v>269.67340993773422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13.506616098001555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13.506616098001555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</v>
      </c>
      <c r="AI62" s="13">
        <f>IF('Données projet'!$A$62&gt;35,AI61+AH62-AQ61,IF(A62&lt;'Données projet'!$A$62,$AF$205^A62,IF(A62='Données projet'!$A$62,'Données projet'!$B$62,AI61+AH62-AQ61)))</f>
        <v>191.00000000000003</v>
      </c>
      <c r="AJ62" s="13">
        <f>AI62*VLOOKUP('Données projet'!$B$10,Paramètres!$A$1:$I$89,3,0)*VLOOKUP('Données projet'!$B$10,Paramètres!$A$1:$I$89,5,0)</f>
        <v>125.14320000000002</v>
      </c>
      <c r="AK62" s="13">
        <f t="shared" si="35"/>
        <v>32.871620642334328</v>
      </c>
      <c r="AL62" s="20">
        <f t="shared" si="4"/>
        <v>275.20914595206563</v>
      </c>
      <c r="AM62" s="59">
        <f t="shared" si="5"/>
        <v>568.54247928539894</v>
      </c>
      <c r="AN62" s="59">
        <f ca="1">AVERAGE(OFFSET($AM$3,0,0,'Données projet'!$E$10+1,1))-AVERAGE(OFFSET($H$3,0,0,'Données projet'!$E$10+1,1))</f>
        <v>230.58262378842818</v>
      </c>
      <c r="AO62" s="59">
        <f t="shared" si="36"/>
        <v>235.68746142880792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4.9260259796646206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4.9260259796646206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181.13417400000017</v>
      </c>
      <c r="BF62" s="13">
        <f t="shared" si="37"/>
        <v>45.574426667354729</v>
      </c>
      <c r="BG62" s="20">
        <f t="shared" si="7"/>
        <v>394.85081282897653</v>
      </c>
      <c r="BH62" s="59">
        <f t="shared" si="8"/>
        <v>688.18414616230984</v>
      </c>
      <c r="BI62" s="59">
        <f ca="1">AVERAGE(OFFSET($BH$3,0,0,'Données projet'!$E$11+1,1))-AVERAGE(OFFSET($H$3,0,0,'Données projet'!$E$11+1,1))</f>
        <v>581.88778927327667</v>
      </c>
      <c r="BJ62" s="59">
        <f t="shared" si="38"/>
        <v>269.67340993773422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13.506616098001555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13.506616098001555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190.50318300000018</v>
      </c>
      <c r="CA62" s="13">
        <f t="shared" si="39"/>
        <v>47.651182338339787</v>
      </c>
      <c r="CB62" s="20">
        <f t="shared" si="10"/>
        <v>414.78551963094213</v>
      </c>
      <c r="CC62" s="59">
        <f t="shared" si="11"/>
        <v>708.11885296427545</v>
      </c>
      <c r="CD62" s="59">
        <f ca="1">AVERAGE(OFFSET($CC$3,0,0,'Données projet'!$E$12+1,1))-AVERAGE(OFFSET($H$3,0,0,'Données projet'!$E$12+1,1))</f>
        <v>609.60019207204277</v>
      </c>
      <c r="CE62" s="59">
        <f t="shared" si="40"/>
        <v>281.42238288764503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14.205234172036118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14.205234172036118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2.6677000000000022</v>
      </c>
      <c r="CT62" s="12">
        <f>IF('Données projet'!$A$140&gt;35,CT61+CS62-DB61,IF(A62&lt;'Données projet'!$A$140,$CQ$205^A62,IF(A62='Données projet'!$A$140,'Données projet'!$B$140,CT61+CS62-DB61)))</f>
        <v>123.50729999999992</v>
      </c>
      <c r="CU62" s="17">
        <f>CT62*VLOOKUP('Données projet'!$B$13,Paramètres!$A$1:$I$89,3,0)*VLOOKUP('Données projet'!$B$13,Paramètres!$A$1:$I$89,5,0)</f>
        <v>98.262407879999941</v>
      </c>
      <c r="CV62" s="13">
        <f t="shared" si="41"/>
        <v>26.54761882828042</v>
      </c>
      <c r="CW62" s="20">
        <f t="shared" si="13"/>
        <v>217.37746318358828</v>
      </c>
      <c r="CX62" s="59">
        <f t="shared" si="14"/>
        <v>510.71079651692162</v>
      </c>
      <c r="CY62" s="59">
        <f ca="1">AVERAGE(OFFSET($CX$3,0,0,'Données projet'!$E$13+1,1))-AVERAGE(OFFSET($H$3,0,0,'Données projet'!$E$13+1,1))</f>
        <v>172.13940525084604</v>
      </c>
      <c r="CZ62" s="59">
        <f t="shared" si="42"/>
        <v>172.82328007157236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2.8826943483522323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2.8826943483522323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1.7053025658242404E-13</v>
      </c>
      <c r="DP62" s="17">
        <f>DO62*VLOOKUP('Données projet'!$B$14,Paramètres!$A$1:$I$89,3,0)*VLOOKUP('Données projet'!$B$14,Paramètres!$A$1:$I$89,5,0)</f>
        <v>1.250327841262333E-13</v>
      </c>
      <c r="DQ62" s="13">
        <f t="shared" si="43"/>
        <v>1.8301318724634299E-12</v>
      </c>
      <c r="DR62" s="20">
        <f t="shared" si="16"/>
        <v>3.405245110226996E-12</v>
      </c>
      <c r="DS62" s="59">
        <f t="shared" si="17"/>
        <v>293.33333333333672</v>
      </c>
      <c r="DT62" s="59">
        <f ca="1">AVERAGE(OFFSET($DS$3,0,0,'Données projet'!$E$14+1,1))-AVERAGE(OFFSET($H$3,0,0,'Données projet'!$E$14+1,1))</f>
        <v>197.34725966440715</v>
      </c>
      <c r="DU62" s="59">
        <f t="shared" si="44"/>
        <v>240.16326570529532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36.609117025637644</v>
      </c>
      <c r="EB62" s="21">
        <f>EXP(-LN(2)/25)*EB61+(1-EXP(-LN(2)/25))/(LN(2)/25)*Calculateur!DW62*Calculateur!DY62*VLOOKUP('Données projet'!$B$14,Paramètres!$A$1:$I$89,3,0)*0.475*44/12</f>
        <v>23.997449817288551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60.606566842926199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9.375</v>
      </c>
      <c r="EJ62" s="12">
        <f>IF('Données projet'!$A$192&gt;35,EJ61+EI62-ER61,IF(A62&lt;'Données projet'!$A$192,$EG$205^A62,IF(A62='Données projet'!$A$192,'Données projet'!$B$192,EJ61+EI62-ER61)))</f>
        <v>287.62499999999989</v>
      </c>
      <c r="EK62" s="17">
        <f>EJ62*VLOOKUP('Données projet'!$B$15,Paramètres!$A$1:$I$89,3,0)*VLOOKUP('Données projet'!$B$15,Paramètres!$A$1:$I$89,5,0)</f>
        <v>224.34749999999991</v>
      </c>
      <c r="EL62" s="13">
        <f t="shared" si="45"/>
        <v>55.058714525680429</v>
      </c>
      <c r="EM62" s="20">
        <f t="shared" si="19"/>
        <v>486.63249029889329</v>
      </c>
      <c r="EN62" s="59">
        <f t="shared" si="20"/>
        <v>779.9658236322266</v>
      </c>
      <c r="EO62" s="59">
        <f ca="1">AVERAGE(OFFSET($EN$3,0,0,'Données projet'!$E$15+1,1))-AVERAGE(OFFSET($H$3,0,0,'Données projet'!$E$15+1,1))</f>
        <v>288.82868507674738</v>
      </c>
      <c r="EP62" s="59">
        <f t="shared" si="46"/>
        <v>283.48738729114024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26.183506957139016</v>
      </c>
      <c r="EW62" s="21">
        <f>EXP(-LN(2)/25)*EW61+(1-EXP(-LN(2)/25))/(LN(2)/25)*Calculateur!ER62*Calculateur!ET62*VLOOKUP('Données projet'!$B$15,Paramètres!$A$1:$I$89,3,0)*0.475*44/12</f>
        <v>13.863002117267701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40.046509074406714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9.2524999999999977</v>
      </c>
      <c r="N63" s="13">
        <f>IF('Données projet'!$A$36&gt;35,N62+M63-V62,IF(A63&lt;'Données projet'!$A$36,$K$205^A63,IF(A63='Données projet'!$A$36,'Données projet'!$B$36,N62+M63-V62)))</f>
        <v>209.44500000000019</v>
      </c>
      <c r="O63" s="13">
        <f>N63*VLOOKUP('Données projet'!$B$9,Paramètres!$A$1:$I$89,3,0)*VLOOKUP('Données projet'!$B$9,Paramètres!$A$1:$I$89,5,0)</f>
        <v>189.50583600000016</v>
      </c>
      <c r="P63" s="13">
        <f t="shared" si="33"/>
        <v>47.430683653447495</v>
      </c>
      <c r="Q63" s="20">
        <f t="shared" si="53"/>
        <v>412.6644383964213</v>
      </c>
      <c r="R63" s="59">
        <f t="shared" si="0"/>
        <v>705.99777172975462</v>
      </c>
      <c r="S63" s="59">
        <f ca="1">AVERAGE(OFFSET($R$3,0,0,'Données projet'!$E$9+1,1))-AVERAGE(OFFSET($H$3,0,0,'Données projet'!$E$9+1,1))</f>
        <v>581.88778927327667</v>
      </c>
      <c r="T63" s="59">
        <f t="shared" si="34"/>
        <v>269.67340993773422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13.241759594542106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13.241759594542106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196</v>
      </c>
      <c r="AG63" s="12">
        <f>VLOOKUP(A63,'Données projet'!$A$61:$I$81,9,0)</f>
        <v>5</v>
      </c>
      <c r="AH63" s="12">
        <f t="array" ref="AH63">INDEX(AG:AG,MIN(IF(ISNUMBER(AG63:AG259),ROW(AG63:AG259),"")))</f>
        <v>5</v>
      </c>
      <c r="AI63" s="13">
        <f>IF('Données projet'!$A$62&gt;35,AI62+AH63-AQ62,IF(A63&lt;'Données projet'!$A$62,$AF$205^A63,IF(A63='Données projet'!$A$62,'Données projet'!$B$62,AI62+AH63-AQ62)))</f>
        <v>196.00000000000003</v>
      </c>
      <c r="AJ63" s="13">
        <f>AI63*VLOOKUP('Données projet'!$B$10,Paramètres!$A$1:$I$89,3,0)*VLOOKUP('Données projet'!$B$10,Paramètres!$A$1:$I$89,5,0)</f>
        <v>128.41920000000002</v>
      </c>
      <c r="AK63" s="13">
        <f t="shared" si="35"/>
        <v>33.630823177860762</v>
      </c>
      <c r="AL63" s="20">
        <f t="shared" si="4"/>
        <v>282.23712370144091</v>
      </c>
      <c r="AM63" s="59">
        <f t="shared" si="5"/>
        <v>575.57045703477422</v>
      </c>
      <c r="AN63" s="59">
        <f ca="1">AVERAGE(OFFSET($AM$3,0,0,'Données projet'!$E$10+1,1))-AVERAGE(OFFSET($H$3,0,0,'Données projet'!$E$10+1,1))</f>
        <v>230.58262378842818</v>
      </c>
      <c r="AO63" s="59">
        <f t="shared" si="36"/>
        <v>235.68746142880792</v>
      </c>
      <c r="AP63" s="15">
        <f>IF(ISNA(VLOOKUP(A63,'Données projet'!$A$61:$I$81,3,0)),0,VLOOKUP(A63,'Données projet'!$A$61:$I$81,3,0))</f>
        <v>11</v>
      </c>
      <c r="AQ63" s="15">
        <f>IF(ISNA(VLOOKUP(A63,'Données projet'!$A$61:$I$81,4,0)),0,VLOOKUP(A63,'Données projet'!$A$61:$I$81,4,0))</f>
        <v>19</v>
      </c>
      <c r="AR63" s="16">
        <f>IF(ISNA(VLOOKUP(A63,'Données projet'!$A$61:$I$81,5,0)),0%,VLOOKUP(A63,'Données projet'!$A$61:$I$81,5,0)*VLOOKUP('Données projet'!$B$10,Paramètres!$A$1:$I$89,7,0))</f>
        <v>0.129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6.6046991910167101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6.6046991910167101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189.50583600000016</v>
      </c>
      <c r="BF63" s="13">
        <f t="shared" si="37"/>
        <v>47.430683653447495</v>
      </c>
      <c r="BG63" s="20">
        <f t="shared" si="7"/>
        <v>412.6644383964213</v>
      </c>
      <c r="BH63" s="59">
        <f t="shared" si="8"/>
        <v>705.99777172975462</v>
      </c>
      <c r="BI63" s="59">
        <f ca="1">AVERAGE(OFFSET($BH$3,0,0,'Données projet'!$E$11+1,1))-AVERAGE(OFFSET($H$3,0,0,'Données projet'!$E$11+1,1))</f>
        <v>581.88778927327667</v>
      </c>
      <c r="BJ63" s="59">
        <f t="shared" si="38"/>
        <v>269.67340993773422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13.241759594542106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13.241759594542106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199.30786200000017</v>
      </c>
      <c r="CA63" s="13">
        <f t="shared" si="39"/>
        <v>49.59202606538728</v>
      </c>
      <c r="CB63" s="20">
        <f t="shared" si="10"/>
        <v>433.50063838054979</v>
      </c>
      <c r="CC63" s="59">
        <f t="shared" si="11"/>
        <v>726.8339717138831</v>
      </c>
      <c r="CD63" s="59">
        <f ca="1">AVERAGE(OFFSET($CC$3,0,0,'Données projet'!$E$12+1,1))-AVERAGE(OFFSET($H$3,0,0,'Données projet'!$E$12+1,1))</f>
        <v>609.60019207204277</v>
      </c>
      <c r="CE63" s="59">
        <f t="shared" si="40"/>
        <v>281.42238288764503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13.926678194259802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13.926678194259802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126.175</v>
      </c>
      <c r="CR63" s="12">
        <f>VLOOKUP(A63,'Données projet'!$A$139:$I$159,9,0)</f>
        <v>2.6677000000000022</v>
      </c>
      <c r="CS63" s="12">
        <f t="array" ref="CS63">INDEX(CR:CR,MIN(IF(ISNUMBER(CR63:CR259),ROW(CR63:CR259),"")))</f>
        <v>2.6677000000000022</v>
      </c>
      <c r="CT63" s="12">
        <f>IF('Données projet'!$A$140&gt;35,CT62+CS63-DB62,IF(A63&lt;'Données projet'!$A$140,$CQ$205^A63,IF(A63='Données projet'!$A$140,'Données projet'!$B$140,CT62+CS63-DB62)))</f>
        <v>126.17499999999991</v>
      </c>
      <c r="CU63" s="17">
        <f>CT63*VLOOKUP('Données projet'!$B$13,Paramètres!$A$1:$I$89,3,0)*VLOOKUP('Données projet'!$B$13,Paramètres!$A$1:$I$89,5,0)</f>
        <v>100.38482999999994</v>
      </c>
      <c r="CV63" s="13">
        <f t="shared" si="41"/>
        <v>27.053657484755824</v>
      </c>
      <c r="CW63" s="20">
        <f t="shared" si="13"/>
        <v>221.95536570261629</v>
      </c>
      <c r="CX63" s="59">
        <f t="shared" si="14"/>
        <v>515.28869903594955</v>
      </c>
      <c r="CY63" s="59">
        <f ca="1">AVERAGE(OFFSET($CX$3,0,0,'Données projet'!$E$13+1,1))-AVERAGE(OFFSET($H$3,0,0,'Données projet'!$E$13+1,1))</f>
        <v>172.13940525084604</v>
      </c>
      <c r="CZ63" s="59">
        <f t="shared" si="42"/>
        <v>172.82328007157236</v>
      </c>
      <c r="DA63" s="15">
        <f>IF(ISNA(VLOOKUP(A63,'Données projet'!$A$139:$I$159,3,0)),0,VLOOKUP(A63,'Données projet'!$A$139:$I$159,3,0))</f>
        <v>11</v>
      </c>
      <c r="DB63" s="15">
        <f>IF(ISNA(VLOOKUP(A63,'Données projet'!$A$139:$I$159,4,0)),0,VLOOKUP(A63,'Données projet'!$A$139:$I$159,4,0))</f>
        <v>6.1284999999999998</v>
      </c>
      <c r="DC63" s="16">
        <f>IF(ISNA(VLOOKUP(A63,'Données projet'!$A$139:$I$159,5,0)),0%,VLOOKUP(A63,'Données projet'!$A$139:$I$159,5,0)*VLOOKUP('Données projet'!$B$13,Paramètres!$A$1:$I$89,7,0))</f>
        <v>0.159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3.6831908958534836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3.6831908958534836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1.7053025658242404E-13</v>
      </c>
      <c r="DP63" s="17">
        <f>DO63*VLOOKUP('Données projet'!$B$14,Paramètres!$A$1:$I$89,3,0)*VLOOKUP('Données projet'!$B$14,Paramètres!$A$1:$I$89,5,0)</f>
        <v>1.250327841262333E-13</v>
      </c>
      <c r="DQ63" s="13">
        <f t="shared" si="43"/>
        <v>1.8301318724634299E-12</v>
      </c>
      <c r="DR63" s="20">
        <f t="shared" si="16"/>
        <v>3.405245110226996E-12</v>
      </c>
      <c r="DS63" s="59">
        <f t="shared" si="17"/>
        <v>293.33333333333672</v>
      </c>
      <c r="DT63" s="59">
        <f ca="1">AVERAGE(OFFSET($DS$3,0,0,'Données projet'!$E$14+1,1))-AVERAGE(OFFSET($H$3,0,0,'Données projet'!$E$14+1,1))</f>
        <v>197.34725966440715</v>
      </c>
      <c r="DU63" s="59">
        <f t="shared" si="44"/>
        <v>240.16326570529532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35.891234570121433</v>
      </c>
      <c r="EB63" s="21">
        <f>EXP(-LN(2)/25)*EB62+(1-EXP(-LN(2)/25))/(LN(2)/25)*Calculateur!DW63*Calculateur!DY63*VLOOKUP('Données projet'!$B$14,Paramètres!$A$1:$I$89,3,0)*0.475*44/12</f>
        <v>23.341238290063757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59.23247286018519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297</v>
      </c>
      <c r="EH63" s="12">
        <f>VLOOKUP(A63,'Données projet'!$A$191:$I$211,9,0)</f>
        <v>9.375</v>
      </c>
      <c r="EI63" s="12">
        <f t="array" ref="EI63">INDEX(EH:EH,MIN(IF(ISNUMBER(EH63:EH259),ROW(EH63:EH259),"")))</f>
        <v>9.375</v>
      </c>
      <c r="EJ63" s="12">
        <f>IF('Données projet'!$A$192&gt;35,EJ62+EI63-ER62,IF(A63&lt;'Données projet'!$A$192,$EG$205^A63,IF(A63='Données projet'!$A$192,'Données projet'!$B$192,EJ62+EI63-ER62)))</f>
        <v>296.99999999999989</v>
      </c>
      <c r="EK63" s="17">
        <f>EJ63*VLOOKUP('Données projet'!$B$15,Paramètres!$A$1:$I$89,3,0)*VLOOKUP('Données projet'!$B$15,Paramètres!$A$1:$I$89,5,0)</f>
        <v>231.65999999999991</v>
      </c>
      <c r="EL63" s="13">
        <f t="shared" si="45"/>
        <v>56.641461975682766</v>
      </c>
      <c r="EM63" s="20">
        <f t="shared" si="19"/>
        <v>502.125046274314</v>
      </c>
      <c r="EN63" s="59">
        <f t="shared" si="20"/>
        <v>795.45837960764732</v>
      </c>
      <c r="EO63" s="59">
        <f ca="1">AVERAGE(OFFSET($EN$3,0,0,'Données projet'!$E$15+1,1))-AVERAGE(OFFSET($H$3,0,0,'Données projet'!$E$15+1,1))</f>
        <v>288.82868507674738</v>
      </c>
      <c r="EP63" s="59">
        <f t="shared" si="46"/>
        <v>283.48738729114024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0.25800000000000001</v>
      </c>
      <c r="ET63" s="16">
        <f>IF(ISNA(VLOOKUP(A63,'Données projet'!$A$191:$I$211,6,0)),0%,VLOOKUP(A63,'Données projet'!$A$191:$I$211,6,0)*VLOOKUP('Données projet'!$B$15,Paramètres!$A$1:$I$89,7,0))</f>
        <v>0.129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36.125912737400732</v>
      </c>
      <c r="EW63" s="21">
        <f>EXP(-LN(2)/25)*EW62+(1-EXP(-LN(2)/25))/(LN(2)/25)*Calculateur!ER63*Calculateur!ET63*VLOOKUP('Données projet'!$B$15,Paramètres!$A$1:$I$89,3,0)*0.475*44/12</f>
        <v>18.691257456477942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54.817170193878674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9.2524999999999977</v>
      </c>
      <c r="N64" s="13">
        <f>IF('Données projet'!$A$36&gt;35,N63+M64-V63,IF(A64&lt;'Données projet'!$A$36,$K$205^A64,IF(A64='Données projet'!$A$36,'Données projet'!$B$36,N63+M64-V63)))</f>
        <v>218.69750000000019</v>
      </c>
      <c r="O64" s="13">
        <f>N64*VLOOKUP('Données projet'!$B$9,Paramètres!$A$1:$I$89,3,0)*VLOOKUP('Données projet'!$B$9,Paramètres!$A$1:$I$89,5,0)</f>
        <v>197.87749800000014</v>
      </c>
      <c r="P64" s="13">
        <f t="shared" si="33"/>
        <v>49.277416774103372</v>
      </c>
      <c r="Q64" s="20">
        <f t="shared" si="53"/>
        <v>430.46147656489694</v>
      </c>
      <c r="R64" s="59">
        <f t="shared" si="0"/>
        <v>723.79480989823026</v>
      </c>
      <c r="S64" s="59">
        <f ca="1">AVERAGE(OFFSET($R$3,0,0,'Données projet'!$E$9+1,1))-AVERAGE(OFFSET($H$3,0,0,'Données projet'!$E$9+1,1))</f>
        <v>581.88778927327667</v>
      </c>
      <c r="T64" s="59">
        <f t="shared" si="34"/>
        <v>269.67340993773422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12.982096765568983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12.982096765568983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4.8</v>
      </c>
      <c r="AI64" s="13">
        <f>IF('Données projet'!$A$62&gt;35,AI63+AH64-AQ63,IF(A64&lt;'Données projet'!$A$62,$AF$205^A64,IF(A64='Données projet'!$A$62,'Données projet'!$B$62,AI63+AH64-AQ63)))</f>
        <v>181.80000000000004</v>
      </c>
      <c r="AJ64" s="13">
        <f>AI64*VLOOKUP('Données projet'!$B$10,Paramètres!$A$1:$I$89,3,0)*VLOOKUP('Données projet'!$B$10,Paramètres!$A$1:$I$89,5,0)</f>
        <v>119.11536000000002</v>
      </c>
      <c r="AK64" s="13">
        <f t="shared" si="35"/>
        <v>31.468582772748093</v>
      </c>
      <c r="AL64" s="20">
        <f t="shared" si="4"/>
        <v>262.26703366253628</v>
      </c>
      <c r="AM64" s="59">
        <f t="shared" si="5"/>
        <v>555.60036699586954</v>
      </c>
      <c r="AN64" s="59">
        <f ca="1">AVERAGE(OFFSET($AM$3,0,0,'Données projet'!$E$10+1,1))-AVERAGE(OFFSET($H$3,0,0,'Données projet'!$E$10+1,1))</f>
        <v>230.58262378842818</v>
      </c>
      <c r="AO64" s="59">
        <f t="shared" si="36"/>
        <v>235.68746142880792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6.4751850683496004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6.4751850683496004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197.87749800000014</v>
      </c>
      <c r="BF64" s="13">
        <f t="shared" si="37"/>
        <v>49.277416774103372</v>
      </c>
      <c r="BG64" s="20">
        <f t="shared" si="7"/>
        <v>430.46147656489694</v>
      </c>
      <c r="BH64" s="59">
        <f t="shared" si="8"/>
        <v>723.79480989823026</v>
      </c>
      <c r="BI64" s="59">
        <f ca="1">AVERAGE(OFFSET($BH$3,0,0,'Données projet'!$E$11+1,1))-AVERAGE(OFFSET($H$3,0,0,'Données projet'!$E$11+1,1))</f>
        <v>581.88778927327667</v>
      </c>
      <c r="BJ64" s="59">
        <f t="shared" si="38"/>
        <v>269.67340993773422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12.982096765568983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12.982096765568983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208.11254100000016</v>
      </c>
      <c r="CA64" s="13">
        <f t="shared" si="39"/>
        <v>51.522911939277137</v>
      </c>
      <c r="CB64" s="20">
        <f t="shared" si="10"/>
        <v>452.19841386924122</v>
      </c>
      <c r="CC64" s="59">
        <f t="shared" si="11"/>
        <v>745.53174720257448</v>
      </c>
      <c r="CD64" s="59">
        <f ca="1">AVERAGE(OFFSET($CC$3,0,0,'Données projet'!$E$12+1,1))-AVERAGE(OFFSET($H$3,0,0,'Données projet'!$E$12+1,1))</f>
        <v>609.60019207204277</v>
      </c>
      <c r="CE64" s="59">
        <f t="shared" si="40"/>
        <v>281.42238288764503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13.653584529305309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13.653584529305309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2.2711500000000031</v>
      </c>
      <c r="CT64" s="12">
        <f>IF('Données projet'!$A$140&gt;35,CT63+CS64-DB63,IF(A64&lt;'Données projet'!$A$140,$CQ$205^A64,IF(A64='Données projet'!$A$140,'Données projet'!$B$140,CT63+CS64-DB63)))</f>
        <v>122.3176499999999</v>
      </c>
      <c r="CU64" s="17">
        <f>CT64*VLOOKUP('Données projet'!$B$13,Paramètres!$A$1:$I$89,3,0)*VLOOKUP('Données projet'!$B$13,Paramètres!$A$1:$I$89,5,0)</f>
        <v>97.315922339999929</v>
      </c>
      <c r="CV64" s="13">
        <f t="shared" si="41"/>
        <v>26.321544039472823</v>
      </c>
      <c r="CW64" s="20">
        <f t="shared" si="13"/>
        <v>215.33525394424836</v>
      </c>
      <c r="CX64" s="59">
        <f t="shared" si="14"/>
        <v>508.66858727758165</v>
      </c>
      <c r="CY64" s="59">
        <f ca="1">AVERAGE(OFFSET($CX$3,0,0,'Données projet'!$E$13+1,1))-AVERAGE(OFFSET($H$3,0,0,'Données projet'!$E$13+1,1))</f>
        <v>172.13940525084604</v>
      </c>
      <c r="CZ64" s="59">
        <f t="shared" si="42"/>
        <v>172.82328007157236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3.6109657689104173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3.6109657689104173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1.7053025658242404E-13</v>
      </c>
      <c r="DP64" s="17">
        <f>DO64*VLOOKUP('Données projet'!$B$14,Paramètres!$A$1:$I$89,3,0)*VLOOKUP('Données projet'!$B$14,Paramètres!$A$1:$I$89,5,0)</f>
        <v>1.250327841262333E-13</v>
      </c>
      <c r="DQ64" s="13">
        <f t="shared" si="43"/>
        <v>1.8301318724634299E-12</v>
      </c>
      <c r="DR64" s="20">
        <f t="shared" si="16"/>
        <v>3.405245110226996E-12</v>
      </c>
      <c r="DS64" s="59">
        <f t="shared" si="17"/>
        <v>293.33333333333672</v>
      </c>
      <c r="DT64" s="59">
        <f ca="1">AVERAGE(OFFSET($DS$3,0,0,'Données projet'!$E$14+1,1))-AVERAGE(OFFSET($H$3,0,0,'Données projet'!$E$14+1,1))</f>
        <v>197.34725966440715</v>
      </c>
      <c r="DU64" s="59">
        <f t="shared" si="44"/>
        <v>240.16326570529532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35.187429351692835</v>
      </c>
      <c r="EB64" s="21">
        <f>EXP(-LN(2)/25)*EB63+(1-EXP(-LN(2)/25))/(LN(2)/25)*Calculateur!DW64*Calculateur!DY64*VLOOKUP('Données projet'!$B$14,Paramètres!$A$1:$I$89,3,0)*0.475*44/12</f>
        <v>22.702970901559588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57.890400253252423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8.6666666666666661</v>
      </c>
      <c r="EJ64" s="12">
        <f>IF('Données projet'!$A$192&gt;35,EJ63+EI64-ER63,IF(A64&lt;'Données projet'!$A$192,$EG$205^A64,IF(A64='Données projet'!$A$192,'Données projet'!$B$192,EJ63+EI64-ER63)))</f>
        <v>258.66666666666657</v>
      </c>
      <c r="EK64" s="17">
        <f>EJ64*VLOOKUP('Données projet'!$B$15,Paramètres!$A$1:$I$89,3,0)*VLOOKUP('Données projet'!$B$15,Paramètres!$A$1:$I$89,5,0)</f>
        <v>201.75999999999993</v>
      </c>
      <c r="EL64" s="13">
        <f t="shared" si="45"/>
        <v>50.130765000424169</v>
      </c>
      <c r="EM64" s="20">
        <f t="shared" si="19"/>
        <v>438.70974904240529</v>
      </c>
      <c r="EN64" s="59">
        <f t="shared" si="20"/>
        <v>732.04308237573855</v>
      </c>
      <c r="EO64" s="59">
        <f ca="1">AVERAGE(OFFSET($EN$3,0,0,'Données projet'!$E$15+1,1))-AVERAGE(OFFSET($H$3,0,0,'Données projet'!$E$15+1,1))</f>
        <v>288.82868507674738</v>
      </c>
      <c r="EP64" s="59">
        <f t="shared" si="46"/>
        <v>283.48738729114024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35.417505623251337</v>
      </c>
      <c r="EW64" s="21">
        <f>EXP(-LN(2)/25)*EW63+(1-EXP(-LN(2)/25))/(LN(2)/25)*Calculateur!ER64*Calculateur!ET64*VLOOKUP('Données projet'!$B$15,Paramètres!$A$1:$I$89,3,0)*0.475*44/12</f>
        <v>18.180144038400041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53.597649661651374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9.2524999999999977</v>
      </c>
      <c r="N65" s="13">
        <f>IF('Données projet'!$A$36&gt;35,N64+M65-V64,IF(A65&lt;'Données projet'!$A$36,$K$205^A65,IF(A65='Données projet'!$A$36,'Données projet'!$B$36,N64+M65-V64)))</f>
        <v>227.95000000000019</v>
      </c>
      <c r="O65" s="13">
        <f>N65*VLOOKUP('Données projet'!$B$9,Paramètres!$A$1:$I$89,3,0)*VLOOKUP('Données projet'!$B$9,Paramètres!$A$1:$I$89,5,0)</f>
        <v>206.24916000000016</v>
      </c>
      <c r="P65" s="13">
        <f t="shared" si="33"/>
        <v>51.115075026737237</v>
      </c>
      <c r="Q65" s="20">
        <f t="shared" si="53"/>
        <v>448.24270933823431</v>
      </c>
      <c r="R65" s="59">
        <f t="shared" si="0"/>
        <v>741.57604267156762</v>
      </c>
      <c r="S65" s="59">
        <f ca="1">AVERAGE(OFFSET($R$3,0,0,'Données projet'!$E$9+1,1))-AVERAGE(OFFSET($H$3,0,0,'Données projet'!$E$9+1,1))</f>
        <v>581.88778927327667</v>
      </c>
      <c r="T65" s="59">
        <f t="shared" si="34"/>
        <v>269.67340993773422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12.727525766293335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12.727525766293335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4.8</v>
      </c>
      <c r="AI65" s="13">
        <f>IF('Données projet'!$A$62&gt;35,AI64+AH65-AQ64,IF(A65&lt;'Données projet'!$A$62,$AF$205^A65,IF(A65='Données projet'!$A$62,'Données projet'!$B$62,AI64+AH65-AQ64)))</f>
        <v>186.60000000000005</v>
      </c>
      <c r="AJ65" s="13">
        <f>AI65*VLOOKUP('Données projet'!$B$10,Paramètres!$A$1:$I$89,3,0)*VLOOKUP('Données projet'!$B$10,Paramètres!$A$1:$I$89,5,0)</f>
        <v>122.26032000000002</v>
      </c>
      <c r="AK65" s="13">
        <f t="shared" si="35"/>
        <v>32.2016078999482</v>
      </c>
      <c r="AL65" s="20">
        <f t="shared" si="4"/>
        <v>269.02119109240982</v>
      </c>
      <c r="AM65" s="59">
        <f t="shared" si="5"/>
        <v>562.35452442574319</v>
      </c>
      <c r="AN65" s="59">
        <f ca="1">AVERAGE(OFFSET($AM$3,0,0,'Données projet'!$E$10+1,1))-AVERAGE(OFFSET($H$3,0,0,'Données projet'!$E$10+1,1))</f>
        <v>230.58262378842818</v>
      </c>
      <c r="AO65" s="59">
        <f t="shared" si="36"/>
        <v>235.68746142880792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6.3482106386321782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6.3482106386321782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206.24916000000016</v>
      </c>
      <c r="BF65" s="13">
        <f t="shared" si="37"/>
        <v>51.115075026737237</v>
      </c>
      <c r="BG65" s="20">
        <f t="shared" si="7"/>
        <v>448.24270933823431</v>
      </c>
      <c r="BH65" s="59">
        <f t="shared" si="8"/>
        <v>741.57604267156762</v>
      </c>
      <c r="BI65" s="59">
        <f ca="1">AVERAGE(OFFSET($BH$3,0,0,'Données projet'!$E$11+1,1))-AVERAGE(OFFSET($H$3,0,0,'Données projet'!$E$11+1,1))</f>
        <v>581.88778927327667</v>
      </c>
      <c r="BJ65" s="59">
        <f t="shared" si="38"/>
        <v>269.67340993773422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12.727525766293335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12.727525766293335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216.91722000000019</v>
      </c>
      <c r="CA65" s="13">
        <f t="shared" si="39"/>
        <v>53.444309417537319</v>
      </c>
      <c r="CB65" s="20">
        <f t="shared" si="10"/>
        <v>470.87966373554445</v>
      </c>
      <c r="CC65" s="59">
        <f t="shared" si="11"/>
        <v>764.21299706887771</v>
      </c>
      <c r="CD65" s="59">
        <f ca="1">AVERAGE(OFFSET($CC$3,0,0,'Données projet'!$E$12+1,1))-AVERAGE(OFFSET($H$3,0,0,'Données projet'!$E$12+1,1))</f>
        <v>609.60019207204277</v>
      </c>
      <c r="CE65" s="59">
        <f t="shared" si="40"/>
        <v>281.42238288764503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13.385846064549886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13.385846064549886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2.2711500000000031</v>
      </c>
      <c r="CT65" s="12">
        <f>IF('Données projet'!$A$140&gt;35,CT64+CS65-DB64,IF(A65&lt;'Données projet'!$A$140,$CQ$205^A65,IF(A65='Données projet'!$A$140,'Données projet'!$B$140,CT64+CS65-DB64)))</f>
        <v>124.58879999999991</v>
      </c>
      <c r="CU65" s="17">
        <f>CT65*VLOOKUP('Données projet'!$B$13,Paramètres!$A$1:$I$89,3,0)*VLOOKUP('Données projet'!$B$13,Paramètres!$A$1:$I$89,5,0)</f>
        <v>99.122849279999926</v>
      </c>
      <c r="CV65" s="13">
        <f t="shared" si="41"/>
        <v>26.752921456013905</v>
      </c>
      <c r="CW65" s="20">
        <f t="shared" si="13"/>
        <v>219.23363403189077</v>
      </c>
      <c r="CX65" s="59">
        <f t="shared" si="14"/>
        <v>512.56696736522406</v>
      </c>
      <c r="CY65" s="59">
        <f ca="1">AVERAGE(OFFSET($CX$3,0,0,'Données projet'!$E$13+1,1))-AVERAGE(OFFSET($H$3,0,0,'Données projet'!$E$13+1,1))</f>
        <v>172.13940525084604</v>
      </c>
      <c r="CZ65" s="59">
        <f t="shared" si="42"/>
        <v>172.82328007157236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3.5401569326537272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3.5401569326537272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1.7053025658242404E-13</v>
      </c>
      <c r="DP65" s="17">
        <f>DO65*VLOOKUP('Données projet'!$B$14,Paramètres!$A$1:$I$89,3,0)*VLOOKUP('Données projet'!$B$14,Paramètres!$A$1:$I$89,5,0)</f>
        <v>1.250327841262333E-13</v>
      </c>
      <c r="DQ65" s="13">
        <f t="shared" si="43"/>
        <v>1.8301318724634299E-12</v>
      </c>
      <c r="DR65" s="20">
        <f t="shared" si="16"/>
        <v>3.405245110226996E-12</v>
      </c>
      <c r="DS65" s="59">
        <f t="shared" si="17"/>
        <v>293.33333333333672</v>
      </c>
      <c r="DT65" s="59">
        <f ca="1">AVERAGE(OFFSET($DS$3,0,0,'Données projet'!$E$14+1,1))-AVERAGE(OFFSET($H$3,0,0,'Données projet'!$E$14+1,1))</f>
        <v>197.34725966440715</v>
      </c>
      <c r="DU65" s="59">
        <f t="shared" si="44"/>
        <v>240.16326570529532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34.497425324318826</v>
      </c>
      <c r="EB65" s="21">
        <f>EXP(-LN(2)/25)*EB64+(1-EXP(-LN(2)/25))/(LN(2)/25)*Calculateur!DW65*Calculateur!DY65*VLOOKUP('Données projet'!$B$14,Paramètres!$A$1:$I$89,3,0)*0.475*44/12</f>
        <v>22.08215696835909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56.579582292677912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8.6666666666666661</v>
      </c>
      <c r="EJ65" s="12">
        <f>IF('Données projet'!$A$192&gt;35,EJ64+EI65-ER64,IF(A65&lt;'Données projet'!$A$192,$EG$205^A65,IF(A65='Données projet'!$A$192,'Données projet'!$B$192,EJ64+EI65-ER64)))</f>
        <v>267.33333333333326</v>
      </c>
      <c r="EK65" s="17">
        <f>EJ65*VLOOKUP('Données projet'!$B$15,Paramètres!$A$1:$I$89,3,0)*VLOOKUP('Données projet'!$B$15,Paramètres!$A$1:$I$89,5,0)</f>
        <v>208.51999999999995</v>
      </c>
      <c r="EL65" s="13">
        <f t="shared" si="45"/>
        <v>51.612035456318459</v>
      </c>
      <c r="EM65" s="20">
        <f t="shared" si="19"/>
        <v>453.06329508642119</v>
      </c>
      <c r="EN65" s="59">
        <f t="shared" si="20"/>
        <v>746.39662841975451</v>
      </c>
      <c r="EO65" s="59">
        <f ca="1">AVERAGE(OFFSET($EN$3,0,0,'Données projet'!$E$15+1,1))-AVERAGE(OFFSET($H$3,0,0,'Données projet'!$E$15+1,1))</f>
        <v>288.82868507674738</v>
      </c>
      <c r="EP65" s="59">
        <f t="shared" si="46"/>
        <v>283.48738729114024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34.722989940524734</v>
      </c>
      <c r="EW65" s="21">
        <f>EXP(-LN(2)/25)*EW64+(1-EXP(-LN(2)/25))/(LN(2)/25)*Calculateur!ER65*Calculateur!ET65*VLOOKUP('Données projet'!$B$15,Paramètres!$A$1:$I$89,3,0)*0.475*44/12</f>
        <v>17.683007043617767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52.405996984142504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9.2524999999999977</v>
      </c>
      <c r="N66" s="13">
        <f>IF('Données projet'!$A$36&gt;35,N65+M66-V65,IF(A66&lt;'Données projet'!$A$36,$K$205^A66,IF(A66='Données projet'!$A$36,'Données projet'!$B$36,N65+M66-V65)))</f>
        <v>237.20250000000019</v>
      </c>
      <c r="O66" s="13">
        <f>N66*VLOOKUP('Données projet'!$B$9,Paramètres!$A$1:$I$89,3,0)*VLOOKUP('Données projet'!$B$9,Paramètres!$A$1:$I$89,5,0)</f>
        <v>214.62082200000015</v>
      </c>
      <c r="P66" s="13">
        <f t="shared" si="33"/>
        <v>52.944068896315315</v>
      </c>
      <c r="Q66" s="20">
        <f t="shared" si="53"/>
        <v>466.0088516444161</v>
      </c>
      <c r="R66" s="59">
        <f t="shared" si="0"/>
        <v>759.34218497774941</v>
      </c>
      <c r="S66" s="59">
        <f ca="1">AVERAGE(OFFSET($R$3,0,0,'Données projet'!$E$9+1,1))-AVERAGE(OFFSET($H$3,0,0,'Données projet'!$E$9+1,1))</f>
        <v>581.88778927327667</v>
      </c>
      <c r="T66" s="59">
        <f t="shared" si="34"/>
        <v>269.67340993773422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12.477946749040505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12.477946749040505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4.8</v>
      </c>
      <c r="AI66" s="13">
        <f>IF('Données projet'!$A$62&gt;35,AI65+AH66-AQ65,IF(A66&lt;'Données projet'!$A$62,$AF$205^A66,IF(A66='Données projet'!$A$62,'Données projet'!$B$62,AI65+AH66-AQ65)))</f>
        <v>191.40000000000006</v>
      </c>
      <c r="AJ66" s="13">
        <f>AI66*VLOOKUP('Données projet'!$B$10,Paramètres!$A$1:$I$89,3,0)*VLOOKUP('Données projet'!$B$10,Paramètres!$A$1:$I$89,5,0)</f>
        <v>125.40528000000003</v>
      </c>
      <c r="AK66" s="13">
        <f t="shared" si="35"/>
        <v>32.932441221531526</v>
      </c>
      <c r="AL66" s="20">
        <f t="shared" si="4"/>
        <v>275.77153112750079</v>
      </c>
      <c r="AM66" s="59">
        <f t="shared" si="5"/>
        <v>569.10486446083405</v>
      </c>
      <c r="AN66" s="59">
        <f ca="1">AVERAGE(OFFSET($AM$3,0,0,'Données projet'!$E$10+1,1))-AVERAGE(OFFSET($H$3,0,0,'Données projet'!$E$10+1,1))</f>
        <v>230.58262378842818</v>
      </c>
      <c r="AO66" s="59">
        <f t="shared" si="36"/>
        <v>235.68746142880792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6.2237261000347601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6.2237261000347601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214.62082200000015</v>
      </c>
      <c r="BF66" s="13">
        <f t="shared" si="37"/>
        <v>52.944068896315315</v>
      </c>
      <c r="BG66" s="20">
        <f t="shared" si="7"/>
        <v>466.0088516444161</v>
      </c>
      <c r="BH66" s="59">
        <f t="shared" si="8"/>
        <v>759.34218497774941</v>
      </c>
      <c r="BI66" s="59">
        <f ca="1">AVERAGE(OFFSET($BH$3,0,0,'Données projet'!$E$11+1,1))-AVERAGE(OFFSET($H$3,0,0,'Données projet'!$E$11+1,1))</f>
        <v>581.88778927327667</v>
      </c>
      <c r="BJ66" s="59">
        <f t="shared" si="38"/>
        <v>269.67340993773422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12.477946749040505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12.477946749040505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225.72189900000018</v>
      </c>
      <c r="CA66" s="13">
        <f t="shared" si="39"/>
        <v>55.356647690295091</v>
      </c>
      <c r="CB66" s="20">
        <f t="shared" si="10"/>
        <v>489.54513548559765</v>
      </c>
      <c r="CC66" s="59">
        <f t="shared" si="11"/>
        <v>782.87846881893097</v>
      </c>
      <c r="CD66" s="59">
        <f ca="1">AVERAGE(OFFSET($CC$3,0,0,'Données projet'!$E$12+1,1))-AVERAGE(OFFSET($H$3,0,0,'Données projet'!$E$12+1,1))</f>
        <v>609.60019207204277</v>
      </c>
      <c r="CE66" s="59">
        <f t="shared" si="40"/>
        <v>281.42238288764503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13.123357787783979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13.123357787783979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2.2711500000000031</v>
      </c>
      <c r="CT66" s="12">
        <f>IF('Données projet'!$A$140&gt;35,CT65+CS66-DB65,IF(A66&lt;'Données projet'!$A$140,$CQ$205^A66,IF(A66='Données projet'!$A$140,'Données projet'!$B$140,CT65+CS66-DB65)))</f>
        <v>126.85994999999991</v>
      </c>
      <c r="CU66" s="17">
        <f>CT66*VLOOKUP('Données projet'!$B$13,Paramètres!$A$1:$I$89,3,0)*VLOOKUP('Données projet'!$B$13,Paramètres!$A$1:$I$89,5,0)</f>
        <v>100.92977621999992</v>
      </c>
      <c r="CV66" s="13">
        <f t="shared" si="41"/>
        <v>27.183384460481061</v>
      </c>
      <c r="CW66" s="20">
        <f t="shared" si="13"/>
        <v>223.13042151850436</v>
      </c>
      <c r="CX66" s="59">
        <f t="shared" si="14"/>
        <v>516.46375485183762</v>
      </c>
      <c r="CY66" s="59">
        <f ca="1">AVERAGE(OFFSET($CX$3,0,0,'Données projet'!$E$13+1,1))-AVERAGE(OFFSET($H$3,0,0,'Données projet'!$E$13+1,1))</f>
        <v>172.13940525084604</v>
      </c>
      <c r="CZ66" s="59">
        <f t="shared" si="42"/>
        <v>172.82328007157236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3.470736614486905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3.470736614486905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1.7053025658242404E-13</v>
      </c>
      <c r="DP66" s="17">
        <f>DO66*VLOOKUP('Données projet'!$B$14,Paramètres!$A$1:$I$89,3,0)*VLOOKUP('Données projet'!$B$14,Paramètres!$A$1:$I$89,5,0)</f>
        <v>1.250327841262333E-13</v>
      </c>
      <c r="DQ66" s="13">
        <f t="shared" si="43"/>
        <v>1.8301318724634299E-12</v>
      </c>
      <c r="DR66" s="20">
        <f t="shared" si="16"/>
        <v>3.405245110226996E-12</v>
      </c>
      <c r="DS66" s="59">
        <f t="shared" si="17"/>
        <v>293.33333333333672</v>
      </c>
      <c r="DT66" s="59">
        <f ca="1">AVERAGE(OFFSET($DS$3,0,0,'Données projet'!$E$14+1,1))-AVERAGE(OFFSET($H$3,0,0,'Données projet'!$E$14+1,1))</f>
        <v>197.34725966440715</v>
      </c>
      <c r="DU66" s="59">
        <f t="shared" si="44"/>
        <v>240.16326570529532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33.82095185506072</v>
      </c>
      <c r="EB66" s="21">
        <f>EXP(-LN(2)/25)*EB65+(1-EXP(-LN(2)/25))/(LN(2)/25)*Calculateur!DW66*Calculateur!DY66*VLOOKUP('Données projet'!$B$14,Paramètres!$A$1:$I$89,3,0)*0.475*44/12</f>
        <v>21.478319224809145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55.299271079869868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8.6666666666666661</v>
      </c>
      <c r="EJ66" s="12">
        <f>IF('Données projet'!$A$192&gt;35,EJ65+EI66-ER65,IF(A66&lt;'Données projet'!$A$192,$EG$205^A66,IF(A66='Données projet'!$A$192,'Données projet'!$B$192,EJ65+EI66-ER65)))</f>
        <v>275.99999999999994</v>
      </c>
      <c r="EK66" s="17">
        <f>EJ66*VLOOKUP('Données projet'!$B$15,Paramètres!$A$1:$I$89,3,0)*VLOOKUP('Données projet'!$B$15,Paramètres!$A$1:$I$89,5,0)</f>
        <v>215.27999999999997</v>
      </c>
      <c r="EL66" s="13">
        <f t="shared" si="45"/>
        <v>53.087725740853138</v>
      </c>
      <c r="EM66" s="20">
        <f t="shared" si="19"/>
        <v>467.40712233198587</v>
      </c>
      <c r="EN66" s="59">
        <f t="shared" si="20"/>
        <v>760.74045566531913</v>
      </c>
      <c r="EO66" s="59">
        <f ca="1">AVERAGE(OFFSET($EN$3,0,0,'Données projet'!$E$15+1,1))-AVERAGE(OFFSET($H$3,0,0,'Données projet'!$E$15+1,1))</f>
        <v>288.82868507674738</v>
      </c>
      <c r="EP66" s="59">
        <f t="shared" si="46"/>
        <v>283.48738729114024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34.042093286723663</v>
      </c>
      <c r="EW66" s="21">
        <f>EXP(-LN(2)/25)*EW65+(1-EXP(-LN(2)/25))/(LN(2)/25)*Calculateur!ER66*Calculateur!ET66*VLOOKUP('Données projet'!$B$15,Paramètres!$A$1:$I$89,3,0)*0.475*44/12</f>
        <v>17.199464286101115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51.241557572824775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9.2524999999999977</v>
      </c>
      <c r="N67" s="13">
        <f>IF('Données projet'!$A$36&gt;35,N66+M67-V66,IF(A67&lt;'Données projet'!$A$36,$K$205^A67,IF(A67='Données projet'!$A$36,'Données projet'!$B$36,N66+M67-V66)))</f>
        <v>246.45500000000018</v>
      </c>
      <c r="O67" s="13">
        <f>N67*VLOOKUP('Données projet'!$B$9,Paramètres!$A$1:$I$89,3,0)*VLOOKUP('Données projet'!$B$9,Paramètres!$A$1:$I$89,5,0)</f>
        <v>222.99248400000016</v>
      </c>
      <c r="P67" s="13">
        <f t="shared" si="33"/>
        <v>54.764775031234961</v>
      </c>
      <c r="Q67" s="20">
        <f t="shared" ref="Q67:Q98" si="54">(O67+P67)*0.475*44/12</f>
        <v>483.76055947940108</v>
      </c>
      <c r="R67" s="59">
        <f t="shared" ref="R67:R130" si="55">Q67+(I67+J67)*44/12</f>
        <v>777.09389281273434</v>
      </c>
      <c r="S67" s="59">
        <f ca="1">AVERAGE(OFFSET($R$3,0,0,'Données projet'!$E$9+1,1))-AVERAGE(OFFSET($H$3,0,0,'Données projet'!$E$9+1,1))</f>
        <v>581.88778927327667</v>
      </c>
      <c r="T67" s="59">
        <f t="shared" si="34"/>
        <v>269.67340993773422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12.233261824087835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12.233261824087835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4.8</v>
      </c>
      <c r="AI67" s="13">
        <f>IF('Données projet'!$A$62&gt;35,AI66+AH67-AQ66,IF(A67&lt;'Données projet'!$A$62,$AF$205^A67,IF(A67='Données projet'!$A$62,'Données projet'!$B$62,AI66+AH67-AQ66)))</f>
        <v>196.20000000000007</v>
      </c>
      <c r="AJ67" s="13">
        <f>AI67*VLOOKUP('Données projet'!$B$10,Paramètres!$A$1:$I$89,3,0)*VLOOKUP('Données projet'!$B$10,Paramètres!$A$1:$I$89,5,0)</f>
        <v>128.55024000000003</v>
      </c>
      <c r="AK67" s="13">
        <f t="shared" si="35"/>
        <v>33.661144026076663</v>
      </c>
      <c r="AL67" s="20">
        <f t="shared" si="4"/>
        <v>282.51816051208363</v>
      </c>
      <c r="AM67" s="59">
        <f t="shared" si="5"/>
        <v>575.85149384541694</v>
      </c>
      <c r="AN67" s="59">
        <f ca="1">AVERAGE(OFFSET($AM$3,0,0,'Données projet'!$E$10+1,1))-AVERAGE(OFFSET($H$3,0,0,'Données projet'!$E$10+1,1))</f>
        <v>230.58262378842818</v>
      </c>
      <c r="AO67" s="59">
        <f t="shared" si="36"/>
        <v>235.68746142880792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6.101682627311166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6.101682627311166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222.99248400000016</v>
      </c>
      <c r="BF67" s="13">
        <f t="shared" si="37"/>
        <v>54.764775031234961</v>
      </c>
      <c r="BG67" s="20">
        <f t="shared" si="7"/>
        <v>483.76055947940108</v>
      </c>
      <c r="BH67" s="59">
        <f t="shared" si="8"/>
        <v>777.09389281273434</v>
      </c>
      <c r="BI67" s="59">
        <f ca="1">AVERAGE(OFFSET($BH$3,0,0,'Données projet'!$E$11+1,1))-AVERAGE(OFFSET($H$3,0,0,'Données projet'!$E$11+1,1))</f>
        <v>581.88778927327667</v>
      </c>
      <c r="BJ67" s="59">
        <f t="shared" si="38"/>
        <v>269.67340993773422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12.233261824087835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12.233261824087835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234.52657800000017</v>
      </c>
      <c r="CA67" s="13">
        <f t="shared" si="39"/>
        <v>57.260320569228661</v>
      </c>
      <c r="CB67" s="20">
        <f t="shared" si="10"/>
        <v>508.19551500807347</v>
      </c>
      <c r="CC67" s="59">
        <f t="shared" si="11"/>
        <v>801.52884834140673</v>
      </c>
      <c r="CD67" s="59">
        <f ca="1">AVERAGE(OFFSET($CC$3,0,0,'Données projet'!$E$12+1,1))-AVERAGE(OFFSET($H$3,0,0,'Données projet'!$E$12+1,1))</f>
        <v>609.60019207204277</v>
      </c>
      <c r="CE67" s="59">
        <f t="shared" si="40"/>
        <v>281.42238288764503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12.86601674602341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12.86601674602341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2.2711500000000031</v>
      </c>
      <c r="CT67" s="12">
        <f>IF('Données projet'!$A$140&gt;35,CT66+CS67-DB66,IF(A67&lt;'Données projet'!$A$140,$CQ$205^A67,IF(A67='Données projet'!$A$140,'Données projet'!$B$140,CT66+CS67-DB66)))</f>
        <v>129.13109999999992</v>
      </c>
      <c r="CU67" s="17">
        <f>CT67*VLOOKUP('Données projet'!$B$13,Paramètres!$A$1:$I$89,3,0)*VLOOKUP('Données projet'!$B$13,Paramètres!$A$1:$I$89,5,0)</f>
        <v>102.73670315999995</v>
      </c>
      <c r="CV67" s="13">
        <f t="shared" si="41"/>
        <v>27.612951311891994</v>
      </c>
      <c r="CW67" s="20">
        <f t="shared" si="13"/>
        <v>227.02564820521181</v>
      </c>
      <c r="CX67" s="59">
        <f t="shared" si="14"/>
        <v>520.35898153854509</v>
      </c>
      <c r="CY67" s="59">
        <f ca="1">AVERAGE(OFFSET($CX$3,0,0,'Données projet'!$E$13+1,1))-AVERAGE(OFFSET($H$3,0,0,'Données projet'!$E$13+1,1))</f>
        <v>172.13940525084604</v>
      </c>
      <c r="CZ67" s="59">
        <f t="shared" si="42"/>
        <v>172.82328007157236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3.4026775864171213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3.4026775864171213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1.7053025658242404E-13</v>
      </c>
      <c r="DP67" s="17">
        <f>DO67*VLOOKUP('Données projet'!$B$14,Paramètres!$A$1:$I$89,3,0)*VLOOKUP('Données projet'!$B$14,Paramètres!$A$1:$I$89,5,0)</f>
        <v>1.250327841262333E-13</v>
      </c>
      <c r="DQ67" s="13">
        <f t="shared" si="43"/>
        <v>1.8301318724634299E-12</v>
      </c>
      <c r="DR67" s="20">
        <f t="shared" si="16"/>
        <v>3.405245110226996E-12</v>
      </c>
      <c r="DS67" s="59">
        <f t="shared" si="17"/>
        <v>293.33333333333672</v>
      </c>
      <c r="DT67" s="59">
        <f ca="1">AVERAGE(OFFSET($DS$3,0,0,'Données projet'!$E$14+1,1))-AVERAGE(OFFSET($H$3,0,0,'Données projet'!$E$14+1,1))</f>
        <v>197.34725966440715</v>
      </c>
      <c r="DU67" s="59">
        <f t="shared" si="44"/>
        <v>240.16326570529532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33.157743617926691</v>
      </c>
      <c r="EB67" s="21">
        <f>EXP(-LN(2)/25)*EB66+(1-EXP(-LN(2)/25))/(LN(2)/25)*Calculateur!DW67*Calculateur!DY67*VLOOKUP('Données projet'!$B$14,Paramètres!$A$1:$I$89,3,0)*0.475*44/12</f>
        <v>20.890993456111019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54.04873707403771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8.6666666666666661</v>
      </c>
      <c r="EJ67" s="12">
        <f>IF('Données projet'!$A$192&gt;35,EJ66+EI67-ER66,IF(A67&lt;'Données projet'!$A$192,$EG$205^A67,IF(A67='Données projet'!$A$192,'Données projet'!$B$192,EJ66+EI67-ER66)))</f>
        <v>284.66666666666663</v>
      </c>
      <c r="EK67" s="17">
        <f>EJ67*VLOOKUP('Données projet'!$B$15,Paramètres!$A$1:$I$89,3,0)*VLOOKUP('Données projet'!$B$15,Paramètres!$A$1:$I$89,5,0)</f>
        <v>222.04</v>
      </c>
      <c r="EL67" s="13">
        <f t="shared" si="45"/>
        <v>54.558031180803546</v>
      </c>
      <c r="EM67" s="20">
        <f t="shared" si="19"/>
        <v>481.74157097323285</v>
      </c>
      <c r="EN67" s="59">
        <f t="shared" si="20"/>
        <v>775.07490430656617</v>
      </c>
      <c r="EO67" s="59">
        <f ca="1">AVERAGE(OFFSET($EN$3,0,0,'Données projet'!$E$15+1,1))-AVERAGE(OFFSET($H$3,0,0,'Données projet'!$E$15+1,1))</f>
        <v>288.82868507674738</v>
      </c>
      <c r="EP67" s="59">
        <f t="shared" si="46"/>
        <v>283.48738729114024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33.374548600997677</v>
      </c>
      <c r="EW67" s="21">
        <f>EXP(-LN(2)/25)*EW66+(1-EXP(-LN(2)/25))/(LN(2)/25)*Calculateur!ER67*Calculateur!ET67*VLOOKUP('Données projet'!$B$15,Paramètres!$A$1:$I$89,3,0)*0.475*44/12</f>
        <v>16.729144030717162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50.103692631714836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9.2524999999999977</v>
      </c>
      <c r="N68" s="13">
        <f>IF('Données projet'!$A$36&gt;35,N67+M68-V67,IF(A68&lt;'Données projet'!$A$36,$K$205^A68,IF(A68='Données projet'!$A$36,'Données projet'!$B$36,N67+M68-V67)))</f>
        <v>255.70750000000018</v>
      </c>
      <c r="O68" s="13">
        <f>N68*VLOOKUP('Données projet'!$B$9,Paramètres!$A$1:$I$89,3,0)*VLOOKUP('Données projet'!$B$9,Paramètres!$A$1:$I$89,5,0)</f>
        <v>231.36414600000015</v>
      </c>
      <c r="P68" s="13">
        <f t="shared" si="33"/>
        <v>56.57754019728695</v>
      </c>
      <c r="Q68" s="20">
        <f t="shared" si="54"/>
        <v>501.49843679360833</v>
      </c>
      <c r="R68" s="59">
        <f t="shared" si="55"/>
        <v>794.83177012694159</v>
      </c>
      <c r="S68" s="59">
        <f ca="1">AVERAGE(OFFSET($R$3,0,0,'Données projet'!$E$9+1,1))-AVERAGE(OFFSET($H$3,0,0,'Données projet'!$E$9+1,1))</f>
        <v>581.88778927327667</v>
      </c>
      <c r="T68" s="59">
        <f t="shared" si="34"/>
        <v>269.67340993773422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11.993375021270419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11.993375021270419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201</v>
      </c>
      <c r="AG68" s="12">
        <f>VLOOKUP(A68,'Données projet'!$A$61:$I$81,9,0)</f>
        <v>4.8</v>
      </c>
      <c r="AH68" s="12">
        <f t="array" ref="AH68">INDEX(AG:AG,MIN(IF(ISNUMBER(AG68:AG264),ROW(AG68:AG264),"")))</f>
        <v>4.8</v>
      </c>
      <c r="AI68" s="13">
        <f>IF('Données projet'!$A$62&gt;35,AI67+AH68-AQ67,IF(A68&lt;'Données projet'!$A$62,$AF$205^A68,IF(A68='Données projet'!$A$62,'Données projet'!$B$62,AI67+AH68-AQ67)))</f>
        <v>201.00000000000009</v>
      </c>
      <c r="AJ68" s="13">
        <f>AI68*VLOOKUP('Données projet'!$B$10,Paramètres!$A$1:$I$89,3,0)*VLOOKUP('Données projet'!$B$10,Paramètres!$A$1:$I$89,5,0)</f>
        <v>131.69520000000006</v>
      </c>
      <c r="AK68" s="13">
        <f t="shared" si="35"/>
        <v>34.387774432362271</v>
      </c>
      <c r="AL68" s="20">
        <f t="shared" ref="AL68:AL131" si="58">(AJ68+AK68)*0.475*44/12</f>
        <v>289.26118046969771</v>
      </c>
      <c r="AM68" s="59">
        <f t="shared" ref="AM68:AM131" si="59">AL68+(AD68+AE68)*44/12</f>
        <v>582.59451380303108</v>
      </c>
      <c r="AN68" s="59">
        <f ca="1">AVERAGE(OFFSET($AM$3,0,0,'Données projet'!$E$10+1,1))-AVERAGE(OFFSET($H$3,0,0,'Données projet'!$E$10+1,1))</f>
        <v>230.58262378842818</v>
      </c>
      <c r="AO68" s="59">
        <f t="shared" si="36"/>
        <v>235.68746142880792</v>
      </c>
      <c r="AP68" s="15">
        <f>IF(ISNA(VLOOKUP(A68,'Données projet'!$A$61:$I$81,3,0)),0,VLOOKUP(A68,'Données projet'!$A$61:$I$81,3,0))</f>
        <v>12</v>
      </c>
      <c r="AQ68" s="15">
        <f>IF(ISNA(VLOOKUP(A68,'Données projet'!$A$61:$I$81,4,0)),0,VLOOKUP(A68,'Données projet'!$A$61:$I$81,4,0))</f>
        <v>18</v>
      </c>
      <c r="AR68" s="16">
        <f>IF(ISNA(VLOOKUP(A68,'Données projet'!$A$61:$I$81,5,0)),0%,VLOOKUP(A68,'Données projet'!$A$61:$I$81,5,0)*VLOOKUP('Données projet'!$B$10,Paramètres!$A$1:$I$89,7,0))</f>
        <v>0.25800000000000001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9.3457010234079423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9.3457010234079423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231.36414600000015</v>
      </c>
      <c r="BF68" s="13">
        <f t="shared" si="37"/>
        <v>56.57754019728695</v>
      </c>
      <c r="BG68" s="20">
        <f t="shared" ref="BG68:BG131" si="61">(BE68+BF68)*0.475*44/12</f>
        <v>501.49843679360833</v>
      </c>
      <c r="BH68" s="59">
        <f t="shared" ref="BH68:BH131" si="62">BG68+(AY68+AZ68)*44/12</f>
        <v>794.83177012694159</v>
      </c>
      <c r="BI68" s="59">
        <f ca="1">AVERAGE(OFFSET($BH$3,0,0,'Données projet'!$E$11+1,1))-AVERAGE(OFFSET($H$3,0,0,'Données projet'!$E$11+1,1))</f>
        <v>581.88778927327667</v>
      </c>
      <c r="BJ68" s="59">
        <f t="shared" si="38"/>
        <v>269.67340993773422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11.993375021270419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11.993375021270419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243.33125700000016</v>
      </c>
      <c r="CA68" s="13">
        <f t="shared" si="39"/>
        <v>59.155690621706064</v>
      </c>
      <c r="CB68" s="20">
        <f t="shared" ref="CB68:CB131" si="64">(BZ68+CA68)*0.475*44/12</f>
        <v>526.83143377447163</v>
      </c>
      <c r="CC68" s="59">
        <f t="shared" ref="CC68:CC131" si="65">CB68+(BT68+BU68)*44/12</f>
        <v>820.16476710780489</v>
      </c>
      <c r="CD68" s="59">
        <f ca="1">AVERAGE(OFFSET($CC$3,0,0,'Données projet'!$E$12+1,1))-AVERAGE(OFFSET($H$3,0,0,'Données projet'!$E$12+1,1))</f>
        <v>609.60019207204277</v>
      </c>
      <c r="CE68" s="59">
        <f t="shared" si="40"/>
        <v>281.42238288764503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12.61372200512923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12.61372200512923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131.40225000000001</v>
      </c>
      <c r="CR68" s="12">
        <f>VLOOKUP(A68,'Données projet'!$A$139:$I$159,9,0)</f>
        <v>2.2711500000000031</v>
      </c>
      <c r="CS68" s="12">
        <f t="array" ref="CS68">INDEX(CR:CR,MIN(IF(ISNUMBER(CR68:CR264),ROW(CR68:CR264),"")))</f>
        <v>2.2711500000000031</v>
      </c>
      <c r="CT68" s="12">
        <f>IF('Données projet'!$A$140&gt;35,CT67+CS68-DB67,IF(A68&lt;'Données projet'!$A$140,$CQ$205^A68,IF(A68='Données projet'!$A$140,'Données projet'!$B$140,CT67+CS68-DB67)))</f>
        <v>131.40224999999992</v>
      </c>
      <c r="CU68" s="17">
        <f>CT68*VLOOKUP('Données projet'!$B$13,Paramètres!$A$1:$I$89,3,0)*VLOOKUP('Données projet'!$B$13,Paramètres!$A$1:$I$89,5,0)</f>
        <v>104.54363009999996</v>
      </c>
      <c r="CV68" s="13">
        <f t="shared" si="41"/>
        <v>28.041639590197363</v>
      </c>
      <c r="CW68" s="20">
        <f t="shared" ref="CW68:CW131" si="67">(CU68+CV68)*0.475*44/12</f>
        <v>230.919344710427</v>
      </c>
      <c r="CX68" s="59">
        <f t="shared" ref="CX68:CX131" si="68">CW68+(CO68+CP68)*44/12</f>
        <v>524.25267804376028</v>
      </c>
      <c r="CY68" s="59">
        <f ca="1">AVERAGE(OFFSET($CX$3,0,0,'Données projet'!$E$13+1,1))-AVERAGE(OFFSET($H$3,0,0,'Données projet'!$E$13+1,1))</f>
        <v>172.13940525084604</v>
      </c>
      <c r="CZ68" s="59">
        <f t="shared" si="42"/>
        <v>172.82328007157236</v>
      </c>
      <c r="DA68" s="15">
        <f>IF(ISNA(VLOOKUP(A68,'Données projet'!$A$139:$I$159,3,0)),0,VLOOKUP(A68,'Données projet'!$A$139:$I$159,3,0))</f>
        <v>12</v>
      </c>
      <c r="DB68" s="15">
        <f>IF(ISNA(VLOOKUP(A68,'Données projet'!$A$139:$I$159,4,0)),0,VLOOKUP(A68,'Données projet'!$A$139:$I$159,4,0))</f>
        <v>5.7679999999999998</v>
      </c>
      <c r="DC68" s="16">
        <f>IF(ISNA(VLOOKUP(A68,'Données projet'!$A$139:$I$159,5,0)),0%,VLOOKUP(A68,'Données projet'!$A$139:$I$159,5,0)*VLOOKUP('Données projet'!$B$13,Paramètres!$A$1:$I$89,7,0))</f>
        <v>0.318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4.9491756021923496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4.9491756021923496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1.7053025658242404E-13</v>
      </c>
      <c r="DP68" s="17">
        <f>DO68*VLOOKUP('Données projet'!$B$14,Paramètres!$A$1:$I$89,3,0)*VLOOKUP('Données projet'!$B$14,Paramètres!$A$1:$I$89,5,0)</f>
        <v>1.250327841262333E-13</v>
      </c>
      <c r="DQ68" s="13">
        <f t="shared" si="43"/>
        <v>1.8301318724634299E-12</v>
      </c>
      <c r="DR68" s="20">
        <f t="shared" ref="DR68:DR131" si="70">(DP68+DQ68)*0.475*44/12</f>
        <v>3.405245110226996E-12</v>
      </c>
      <c r="DS68" s="59">
        <f t="shared" ref="DS68:DS131" si="71">DR68+(DJ68+DK68)*44/12</f>
        <v>293.33333333333672</v>
      </c>
      <c r="DT68" s="59">
        <f ca="1">AVERAGE(OFFSET($DS$3,0,0,'Données projet'!$E$14+1,1))-AVERAGE(OFFSET($H$3,0,0,'Données projet'!$E$14+1,1))</f>
        <v>197.34725966440715</v>
      </c>
      <c r="DU68" s="59">
        <f t="shared" si="44"/>
        <v>240.16326570529532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32.507540489805777</v>
      </c>
      <c r="EB68" s="21">
        <f>EXP(-LN(2)/25)*EB67+(1-EXP(-LN(2)/25))/(LN(2)/25)*Calculateur!DW68*Calculateur!DY68*VLOOKUP('Données projet'!$B$14,Paramètres!$A$1:$I$89,3,0)*0.475*44/12</f>
        <v>20.319728141444063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52.827268631249837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8.6666666666666661</v>
      </c>
      <c r="EJ68" s="12">
        <f>IF('Données projet'!$A$192&gt;35,EJ67+EI68-ER67,IF(A68&lt;'Données projet'!$A$192,$EG$205^A68,IF(A68='Données projet'!$A$192,'Données projet'!$B$192,EJ67+EI68-ER67)))</f>
        <v>293.33333333333331</v>
      </c>
      <c r="EK68" s="17">
        <f>EJ68*VLOOKUP('Données projet'!$B$15,Paramètres!$A$1:$I$89,3,0)*VLOOKUP('Données projet'!$B$15,Paramètres!$A$1:$I$89,5,0)</f>
        <v>228.79999999999998</v>
      </c>
      <c r="EL68" s="13">
        <f t="shared" si="45"/>
        <v>56.023134533701196</v>
      </c>
      <c r="EM68" s="20">
        <f t="shared" ref="EM68:EM131" si="73">(EK68+EL68)*0.475*44/12</f>
        <v>496.06695931286293</v>
      </c>
      <c r="EN68" s="59">
        <f t="shared" ref="EN68:EN131" si="74">EM68+(EE68+EF68)*44/12</f>
        <v>789.40029264619625</v>
      </c>
      <c r="EO68" s="59">
        <f ca="1">AVERAGE(OFFSET($EN$3,0,0,'Données projet'!$E$15+1,1))-AVERAGE(OFFSET($H$3,0,0,'Données projet'!$E$15+1,1))</f>
        <v>288.82868507674738</v>
      </c>
      <c r="EP68" s="59">
        <f t="shared" si="46"/>
        <v>283.48738729114024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32.720094059396729</v>
      </c>
      <c r="EW68" s="21">
        <f>EXP(-LN(2)/25)*EW67+(1-EXP(-LN(2)/25))/(LN(2)/25)*Calculateur!ER68*Calculateur!ET68*VLOOKUP('Données projet'!$B$15,Paramètres!$A$1:$I$89,3,0)*0.475*44/12</f>
        <v>16.271684707449751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48.99177876684648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>
        <f>VLOOKUP(A69,'Données projet'!$A$35:$I$55,2,0)</f>
        <v>264.95999999999998</v>
      </c>
      <c r="L69" s="12">
        <f>VLOOKUP(A69,'Données projet'!$A$35:$I$55,9,0)</f>
        <v>9.2524999999999977</v>
      </c>
      <c r="M69" s="12">
        <f t="array" ref="M69">INDEX(L:L,MIN(IF(ISNUMBER(L69:L265),ROW(L69:L265),"")))</f>
        <v>9.2524999999999977</v>
      </c>
      <c r="N69" s="13">
        <f>IF('Données projet'!$A$36&gt;35,N68+M69-V68,IF(A69&lt;'Données projet'!$A$36,$K$205^A69,IF(A69='Données projet'!$A$36,'Données projet'!$B$36,N68+M69-V68)))</f>
        <v>264.96000000000015</v>
      </c>
      <c r="O69" s="13">
        <f>N69*VLOOKUP('Données projet'!$B$9,Paramètres!$A$1:$I$89,3,0)*VLOOKUP('Données projet'!$B$9,Paramètres!$A$1:$I$89,5,0)</f>
        <v>239.73580800000011</v>
      </c>
      <c r="P69" s="13">
        <f t="shared" ref="P69:P132" si="87">EXP(-1.0587+0.8836*LN(O69)+0.284)</f>
        <v>58.38268464325516</v>
      </c>
      <c r="Q69" s="20">
        <f t="shared" si="54"/>
        <v>519.22304135366949</v>
      </c>
      <c r="R69" s="59">
        <f t="shared" si="55"/>
        <v>812.55637468700274</v>
      </c>
      <c r="S69" s="59">
        <f ca="1">AVERAGE(OFFSET($R$3,0,0,'Données projet'!$E$9+1,1))-AVERAGE(OFFSET($H$3,0,0,'Données projet'!$E$9+1,1))</f>
        <v>581.88778927327667</v>
      </c>
      <c r="T69" s="59">
        <f t="shared" ref="T69:T132" si="88">$T$3</f>
        <v>269.67340993773422</v>
      </c>
      <c r="U69" s="15">
        <f>IF(ISNA(VLOOKUP(A69,'Données projet'!$A$35:$I$55,3,0)),0,VLOOKUP(A69,'Données projet'!$A$35:$I$55,3,0))</f>
        <v>4</v>
      </c>
      <c r="V69" s="15">
        <f>IF(ISNA(VLOOKUP(A69,'Données projet'!$A$35:$I$55,4,0)),0,VLOOKUP(A69,'Données projet'!$A$35:$I$55,4,0))</f>
        <v>49.91</v>
      </c>
      <c r="W69" s="16">
        <f>IF(ISNA(VLOOKUP(A69,'Données projet'!$A$35:$I$55,5,0)),0%,VLOOKUP(A69,'Données projet'!$A$35:$I$55,5,0)*VLOOKUP('Données projet'!$B$9,Paramètres!$A$1:$I$89,7,0))</f>
        <v>0.25800000000000001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24.637928753319876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24.637928753319876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4.4000000000000004</v>
      </c>
      <c r="AI69" s="13">
        <f>IF('Données projet'!$A$62&gt;35,AI68+AH69-AQ68,IF(A69&lt;'Données projet'!$A$62,$AF$205^A69,IF(A69='Données projet'!$A$62,'Données projet'!$B$62,AI68+AH69-AQ68)))</f>
        <v>187.40000000000009</v>
      </c>
      <c r="AJ69" s="13">
        <f>AI69*VLOOKUP('Données projet'!$B$10,Paramètres!$A$1:$I$89,3,0)*VLOOKUP('Données projet'!$B$10,Paramètres!$A$1:$I$89,5,0)</f>
        <v>122.78448000000007</v>
      </c>
      <c r="AK69" s="13">
        <f t="shared" ref="AK69:AK132" si="89">EXP(-1.0587+0.8836*LN(AJ69)+0.284)</f>
        <v>32.323563966100259</v>
      </c>
      <c r="AL69" s="20">
        <f t="shared" si="58"/>
        <v>270.1465099076247</v>
      </c>
      <c r="AM69" s="59">
        <f t="shared" si="59"/>
        <v>563.47984324095796</v>
      </c>
      <c r="AN69" s="59">
        <f ca="1">AVERAGE(OFFSET($AM$3,0,0,'Données projet'!$E$10+1,1))-AVERAGE(OFFSET($H$3,0,0,'Données projet'!$E$10+1,1))</f>
        <v>230.58262378842818</v>
      </c>
      <c r="AO69" s="59">
        <f t="shared" ref="AO69:AO132" si="90">$AO$3</f>
        <v>235.68746142880792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9.1624375266536777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9.1624375266536777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239.73580800000011</v>
      </c>
      <c r="BF69" s="13">
        <f t="shared" ref="BF69:BF132" si="91">EXP(-1.0587+0.8836*LN(BE69)+0.284)</f>
        <v>58.38268464325516</v>
      </c>
      <c r="BG69" s="20">
        <f t="shared" si="61"/>
        <v>519.22304135366949</v>
      </c>
      <c r="BH69" s="59">
        <f t="shared" si="62"/>
        <v>812.55637468700274</v>
      </c>
      <c r="BI69" s="59">
        <f ca="1">AVERAGE(OFFSET($BH$3,0,0,'Données projet'!$E$11+1,1))-AVERAGE(OFFSET($H$3,0,0,'Données projet'!$E$11+1,1))</f>
        <v>581.88778927327667</v>
      </c>
      <c r="BJ69" s="59">
        <f t="shared" ref="BJ69:BJ132" si="92">$BJ$3</f>
        <v>269.67340993773422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24.637928753319876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24.637928753319876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252.13593600000013</v>
      </c>
      <c r="CA69" s="13">
        <f t="shared" ref="CA69:CA132" si="93">EXP(-1.0587+0.8836*LN(BZ69)+0.284)</f>
        <v>61.043092689749741</v>
      </c>
      <c r="CB69" s="20">
        <f t="shared" si="64"/>
        <v>545.45347496798104</v>
      </c>
      <c r="CC69" s="59">
        <f t="shared" si="65"/>
        <v>838.7868083013143</v>
      </c>
      <c r="CD69" s="59">
        <f ca="1">AVERAGE(OFFSET($CC$3,0,0,'Données projet'!$E$12+1,1))-AVERAGE(OFFSET($H$3,0,0,'Données projet'!$E$12+1,1))</f>
        <v>609.60019207204277</v>
      </c>
      <c r="CE69" s="59">
        <f t="shared" ref="CE69:CE132" si="94">$CE$3</f>
        <v>281.42238288764503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25.912304378491598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25.912304378491598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1.9466999999999985</v>
      </c>
      <c r="CT69" s="12">
        <f>IF('Données projet'!$A$140&gt;35,CT68+CS69-DB68,IF(A69&lt;'Données projet'!$A$140,$CQ$205^A69,IF(A69='Données projet'!$A$140,'Données projet'!$B$140,CT68+CS69-DB68)))</f>
        <v>127.58094999999992</v>
      </c>
      <c r="CU69" s="17">
        <f>CT69*VLOOKUP('Données projet'!$B$13,Paramètres!$A$1:$I$89,3,0)*VLOOKUP('Données projet'!$B$13,Paramètres!$A$1:$I$89,5,0)</f>
        <v>101.50340381999993</v>
      </c>
      <c r="CV69" s="13">
        <f t="shared" ref="CV69:CV132" si="95">EXP(-1.0587+0.8836*LN(CU69)+0.284)</f>
        <v>27.319851128738886</v>
      </c>
      <c r="CW69" s="20">
        <f t="shared" si="67"/>
        <v>224.36716903572008</v>
      </c>
      <c r="CX69" s="59">
        <f t="shared" si="68"/>
        <v>517.70050236905342</v>
      </c>
      <c r="CY69" s="59">
        <f ca="1">AVERAGE(OFFSET($CX$3,0,0,'Données projet'!$E$13+1,1))-AVERAGE(OFFSET($H$3,0,0,'Données projet'!$E$13+1,1))</f>
        <v>172.13940525084604</v>
      </c>
      <c r="CZ69" s="59">
        <f t="shared" ref="CZ69:CZ132" si="96">$CZ$3</f>
        <v>172.82328007157236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4.8521252873324032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4.8521252873324032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1.7053025658242404E-13</v>
      </c>
      <c r="DP69" s="17">
        <f>DO69*VLOOKUP('Données projet'!$B$14,Paramètres!$A$1:$I$89,3,0)*VLOOKUP('Données projet'!$B$14,Paramètres!$A$1:$I$89,5,0)</f>
        <v>1.250327841262333E-13</v>
      </c>
      <c r="DQ69" s="13">
        <f t="shared" ref="DQ69:DQ132" si="97">EXP(-1.0587+0.8836*LN(DP69)+0.284)</f>
        <v>1.8301318724634299E-12</v>
      </c>
      <c r="DR69" s="20">
        <f t="shared" si="70"/>
        <v>3.405245110226996E-12</v>
      </c>
      <c r="DS69" s="59">
        <f t="shared" si="71"/>
        <v>293.33333333333672</v>
      </c>
      <c r="DT69" s="59">
        <f ca="1">AVERAGE(OFFSET($DS$3,0,0,'Données projet'!$E$14+1,1))-AVERAGE(OFFSET($H$3,0,0,'Données projet'!$E$14+1,1))</f>
        <v>197.34725966440715</v>
      </c>
      <c r="DU69" s="59">
        <f t="shared" ref="DU69:DU132" si="98">$DU$3</f>
        <v>240.16326570529532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31.870087448442568</v>
      </c>
      <c r="EB69" s="21">
        <f>EXP(-LN(2)/25)*EB68+(1-EXP(-LN(2)/25))/(LN(2)/25)*Calculateur!DW69*Calculateur!DY69*VLOOKUP('Données projet'!$B$14,Paramètres!$A$1:$I$89,3,0)*0.475*44/12</f>
        <v>19.764084106848212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51.634171555290777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8.6666666666666661</v>
      </c>
      <c r="EJ69" s="12">
        <f>IF('Données projet'!$A$192&gt;35,EJ68+EI69-ER68,IF(A69&lt;'Données projet'!$A$192,$EG$205^A69,IF(A69='Données projet'!$A$192,'Données projet'!$B$192,EJ68+EI69-ER68)))</f>
        <v>302</v>
      </c>
      <c r="EK69" s="17">
        <f>EJ69*VLOOKUP('Données projet'!$B$15,Paramètres!$A$1:$I$89,3,0)*VLOOKUP('Données projet'!$B$15,Paramètres!$A$1:$I$89,5,0)</f>
        <v>235.56</v>
      </c>
      <c r="EL69" s="13">
        <f t="shared" ref="EL69:EL132" si="99">EXP(-1.0587+0.8836*LN(EK69)+0.284)</f>
        <v>57.483207143847721</v>
      </c>
      <c r="EM69" s="20">
        <f t="shared" si="73"/>
        <v>510.38358577553481</v>
      </c>
      <c r="EN69" s="59">
        <f t="shared" si="74"/>
        <v>803.71691910886807</v>
      </c>
      <c r="EO69" s="59">
        <f ca="1">AVERAGE(OFFSET($EN$3,0,0,'Données projet'!$E$15+1,1))-AVERAGE(OFFSET($H$3,0,0,'Données projet'!$E$15+1,1))</f>
        <v>288.82868507674738</v>
      </c>
      <c r="EP69" s="59">
        <f t="shared" ref="EP69:EP132" si="100">$EP$3</f>
        <v>283.48738729114024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32.078472972178716</v>
      </c>
      <c r="EW69" s="21">
        <f>EXP(-LN(2)/25)*EW68+(1-EXP(-LN(2)/25))/(LN(2)/25)*Calculateur!ER69*Calculateur!ET69*VLOOKUP('Données projet'!$B$15,Paramètres!$A$1:$I$89,3,0)*0.475*44/12</f>
        <v>15.826734633433828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47.905207605612546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8.8662500000000044</v>
      </c>
      <c r="N70" s="13">
        <f>IF('Données projet'!$A$36&gt;35,N69+M70-V69,IF(A70&lt;'Données projet'!$A$36,$K$205^A70,IF(A70='Données projet'!$A$36,'Données projet'!$B$36,N69+M70-V69)))</f>
        <v>223.91625000000013</v>
      </c>
      <c r="O70" s="13">
        <f>N70*VLOOKUP('Données projet'!$B$9,Paramètres!$A$1:$I$89,3,0)*VLOOKUP('Données projet'!$B$9,Paramètres!$A$1:$I$89,5,0)</f>
        <v>202.59942300000012</v>
      </c>
      <c r="P70" s="13">
        <f t="shared" si="87"/>
        <v>50.315012169520465</v>
      </c>
      <c r="Q70" s="20">
        <f t="shared" si="54"/>
        <v>440.49264125358167</v>
      </c>
      <c r="R70" s="59">
        <f t="shared" si="55"/>
        <v>733.82597458691498</v>
      </c>
      <c r="S70" s="59">
        <f ca="1">AVERAGE(OFFSET($R$3,0,0,'Données projet'!$E$9+1,1))-AVERAGE(OFFSET($H$3,0,0,'Données projet'!$E$9+1,1))</f>
        <v>581.88778927327667</v>
      </c>
      <c r="T70" s="59">
        <f t="shared" si="88"/>
        <v>269.67340993773422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24.154793998119956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24.154793998119956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4.4000000000000004</v>
      </c>
      <c r="AI70" s="13">
        <f>IF('Données projet'!$A$62&gt;35,AI69+AH70-AQ69,IF(A70&lt;'Données projet'!$A$62,$AF$205^A70,IF(A70='Données projet'!$A$62,'Données projet'!$B$62,AI69+AH70-AQ69)))</f>
        <v>191.8000000000001</v>
      </c>
      <c r="AJ70" s="13">
        <f>AI70*VLOOKUP('Données projet'!$B$10,Paramètres!$A$1:$I$89,3,0)*VLOOKUP('Données projet'!$B$10,Paramètres!$A$1:$I$89,5,0)</f>
        <v>125.66736000000007</v>
      </c>
      <c r="AK70" s="13">
        <f t="shared" si="89"/>
        <v>32.993247007291167</v>
      </c>
      <c r="AL70" s="20">
        <f t="shared" si="58"/>
        <v>276.33389053769889</v>
      </c>
      <c r="AM70" s="59">
        <f t="shared" si="59"/>
        <v>569.66722387103221</v>
      </c>
      <c r="AN70" s="59">
        <f ca="1">AVERAGE(OFFSET($AM$3,0,0,'Données projet'!$E$10+1,1))-AVERAGE(OFFSET($H$3,0,0,'Données projet'!$E$10+1,1))</f>
        <v>230.58262378842818</v>
      </c>
      <c r="AO70" s="59">
        <f t="shared" si="90"/>
        <v>235.68746142880792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8.9827677152910681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8.9827677152910681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202.59942300000012</v>
      </c>
      <c r="BF70" s="13">
        <f t="shared" si="91"/>
        <v>50.315012169520465</v>
      </c>
      <c r="BG70" s="20">
        <f t="shared" si="61"/>
        <v>440.49264125358167</v>
      </c>
      <c r="BH70" s="59">
        <f t="shared" si="62"/>
        <v>733.82597458691498</v>
      </c>
      <c r="BI70" s="59">
        <f ca="1">AVERAGE(OFFSET($BH$3,0,0,'Données projet'!$E$11+1,1))-AVERAGE(OFFSET($H$3,0,0,'Données projet'!$E$11+1,1))</f>
        <v>581.88778927327667</v>
      </c>
      <c r="BJ70" s="59">
        <f t="shared" si="92"/>
        <v>269.67340993773422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24.154793998119956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24.154793998119956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213.07870350000013</v>
      </c>
      <c r="CA70" s="13">
        <f t="shared" si="93"/>
        <v>52.607788941489872</v>
      </c>
      <c r="CB70" s="20">
        <f t="shared" si="64"/>
        <v>462.73730766892845</v>
      </c>
      <c r="CC70" s="59">
        <f t="shared" si="65"/>
        <v>756.07064100226171</v>
      </c>
      <c r="CD70" s="59">
        <f ca="1">AVERAGE(OFFSET($CC$3,0,0,'Données projet'!$E$12+1,1))-AVERAGE(OFFSET($H$3,0,0,'Données projet'!$E$12+1,1))</f>
        <v>609.60019207204277</v>
      </c>
      <c r="CE70" s="59">
        <f t="shared" si="94"/>
        <v>281.42238288764503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25.40417989457444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25.40417989457444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1.9466999999999985</v>
      </c>
      <c r="CT70" s="12">
        <f>IF('Données projet'!$A$140&gt;35,CT69+CS70-DB69,IF(A70&lt;'Données projet'!$A$140,$CQ$205^A70,IF(A70='Données projet'!$A$140,'Données projet'!$B$140,CT69+CS70-DB69)))</f>
        <v>129.52764999999991</v>
      </c>
      <c r="CU70" s="17">
        <f>CT70*VLOOKUP('Données projet'!$B$13,Paramètres!$A$1:$I$89,3,0)*VLOOKUP('Données projet'!$B$13,Paramètres!$A$1:$I$89,5,0)</f>
        <v>103.05219833999993</v>
      </c>
      <c r="CV70" s="13">
        <f t="shared" si="95"/>
        <v>27.68786446888052</v>
      </c>
      <c r="CW70" s="20">
        <f t="shared" si="67"/>
        <v>227.70560939213343</v>
      </c>
      <c r="CX70" s="59">
        <f t="shared" si="68"/>
        <v>521.03894272546677</v>
      </c>
      <c r="CY70" s="59">
        <f ca="1">AVERAGE(OFFSET($CX$3,0,0,'Données projet'!$E$13+1,1))-AVERAGE(OFFSET($H$3,0,0,'Données projet'!$E$13+1,1))</f>
        <v>172.13940525084604</v>
      </c>
      <c r="CZ70" s="59">
        <f t="shared" si="96"/>
        <v>172.82328007157236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4.7569780699520132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4.7569780699520132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1.7053025658242404E-13</v>
      </c>
      <c r="DP70" s="17">
        <f>DO70*VLOOKUP('Données projet'!$B$14,Paramètres!$A$1:$I$89,3,0)*VLOOKUP('Données projet'!$B$14,Paramètres!$A$1:$I$89,5,0)</f>
        <v>1.250327841262333E-13</v>
      </c>
      <c r="DQ70" s="13">
        <f t="shared" si="97"/>
        <v>1.8301318724634299E-12</v>
      </c>
      <c r="DR70" s="20">
        <f t="shared" si="70"/>
        <v>3.405245110226996E-12</v>
      </c>
      <c r="DS70" s="59">
        <f t="shared" si="71"/>
        <v>293.33333333333672</v>
      </c>
      <c r="DT70" s="59">
        <f ca="1">AVERAGE(OFFSET($DS$3,0,0,'Données projet'!$E$14+1,1))-AVERAGE(OFFSET($H$3,0,0,'Données projet'!$E$14+1,1))</f>
        <v>197.34725966440715</v>
      </c>
      <c r="DU70" s="59">
        <f t="shared" si="98"/>
        <v>240.16326570529532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31.245134472412527</v>
      </c>
      <c r="EB70" s="21">
        <f>EXP(-LN(2)/25)*EB69+(1-EXP(-LN(2)/25))/(LN(2)/25)*Calculateur!DW70*Calculateur!DY70*VLOOKUP('Données projet'!$B$14,Paramètres!$A$1:$I$89,3,0)*0.475*44/12</f>
        <v>19.223634187598435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50.468768660010966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8.6666666666666661</v>
      </c>
      <c r="EJ70" s="12">
        <f>IF('Données projet'!$A$192&gt;35,EJ69+EI70-ER69,IF(A70&lt;'Données projet'!$A$192,$EG$205^A70,IF(A70='Données projet'!$A$192,'Données projet'!$B$192,EJ69+EI70-ER69)))</f>
        <v>310.66666666666669</v>
      </c>
      <c r="EK70" s="17">
        <f>EJ70*VLOOKUP('Données projet'!$B$15,Paramètres!$A$1:$I$89,3,0)*VLOOKUP('Données projet'!$B$15,Paramètres!$A$1:$I$89,5,0)</f>
        <v>242.32000000000002</v>
      </c>
      <c r="EL70" s="13">
        <f t="shared" si="99"/>
        <v>58.938409961900859</v>
      </c>
      <c r="EM70" s="20">
        <f t="shared" si="73"/>
        <v>524.69173068364398</v>
      </c>
      <c r="EN70" s="59">
        <f t="shared" si="74"/>
        <v>818.02506401697724</v>
      </c>
      <c r="EO70" s="59">
        <f ca="1">AVERAGE(OFFSET($EN$3,0,0,'Données projet'!$E$15+1,1))-AVERAGE(OFFSET($H$3,0,0,'Données projet'!$E$15+1,1))</f>
        <v>288.82868507674738</v>
      </c>
      <c r="EP70" s="59">
        <f t="shared" si="100"/>
        <v>283.48738729114024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31.449433683130827</v>
      </c>
      <c r="EW70" s="21">
        <f>EXP(-LN(2)/25)*EW69+(1-EXP(-LN(2)/25))/(LN(2)/25)*Calculateur!ER70*Calculateur!ET70*VLOOKUP('Données projet'!$B$15,Paramètres!$A$1:$I$89,3,0)*0.475*44/12</f>
        <v>15.393951742590778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46.843385425721607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8.8662500000000044</v>
      </c>
      <c r="N71" s="13">
        <f>IF('Données projet'!$A$36&gt;35,N70+M71-V70,IF(A71&lt;'Données projet'!$A$36,$K$205^A71,IF(A71='Données projet'!$A$36,'Données projet'!$B$36,N70+M71-V70)))</f>
        <v>232.78250000000014</v>
      </c>
      <c r="O71" s="13">
        <f>N71*VLOOKUP('Données projet'!$B$9,Paramètres!$A$1:$I$89,3,0)*VLOOKUP('Données projet'!$B$9,Paramètres!$A$1:$I$89,5,0)</f>
        <v>210.62160600000013</v>
      </c>
      <c r="P71" s="13">
        <f t="shared" si="87"/>
        <v>52.071398873356536</v>
      </c>
      <c r="Q71" s="20">
        <f t="shared" si="54"/>
        <v>457.5236501544295</v>
      </c>
      <c r="R71" s="59">
        <f t="shared" si="55"/>
        <v>750.85698348776282</v>
      </c>
      <c r="S71" s="59">
        <f ca="1">AVERAGE(OFFSET($R$3,0,0,'Données projet'!$E$9+1,1))-AVERAGE(OFFSET($H$3,0,0,'Données projet'!$E$9+1,1))</f>
        <v>581.88778927327667</v>
      </c>
      <c r="T71" s="59">
        <f t="shared" si="88"/>
        <v>269.67340993773422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23.681133220786403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23.681133220786403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4.4000000000000004</v>
      </c>
      <c r="AI71" s="13">
        <f>IF('Données projet'!$A$62&gt;35,AI70+AH71-AQ70,IF(A71&lt;'Données projet'!$A$62,$AF$205^A71,IF(A71='Données projet'!$A$62,'Données projet'!$B$62,AI70+AH71-AQ70)))</f>
        <v>196.2000000000001</v>
      </c>
      <c r="AJ71" s="13">
        <f>AI71*VLOOKUP('Données projet'!$B$10,Paramètres!$A$1:$I$89,3,0)*VLOOKUP('Données projet'!$B$10,Paramètres!$A$1:$I$89,5,0)</f>
        <v>128.55024000000006</v>
      </c>
      <c r="AK71" s="13">
        <f t="shared" si="89"/>
        <v>33.661144026076698</v>
      </c>
      <c r="AL71" s="20">
        <f t="shared" si="58"/>
        <v>282.51816051208368</v>
      </c>
      <c r="AM71" s="59">
        <f t="shared" si="59"/>
        <v>575.85149384541705</v>
      </c>
      <c r="AN71" s="59">
        <f ca="1">AVERAGE(OFFSET($AM$3,0,0,'Données projet'!$E$10+1,1))-AVERAGE(OFFSET($H$3,0,0,'Données projet'!$E$10+1,1))</f>
        <v>230.58262378842818</v>
      </c>
      <c r="AO71" s="59">
        <f t="shared" si="90"/>
        <v>235.68746142880792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8.806621119341516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8.806621119341516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210.62160600000013</v>
      </c>
      <c r="BF71" s="13">
        <f t="shared" si="91"/>
        <v>52.071398873356536</v>
      </c>
      <c r="BG71" s="20">
        <f t="shared" si="61"/>
        <v>457.5236501544295</v>
      </c>
      <c r="BH71" s="59">
        <f t="shared" si="62"/>
        <v>750.85698348776282</v>
      </c>
      <c r="BI71" s="59">
        <f ca="1">AVERAGE(OFFSET($BH$3,0,0,'Données projet'!$E$11+1,1))-AVERAGE(OFFSET($H$3,0,0,'Données projet'!$E$11+1,1))</f>
        <v>581.88778927327667</v>
      </c>
      <c r="BJ71" s="59">
        <f t="shared" si="92"/>
        <v>269.67340993773422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23.681133220786403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23.681133220786403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221.51582700000012</v>
      </c>
      <c r="CA71" s="13">
        <f t="shared" si="93"/>
        <v>54.444211453000612</v>
      </c>
      <c r="CB71" s="20">
        <f t="shared" si="64"/>
        <v>480.63040030564292</v>
      </c>
      <c r="CC71" s="59">
        <f t="shared" si="65"/>
        <v>773.96373363897624</v>
      </c>
      <c r="CD71" s="59">
        <f ca="1">AVERAGE(OFFSET($CC$3,0,0,'Données projet'!$E$12+1,1))-AVERAGE(OFFSET($H$3,0,0,'Données projet'!$E$12+1,1))</f>
        <v>609.60019207204277</v>
      </c>
      <c r="CE71" s="59">
        <f t="shared" si="94"/>
        <v>281.42238288764503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24.906019421861565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24.906019421861565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1.9466999999999985</v>
      </c>
      <c r="CT71" s="12">
        <f>IF('Données projet'!$A$140&gt;35,CT70+CS71-DB70,IF(A71&lt;'Données projet'!$A$140,$CQ$205^A71,IF(A71='Données projet'!$A$140,'Données projet'!$B$140,CT70+CS71-DB70)))</f>
        <v>131.4743499999999</v>
      </c>
      <c r="CU71" s="17">
        <f>CT71*VLOOKUP('Données projet'!$B$13,Paramètres!$A$1:$I$89,3,0)*VLOOKUP('Données projet'!$B$13,Paramètres!$A$1:$I$89,5,0)</f>
        <v>104.60099285999993</v>
      </c>
      <c r="CV71" s="13">
        <f t="shared" si="95"/>
        <v>28.055234543092741</v>
      </c>
      <c r="CW71" s="20">
        <f t="shared" si="67"/>
        <v>231.04292939371976</v>
      </c>
      <c r="CX71" s="59">
        <f t="shared" si="68"/>
        <v>524.37626272705302</v>
      </c>
      <c r="CY71" s="59">
        <f ca="1">AVERAGE(OFFSET($CX$3,0,0,'Données projet'!$E$13+1,1))-AVERAGE(OFFSET($H$3,0,0,'Données projet'!$E$13+1,1))</f>
        <v>172.13940525084604</v>
      </c>
      <c r="CZ71" s="59">
        <f t="shared" si="96"/>
        <v>172.82328007157236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4.6636966314703807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4.6636966314703807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1.7053025658242404E-13</v>
      </c>
      <c r="DP71" s="17">
        <f>DO71*VLOOKUP('Données projet'!$B$14,Paramètres!$A$1:$I$89,3,0)*VLOOKUP('Données projet'!$B$14,Paramètres!$A$1:$I$89,5,0)</f>
        <v>1.250327841262333E-13</v>
      </c>
      <c r="DQ71" s="13">
        <f t="shared" si="97"/>
        <v>1.8301318724634299E-12</v>
      </c>
      <c r="DR71" s="20">
        <f t="shared" si="70"/>
        <v>3.405245110226996E-12</v>
      </c>
      <c r="DS71" s="59">
        <f t="shared" si="71"/>
        <v>293.33333333333672</v>
      </c>
      <c r="DT71" s="59">
        <f ca="1">AVERAGE(OFFSET($DS$3,0,0,'Données projet'!$E$14+1,1))-AVERAGE(OFFSET($H$3,0,0,'Données projet'!$E$14+1,1))</f>
        <v>197.34725966440715</v>
      </c>
      <c r="DU71" s="59">
        <f t="shared" si="98"/>
        <v>240.16326570529532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30.632436443058758</v>
      </c>
      <c r="EB71" s="21">
        <f>EXP(-LN(2)/25)*EB70+(1-EXP(-LN(2)/25))/(LN(2)/25)*Calculateur!DW71*Calculateur!DY71*VLOOKUP('Données projet'!$B$14,Paramètres!$A$1:$I$89,3,0)*0.475*44/12</f>
        <v>18.697962899811571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49.330399342870329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8.6666666666666661</v>
      </c>
      <c r="EJ71" s="12">
        <f>IF('Données projet'!$A$192&gt;35,EJ70+EI71-ER70,IF(A71&lt;'Données projet'!$A$192,$EG$205^A71,IF(A71='Données projet'!$A$192,'Données projet'!$B$192,EJ70+EI71-ER70)))</f>
        <v>319.33333333333337</v>
      </c>
      <c r="EK71" s="17">
        <f>EJ71*VLOOKUP('Données projet'!$B$15,Paramètres!$A$1:$I$89,3,0)*VLOOKUP('Données projet'!$B$15,Paramètres!$A$1:$I$89,5,0)</f>
        <v>249.08000000000004</v>
      </c>
      <c r="EL71" s="13">
        <f t="shared" si="99"/>
        <v>60.388894447487807</v>
      </c>
      <c r="EM71" s="20">
        <f t="shared" si="73"/>
        <v>538.99165782937473</v>
      </c>
      <c r="EN71" s="59">
        <f t="shared" si="74"/>
        <v>832.3249911627081</v>
      </c>
      <c r="EO71" s="59">
        <f ca="1">AVERAGE(OFFSET($EN$3,0,0,'Données projet'!$E$15+1,1))-AVERAGE(OFFSET($H$3,0,0,'Données projet'!$E$15+1,1))</f>
        <v>288.82868507674738</v>
      </c>
      <c r="EP71" s="59">
        <f t="shared" si="100"/>
        <v>283.48738729114024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30.832729470865086</v>
      </c>
      <c r="EW71" s="21">
        <f>EXP(-LN(2)/25)*EW70+(1-EXP(-LN(2)/25))/(LN(2)/25)*Calculateur!ER71*Calculateur!ET71*VLOOKUP('Données projet'!$B$15,Paramètres!$A$1:$I$89,3,0)*0.475*44/12</f>
        <v>14.973003322656893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45.805732793521983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8.8662500000000044</v>
      </c>
      <c r="N72" s="13">
        <f>IF('Données projet'!$A$36&gt;35,N71+M72-V71,IF(A72&lt;'Données projet'!$A$36,$K$205^A72,IF(A72='Données projet'!$A$36,'Données projet'!$B$36,N71+M72-V71)))</f>
        <v>241.64875000000015</v>
      </c>
      <c r="O72" s="13">
        <f>N72*VLOOKUP('Données projet'!$B$9,Paramètres!$A$1:$I$89,3,0)*VLOOKUP('Données projet'!$B$9,Paramètres!$A$1:$I$89,5,0)</f>
        <v>218.64378900000014</v>
      </c>
      <c r="P72" s="13">
        <f t="shared" si="87"/>
        <v>53.820013961218514</v>
      </c>
      <c r="Q72" s="20">
        <f t="shared" si="54"/>
        <v>474.54112349078923</v>
      </c>
      <c r="R72" s="59">
        <f t="shared" si="55"/>
        <v>767.87445682412249</v>
      </c>
      <c r="S72" s="59">
        <f ca="1">AVERAGE(OFFSET($R$3,0,0,'Données projet'!$E$9+1,1))-AVERAGE(OFFSET($H$3,0,0,'Données projet'!$E$9+1,1))</f>
        <v>581.88778927327667</v>
      </c>
      <c r="T72" s="59">
        <f t="shared" si="88"/>
        <v>269.67340993773422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23.216760642391815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23.216760642391815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4.4000000000000004</v>
      </c>
      <c r="AI72" s="13">
        <f>IF('Données projet'!$A$62&gt;35,AI71+AH72-AQ71,IF(A72&lt;'Données projet'!$A$62,$AF$205^A72,IF(A72='Données projet'!$A$62,'Données projet'!$B$62,AI71+AH72-AQ71)))</f>
        <v>200.60000000000011</v>
      </c>
      <c r="AJ72" s="13">
        <f>AI72*VLOOKUP('Données projet'!$B$10,Paramètres!$A$1:$I$89,3,0)*VLOOKUP('Données projet'!$B$10,Paramètres!$A$1:$I$89,5,0)</f>
        <v>131.43312000000006</v>
      </c>
      <c r="AK72" s="13">
        <f t="shared" si="89"/>
        <v>34.327299687447557</v>
      </c>
      <c r="AL72" s="20">
        <f t="shared" si="58"/>
        <v>288.69939762230456</v>
      </c>
      <c r="AM72" s="59">
        <f t="shared" si="59"/>
        <v>582.03273095563782</v>
      </c>
      <c r="AN72" s="59">
        <f ca="1">AVERAGE(OFFSET($AM$3,0,0,'Données projet'!$E$10+1,1))-AVERAGE(OFFSET($H$3,0,0,'Données projet'!$E$10+1,1))</f>
        <v>230.58262378842818</v>
      </c>
      <c r="AO72" s="59">
        <f t="shared" si="90"/>
        <v>235.68746142880792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8.633928650699719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8.633928650699719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218.64378900000014</v>
      </c>
      <c r="BF72" s="13">
        <f t="shared" si="91"/>
        <v>53.820013961218514</v>
      </c>
      <c r="BG72" s="20">
        <f t="shared" si="61"/>
        <v>474.54112349078923</v>
      </c>
      <c r="BH72" s="59">
        <f t="shared" si="62"/>
        <v>767.87445682412249</v>
      </c>
      <c r="BI72" s="59">
        <f ca="1">AVERAGE(OFFSET($BH$3,0,0,'Données projet'!$E$11+1,1))-AVERAGE(OFFSET($H$3,0,0,'Données projet'!$E$11+1,1))</f>
        <v>581.88778927327667</v>
      </c>
      <c r="BJ72" s="59">
        <f t="shared" si="92"/>
        <v>269.67340993773422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23.216760642391815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23.216760642391815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229.95295050000016</v>
      </c>
      <c r="CA72" s="13">
        <f t="shared" si="93"/>
        <v>56.272508208096568</v>
      </c>
      <c r="CB72" s="20">
        <f t="shared" si="64"/>
        <v>498.50934058326834</v>
      </c>
      <c r="CC72" s="59">
        <f t="shared" si="65"/>
        <v>791.8426739166016</v>
      </c>
      <c r="CD72" s="59">
        <f ca="1">AVERAGE(OFFSET($CC$3,0,0,'Données projet'!$E$12+1,1))-AVERAGE(OFFSET($H$3,0,0,'Données projet'!$E$12+1,1))</f>
        <v>609.60019207204277</v>
      </c>
      <c r="CE72" s="59">
        <f t="shared" si="94"/>
        <v>281.42238288764503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24.417627572170705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24.417627572170705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1.9466999999999985</v>
      </c>
      <c r="CT72" s="12">
        <f>IF('Données projet'!$A$140&gt;35,CT71+CS72-DB71,IF(A72&lt;'Données projet'!$A$140,$CQ$205^A72,IF(A72='Données projet'!$A$140,'Données projet'!$B$140,CT71+CS72-DB71)))</f>
        <v>133.42104999999989</v>
      </c>
      <c r="CU72" s="17">
        <f>CT72*VLOOKUP('Données projet'!$B$13,Paramètres!$A$1:$I$89,3,0)*VLOOKUP('Données projet'!$B$13,Paramètres!$A$1:$I$89,5,0)</f>
        <v>106.14978737999992</v>
      </c>
      <c r="CV72" s="13">
        <f t="shared" si="95"/>
        <v>28.421971976306811</v>
      </c>
      <c r="CW72" s="20">
        <f t="shared" si="67"/>
        <v>234.37914754556755</v>
      </c>
      <c r="CX72" s="59">
        <f t="shared" si="68"/>
        <v>527.71248087890081</v>
      </c>
      <c r="CY72" s="59">
        <f ca="1">AVERAGE(OFFSET($CX$3,0,0,'Données projet'!$E$13+1,1))-AVERAGE(OFFSET($H$3,0,0,'Données projet'!$E$13+1,1))</f>
        <v>172.13940525084604</v>
      </c>
      <c r="CZ72" s="59">
        <f t="shared" si="96"/>
        <v>172.82328007157236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4.572244385101313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4.572244385101313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1.7053025658242404E-13</v>
      </c>
      <c r="DP72" s="17">
        <f>DO72*VLOOKUP('Données projet'!$B$14,Paramètres!$A$1:$I$89,3,0)*VLOOKUP('Données projet'!$B$14,Paramètres!$A$1:$I$89,5,0)</f>
        <v>1.250327841262333E-13</v>
      </c>
      <c r="DQ72" s="13">
        <f t="shared" si="97"/>
        <v>1.8301318724634299E-12</v>
      </c>
      <c r="DR72" s="20">
        <f t="shared" si="70"/>
        <v>3.405245110226996E-12</v>
      </c>
      <c r="DS72" s="59">
        <f t="shared" si="71"/>
        <v>293.33333333333672</v>
      </c>
      <c r="DT72" s="59">
        <f ca="1">AVERAGE(OFFSET($DS$3,0,0,'Données projet'!$E$14+1,1))-AVERAGE(OFFSET($H$3,0,0,'Données projet'!$E$14+1,1))</f>
        <v>197.34725966440715</v>
      </c>
      <c r="DU72" s="59">
        <f t="shared" si="98"/>
        <v>240.16326570529532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30.031753048351721</v>
      </c>
      <c r="EB72" s="21">
        <f>EXP(-LN(2)/25)*EB71+(1-EXP(-LN(2)/25))/(LN(2)/25)*Calculateur!DW72*Calculateur!DY72*VLOOKUP('Données projet'!$B$14,Paramètres!$A$1:$I$89,3,0)*0.475*44/12</f>
        <v>18.186666121033088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48.218419169384809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>
        <f>VLOOKUP(A72,'Données projet'!$A$191:$I$211,2,0)</f>
        <v>328</v>
      </c>
      <c r="EH72" s="12">
        <f>VLOOKUP(A72,'Données projet'!$A$191:$I$211,9,0)</f>
        <v>8.6666666666666661</v>
      </c>
      <c r="EI72" s="12">
        <f t="array" ref="EI72">INDEX(EH:EH,MIN(IF(ISNUMBER(EH72:EH268),ROW(EH72:EH268),"")))</f>
        <v>8.6666666666666661</v>
      </c>
      <c r="EJ72" s="12">
        <f>IF('Données projet'!$A$192&gt;35,EJ71+EI72-ER71,IF(A72&lt;'Données projet'!$A$192,$EG$205^A72,IF(A72='Données projet'!$A$192,'Données projet'!$B$192,EJ71+EI72-ER71)))</f>
        <v>328.00000000000006</v>
      </c>
      <c r="EK72" s="17">
        <f>EJ72*VLOOKUP('Données projet'!$B$15,Paramètres!$A$1:$I$89,3,0)*VLOOKUP('Données projet'!$B$15,Paramètres!$A$1:$I$89,5,0)</f>
        <v>255.84000000000006</v>
      </c>
      <c r="EL72" s="13">
        <f t="shared" si="99"/>
        <v>61.834803371075836</v>
      </c>
      <c r="EM72" s="20">
        <f t="shared" si="73"/>
        <v>553.28361587129041</v>
      </c>
      <c r="EN72" s="59">
        <f t="shared" si="74"/>
        <v>846.61694920462378</v>
      </c>
      <c r="EO72" s="59">
        <f ca="1">AVERAGE(OFFSET($EN$3,0,0,'Données projet'!$E$15+1,1))-AVERAGE(OFFSET($H$3,0,0,'Données projet'!$E$15+1,1))</f>
        <v>288.82868507674738</v>
      </c>
      <c r="EP72" s="59">
        <f t="shared" si="100"/>
        <v>283.48738729114024</v>
      </c>
      <c r="EQ72" s="15">
        <f>IF(ISNA(VLOOKUP(A72,'Données projet'!$A$191:$I$211,3,0)),0,VLOOKUP(A72,'Données projet'!$A$191:$I$211,3,0))</f>
        <v>9</v>
      </c>
      <c r="ER72" s="15">
        <f>IF(ISNA(VLOOKUP(A72,'Données projet'!$A$191:$I$211,4,0)),0,VLOOKUP(A72,'Données projet'!$A$191:$I$211,4,0))</f>
        <v>328</v>
      </c>
      <c r="ES72" s="16">
        <f>IF(ISNA(VLOOKUP(A72,'Données projet'!$A$191:$I$211,5,0)),0%,VLOOKUP(A72,'Données projet'!$A$191:$I$211,5,0)*VLOOKUP('Données projet'!$B$15,Paramètres!$A$1:$I$89,7,0))</f>
        <v>0.25800000000000001</v>
      </c>
      <c r="ET72" s="16">
        <f>IF(ISNA(VLOOKUP(A72,'Données projet'!$A$191:$I$211,6,0)),0%,VLOOKUP(A72,'Données projet'!$A$191:$I$211,6,0)*VLOOKUP('Données projet'!$B$15,Paramètres!$A$1:$I$89,7,0))</f>
        <v>0.129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103.19659226217462</v>
      </c>
      <c r="EW72" s="21">
        <f>EXP(-LN(2)/25)*EW71+(1-EXP(-LN(2)/25))/(LN(2)/25)*Calculateur!ER72*Calculateur!ET72*VLOOKUP('Données projet'!$B$15,Paramètres!$A$1:$I$89,3,0)*0.475*44/12</f>
        <v>50.904150322186041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154.10074258436066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8.8662500000000044</v>
      </c>
      <c r="N73" s="13">
        <f>IF('Données projet'!$A$36&gt;35,N72+M73-V72,IF(A73&lt;'Données projet'!$A$36,$K$205^A73,IF(A73='Données projet'!$A$36,'Données projet'!$B$36,N72+M73-V72)))</f>
        <v>250.51500000000016</v>
      </c>
      <c r="O73" s="13">
        <f>N73*VLOOKUP('Données projet'!$B$9,Paramètres!$A$1:$I$89,3,0)*VLOOKUP('Données projet'!$B$9,Paramètres!$A$1:$I$89,5,0)</f>
        <v>226.66597200000012</v>
      </c>
      <c r="P73" s="13">
        <f t="shared" si="87"/>
        <v>55.561175235972904</v>
      </c>
      <c r="Q73" s="20">
        <f t="shared" si="54"/>
        <v>491.54561476931968</v>
      </c>
      <c r="R73" s="59">
        <f t="shared" si="55"/>
        <v>784.878948102653</v>
      </c>
      <c r="S73" s="59">
        <f ca="1">AVERAGE(OFFSET($R$3,0,0,'Données projet'!$E$9+1,1))-AVERAGE(OFFSET($H$3,0,0,'Données projet'!$E$9+1,1))</f>
        <v>581.88778927327667</v>
      </c>
      <c r="T73" s="59">
        <f t="shared" si="88"/>
        <v>269.67340993773422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22.761494127020239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22.761494127020239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205</v>
      </c>
      <c r="AG73" s="12">
        <f>VLOOKUP(A73,'Données projet'!$A$61:$I$81,9,0)</f>
        <v>4.4000000000000004</v>
      </c>
      <c r="AH73" s="12">
        <f t="array" ref="AH73">INDEX(AG:AG,MIN(IF(ISNUMBER(AG73:AG269),ROW(AG73:AG269),"")))</f>
        <v>4.4000000000000004</v>
      </c>
      <c r="AI73" s="13">
        <f>IF('Données projet'!$A$62&gt;35,AI72+AH73-AQ72,IF(A73&lt;'Données projet'!$A$62,$AF$205^A73,IF(A73='Données projet'!$A$62,'Données projet'!$B$62,AI72+AH73-AQ72)))</f>
        <v>205.00000000000011</v>
      </c>
      <c r="AJ73" s="13">
        <f>AI73*VLOOKUP('Données projet'!$B$10,Paramètres!$A$1:$I$89,3,0)*VLOOKUP('Données projet'!$B$10,Paramètres!$A$1:$I$89,5,0)</f>
        <v>134.31600000000009</v>
      </c>
      <c r="AK73" s="13">
        <f t="shared" si="89"/>
        <v>34.991756585122474</v>
      </c>
      <c r="AL73" s="20">
        <f t="shared" si="58"/>
        <v>294.87767605242175</v>
      </c>
      <c r="AM73" s="59">
        <f t="shared" si="59"/>
        <v>588.21100938575501</v>
      </c>
      <c r="AN73" s="59">
        <f ca="1">AVERAGE(OFFSET($AM$3,0,0,'Données projet'!$E$10+1,1))-AVERAGE(OFFSET($H$3,0,0,'Données projet'!$E$10+1,1))</f>
        <v>230.58262378842818</v>
      </c>
      <c r="AO73" s="59">
        <f t="shared" si="90"/>
        <v>235.68746142880792</v>
      </c>
      <c r="AP73" s="15">
        <f>IF(ISNA(VLOOKUP(A73,'Données projet'!$A$61:$I$81,3,0)),0,VLOOKUP(A73,'Données projet'!$A$61:$I$81,3,0))</f>
        <v>13</v>
      </c>
      <c r="AQ73" s="15">
        <f>IF(ISNA(VLOOKUP(A73,'Données projet'!$A$61:$I$81,4,0)),0,VLOOKUP(A73,'Données projet'!$A$61:$I$81,4,0))</f>
        <v>17</v>
      </c>
      <c r="AR73" s="16">
        <f>IF(ISNA(VLOOKUP(A73,'Données projet'!$A$61:$I$81,5,0)),0%,VLOOKUP(A73,'Données projet'!$A$61:$I$81,5,0)*VLOOKUP('Données projet'!$B$10,Paramètres!$A$1:$I$89,7,0))</f>
        <v>0.25800000000000001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11.641420765086552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11.641420765086552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226.66597200000012</v>
      </c>
      <c r="BF73" s="13">
        <f t="shared" si="91"/>
        <v>55.561175235972904</v>
      </c>
      <c r="BG73" s="20">
        <f t="shared" si="61"/>
        <v>491.54561476931968</v>
      </c>
      <c r="BH73" s="59">
        <f t="shared" si="62"/>
        <v>784.878948102653</v>
      </c>
      <c r="BI73" s="59">
        <f ca="1">AVERAGE(OFFSET($BH$3,0,0,'Données projet'!$E$11+1,1))-AVERAGE(OFFSET($H$3,0,0,'Données projet'!$E$11+1,1))</f>
        <v>581.88778927327667</v>
      </c>
      <c r="BJ73" s="59">
        <f t="shared" si="92"/>
        <v>269.67340993773422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22.761494127020239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22.761494127020239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238.39007400000017</v>
      </c>
      <c r="CA73" s="13">
        <f t="shared" si="93"/>
        <v>58.09301149142599</v>
      </c>
      <c r="CB73" s="20">
        <f t="shared" si="64"/>
        <v>516.37470723090053</v>
      </c>
      <c r="CC73" s="59">
        <f t="shared" si="65"/>
        <v>809.7080405642339</v>
      </c>
      <c r="CD73" s="59">
        <f ca="1">AVERAGE(OFFSET($CC$3,0,0,'Données projet'!$E$12+1,1))-AVERAGE(OFFSET($H$3,0,0,'Données projet'!$E$12+1,1))</f>
        <v>609.60019207204277</v>
      </c>
      <c r="CE73" s="59">
        <f t="shared" si="94"/>
        <v>281.42238288764503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23.938812788762668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23.938812788762668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135.36775</v>
      </c>
      <c r="CR73" s="12">
        <f>VLOOKUP(A73,'Données projet'!$A$139:$I$159,9,0)</f>
        <v>1.9466999999999985</v>
      </c>
      <c r="CS73" s="12">
        <f t="array" ref="CS73">INDEX(CR:CR,MIN(IF(ISNUMBER(CR73:CR269),ROW(CR73:CR269),"")))</f>
        <v>1.9466999999999985</v>
      </c>
      <c r="CT73" s="12">
        <f>IF('Données projet'!$A$140&gt;35,CT72+CS73-DB72,IF(A73&lt;'Données projet'!$A$140,$CQ$205^A73,IF(A73='Données projet'!$A$140,'Données projet'!$B$140,CT72+CS73-DB72)))</f>
        <v>135.36774999999989</v>
      </c>
      <c r="CU73" s="17">
        <f>CT73*VLOOKUP('Données projet'!$B$13,Paramètres!$A$1:$I$89,3,0)*VLOOKUP('Données projet'!$B$13,Paramètres!$A$1:$I$89,5,0)</f>
        <v>107.69858189999992</v>
      </c>
      <c r="CV73" s="13">
        <f t="shared" si="95"/>
        <v>28.788087065603399</v>
      </c>
      <c r="CW73" s="20">
        <f t="shared" si="67"/>
        <v>237.71428178175907</v>
      </c>
      <c r="CX73" s="59">
        <f t="shared" si="68"/>
        <v>531.04761511509241</v>
      </c>
      <c r="CY73" s="59">
        <f ca="1">AVERAGE(OFFSET($CX$3,0,0,'Données projet'!$E$13+1,1))-AVERAGE(OFFSET($H$3,0,0,'Données projet'!$E$13+1,1))</f>
        <v>172.13940525084604</v>
      </c>
      <c r="CZ73" s="59">
        <f t="shared" si="96"/>
        <v>172.82328007157236</v>
      </c>
      <c r="DA73" s="15">
        <f>IF(ISNA(VLOOKUP(A73,'Données projet'!$A$139:$I$159,3,0)),0,VLOOKUP(A73,'Données projet'!$A$139:$I$159,3,0))</f>
        <v>13</v>
      </c>
      <c r="DB73" s="15">
        <f>IF(ISNA(VLOOKUP(A73,'Données projet'!$A$139:$I$159,4,0)),0,VLOOKUP(A73,'Données projet'!$A$139:$I$159,4,0))</f>
        <v>5.4074999999999998</v>
      </c>
      <c r="DC73" s="16">
        <f>IF(ISNA(VLOOKUP(A73,'Données projet'!$A$139:$I$159,5,0)),0%,VLOOKUP(A73,'Données projet'!$A$139:$I$159,5,0)*VLOOKUP('Données projet'!$B$13,Paramètres!$A$1:$I$89,7,0))</f>
        <v>0.318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5.9949815063311229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5.9949815063311229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1.7053025658242404E-13</v>
      </c>
      <c r="DP73" s="17">
        <f>DO73*VLOOKUP('Données projet'!$B$14,Paramètres!$A$1:$I$89,3,0)*VLOOKUP('Données projet'!$B$14,Paramètres!$A$1:$I$89,5,0)</f>
        <v>1.250327841262333E-13</v>
      </c>
      <c r="DQ73" s="13">
        <f t="shared" si="97"/>
        <v>1.8301318724634299E-12</v>
      </c>
      <c r="DR73" s="20">
        <f t="shared" si="70"/>
        <v>3.405245110226996E-12</v>
      </c>
      <c r="DS73" s="59">
        <f t="shared" si="71"/>
        <v>293.33333333333672</v>
      </c>
      <c r="DT73" s="59">
        <f ca="1">AVERAGE(OFFSET($DS$3,0,0,'Données projet'!$E$14+1,1))-AVERAGE(OFFSET($H$3,0,0,'Données projet'!$E$14+1,1))</f>
        <v>197.34725966440715</v>
      </c>
      <c r="DU73" s="59">
        <f t="shared" si="98"/>
        <v>240.16326570529532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29.442848688634193</v>
      </c>
      <c r="EB73" s="21">
        <f>EXP(-LN(2)/25)*EB72+(1-EXP(-LN(2)/25))/(LN(2)/25)*Calculateur!DW73*Calculateur!DY73*VLOOKUP('Données projet'!$B$14,Paramètres!$A$1:$I$89,3,0)*0.475*44/12</f>
        <v>17.689350779558232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47.132199468192425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5.6843418860808015E-14</v>
      </c>
      <c r="EK73" s="17">
        <f>EJ73*VLOOKUP('Données projet'!$B$15,Paramètres!$A$1:$I$89,3,0)*VLOOKUP('Données projet'!$B$15,Paramètres!$A$1:$I$89,5,0)</f>
        <v>4.4337866711430253E-14</v>
      </c>
      <c r="EL73" s="13">
        <f t="shared" si="99"/>
        <v>7.3222115536967035E-13</v>
      </c>
      <c r="EM73" s="20">
        <f t="shared" si="73"/>
        <v>1.3525069634579169E-12</v>
      </c>
      <c r="EN73" s="59">
        <f t="shared" si="74"/>
        <v>293.33333333333468</v>
      </c>
      <c r="EO73" s="59">
        <f ca="1">AVERAGE(OFFSET($EN$3,0,0,'Données projet'!$E$15+1,1))-AVERAGE(OFFSET($H$3,0,0,'Données projet'!$E$15+1,1))</f>
        <v>288.82868507674738</v>
      </c>
      <c r="EP73" s="59">
        <f t="shared" si="100"/>
        <v>283.48738729114024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101.17297003161949</v>
      </c>
      <c r="EW73" s="21">
        <f>EXP(-LN(2)/25)*EW72+(1-EXP(-LN(2)/25))/(LN(2)/25)*Calculateur!ER73*Calculateur!ET73*VLOOKUP('Données projet'!$B$15,Paramètres!$A$1:$I$89,3,0)*0.475*44/12</f>
        <v>49.512173654692944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150.68514368631241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8.8662500000000044</v>
      </c>
      <c r="N74" s="13">
        <f>IF('Données projet'!$A$36&gt;35,N73+M74-V73,IF(A74&lt;'Données projet'!$A$36,$K$205^A74,IF(A74='Données projet'!$A$36,'Données projet'!$B$36,N73+M74-V73)))</f>
        <v>259.38125000000014</v>
      </c>
      <c r="O74" s="13">
        <f>N74*VLOOKUP('Données projet'!$B$9,Paramètres!$A$1:$I$89,3,0)*VLOOKUP('Données projet'!$B$9,Paramètres!$A$1:$I$89,5,0)</f>
        <v>234.68815500000011</v>
      </c>
      <c r="P74" s="13">
        <f t="shared" si="87"/>
        <v>57.295176729679312</v>
      </c>
      <c r="Q74" s="20">
        <f t="shared" si="54"/>
        <v>508.53763609585832</v>
      </c>
      <c r="R74" s="59">
        <f t="shared" si="55"/>
        <v>801.87096942919163</v>
      </c>
      <c r="S74" s="59">
        <f ca="1">AVERAGE(OFFSET($R$3,0,0,'Données projet'!$E$9+1,1))-AVERAGE(OFFSET($H$3,0,0,'Données projet'!$E$9+1,1))</f>
        <v>581.88778927327667</v>
      </c>
      <c r="T74" s="59">
        <f t="shared" si="88"/>
        <v>269.67340993773422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22.315155110329943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22.315155110329943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</v>
      </c>
      <c r="AI74" s="13">
        <f>IF('Données projet'!$A$62&gt;35,AI73+AH74-AQ73,IF(A74&lt;'Données projet'!$A$62,$AF$205^A74,IF(A74='Données projet'!$A$62,'Données projet'!$B$62,AI73+AH74-AQ73)))</f>
        <v>192.00000000000011</v>
      </c>
      <c r="AJ74" s="13">
        <f>AI74*VLOOKUP('Données projet'!$B$10,Paramètres!$A$1:$I$89,3,0)*VLOOKUP('Données projet'!$B$10,Paramètres!$A$1:$I$89,5,0)</f>
        <v>125.79840000000007</v>
      </c>
      <c r="AK74" s="13">
        <f t="shared" si="89"/>
        <v>33.023644363399953</v>
      </c>
      <c r="AL74" s="20">
        <f t="shared" si="58"/>
        <v>276.61506059958839</v>
      </c>
      <c r="AM74" s="59">
        <f t="shared" si="59"/>
        <v>569.9483939329217</v>
      </c>
      <c r="AN74" s="59">
        <f ca="1">AVERAGE(OFFSET($AM$3,0,0,'Données projet'!$E$10+1,1))-AVERAGE(OFFSET($H$3,0,0,'Données projet'!$E$10+1,1))</f>
        <v>230.58262378842818</v>
      </c>
      <c r="AO74" s="59">
        <f t="shared" si="90"/>
        <v>235.68746142880792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11.41313960444875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11.41313960444875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234.68815500000011</v>
      </c>
      <c r="BF74" s="13">
        <f t="shared" si="91"/>
        <v>57.295176729679312</v>
      </c>
      <c r="BG74" s="20">
        <f t="shared" si="61"/>
        <v>508.53763609585832</v>
      </c>
      <c r="BH74" s="59">
        <f t="shared" si="62"/>
        <v>801.87096942919163</v>
      </c>
      <c r="BI74" s="59">
        <f ca="1">AVERAGE(OFFSET($BH$3,0,0,'Données projet'!$E$11+1,1))-AVERAGE(OFFSET($H$3,0,0,'Données projet'!$E$11+1,1))</f>
        <v>581.88778927327667</v>
      </c>
      <c r="BJ74" s="59">
        <f t="shared" si="92"/>
        <v>269.67340993773422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22.315155110329943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22.315155110329943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246.82719750000012</v>
      </c>
      <c r="CA74" s="13">
        <f t="shared" si="93"/>
        <v>59.906028733631878</v>
      </c>
      <c r="CB74" s="20">
        <f t="shared" si="64"/>
        <v>534.22703569024236</v>
      </c>
      <c r="CC74" s="59">
        <f t="shared" si="65"/>
        <v>827.56036902357573</v>
      </c>
      <c r="CD74" s="59">
        <f ca="1">AVERAGE(OFFSET($CC$3,0,0,'Données projet'!$E$12+1,1))-AVERAGE(OFFSET($H$3,0,0,'Données projet'!$E$12+1,1))</f>
        <v>609.60019207204277</v>
      </c>
      <c r="CE74" s="59">
        <f t="shared" si="94"/>
        <v>281.42238288764503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23.469387271209079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23.469387271209079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1.7303999999999973</v>
      </c>
      <c r="CT74" s="12">
        <f>IF('Données projet'!$A$140&gt;35,CT73+CS74-DB73,IF(A74&lt;'Données projet'!$A$140,$CQ$205^A74,IF(A74='Données projet'!$A$140,'Données projet'!$B$140,CT73+CS74-DB73)))</f>
        <v>131.69064999999989</v>
      </c>
      <c r="CU74" s="17">
        <f>CT74*VLOOKUP('Données projet'!$B$13,Paramètres!$A$1:$I$89,3,0)*VLOOKUP('Données projet'!$B$13,Paramètres!$A$1:$I$89,5,0)</f>
        <v>104.77308113999992</v>
      </c>
      <c r="CV74" s="13">
        <f t="shared" si="95"/>
        <v>28.096014197204955</v>
      </c>
      <c r="CW74" s="20">
        <f t="shared" si="67"/>
        <v>231.41367437896517</v>
      </c>
      <c r="CX74" s="59">
        <f t="shared" si="68"/>
        <v>524.74700771229845</v>
      </c>
      <c r="CY74" s="59">
        <f ca="1">AVERAGE(OFFSET($CX$3,0,0,'Données projet'!$E$13+1,1))-AVERAGE(OFFSET($H$3,0,0,'Données projet'!$E$13+1,1))</f>
        <v>172.13940525084604</v>
      </c>
      <c r="CZ74" s="59">
        <f t="shared" si="96"/>
        <v>172.82328007157236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5.8774235755696314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5.8774235755696314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1.7053025658242404E-13</v>
      </c>
      <c r="DP74" s="17">
        <f>DO74*VLOOKUP('Données projet'!$B$14,Paramètres!$A$1:$I$89,3,0)*VLOOKUP('Données projet'!$B$14,Paramètres!$A$1:$I$89,5,0)</f>
        <v>1.250327841262333E-13</v>
      </c>
      <c r="DQ74" s="13">
        <f t="shared" si="97"/>
        <v>1.8301318724634299E-12</v>
      </c>
      <c r="DR74" s="20">
        <f t="shared" si="70"/>
        <v>3.405245110226996E-12</v>
      </c>
      <c r="DS74" s="59">
        <f t="shared" si="71"/>
        <v>293.33333333333672</v>
      </c>
      <c r="DT74" s="59">
        <f ca="1">AVERAGE(OFFSET($DS$3,0,0,'Données projet'!$E$14+1,1))-AVERAGE(OFFSET($H$3,0,0,'Données projet'!$E$14+1,1))</f>
        <v>197.34725966440715</v>
      </c>
      <c r="DU74" s="59">
        <f t="shared" si="98"/>
        <v>240.16326570529532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28.865492384214534</v>
      </c>
      <c r="EB74" s="21">
        <f>EXP(-LN(2)/25)*EB73+(1-EXP(-LN(2)/25))/(LN(2)/25)*Calculateur!DW74*Calculateur!DY74*VLOOKUP('Données projet'!$B$14,Paramètres!$A$1:$I$89,3,0)*0.475*44/12</f>
        <v>17.205634552248686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46.071126936463216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5.6843418860808015E-14</v>
      </c>
      <c r="EK74" s="17">
        <f>EJ74*VLOOKUP('Données projet'!$B$15,Paramètres!$A$1:$I$89,3,0)*VLOOKUP('Données projet'!$B$15,Paramètres!$A$1:$I$89,5,0)</f>
        <v>4.4337866711430253E-14</v>
      </c>
      <c r="EL74" s="13">
        <f t="shared" si="99"/>
        <v>7.3222115536967035E-13</v>
      </c>
      <c r="EM74" s="20">
        <f t="shared" si="73"/>
        <v>1.3525069634579169E-12</v>
      </c>
      <c r="EN74" s="59">
        <f t="shared" si="74"/>
        <v>293.33333333333468</v>
      </c>
      <c r="EO74" s="59">
        <f ca="1">AVERAGE(OFFSET($EN$3,0,0,'Données projet'!$E$15+1,1))-AVERAGE(OFFSET($H$3,0,0,'Données projet'!$E$15+1,1))</f>
        <v>288.82868507674738</v>
      </c>
      <c r="EP74" s="59">
        <f t="shared" si="100"/>
        <v>283.48738729114024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99.189029798717854</v>
      </c>
      <c r="EW74" s="21">
        <f>EXP(-LN(2)/25)*EW73+(1-EXP(-LN(2)/25))/(LN(2)/25)*Calculateur!ER74*Calculateur!ET74*VLOOKUP('Données projet'!$B$15,Paramètres!$A$1:$I$89,3,0)*0.475*44/12</f>
        <v>48.158260662373316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147.34729046109118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8.8662500000000044</v>
      </c>
      <c r="N75" s="13">
        <f>IF('Données projet'!$A$36&gt;35,N74+M75-V74,IF(A75&lt;'Données projet'!$A$36,$K$205^A75,IF(A75='Données projet'!$A$36,'Données projet'!$B$36,N74+M75-V74)))</f>
        <v>268.24750000000012</v>
      </c>
      <c r="O75" s="13">
        <f>N75*VLOOKUP('Données projet'!$B$9,Paramètres!$A$1:$I$89,3,0)*VLOOKUP('Données projet'!$B$9,Paramètres!$A$1:$I$89,5,0)</f>
        <v>242.71033800000009</v>
      </c>
      <c r="P75" s="13">
        <f t="shared" si="87"/>
        <v>59.022291232778812</v>
      </c>
      <c r="Q75" s="20">
        <f t="shared" si="54"/>
        <v>525.51766258042323</v>
      </c>
      <c r="R75" s="59">
        <f t="shared" si="55"/>
        <v>818.85099591375661</v>
      </c>
      <c r="S75" s="59">
        <f ca="1">AVERAGE(OFFSET($R$3,0,0,'Données projet'!$E$9+1,1))-AVERAGE(OFFSET($H$3,0,0,'Données projet'!$E$9+1,1))</f>
        <v>581.88778927327667</v>
      </c>
      <c r="T75" s="59">
        <f t="shared" si="88"/>
        <v>269.67340993773422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21.877568529517024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21.877568529517024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</v>
      </c>
      <c r="AI75" s="13">
        <f>IF('Données projet'!$A$62&gt;35,AI74+AH75-AQ74,IF(A75&lt;'Données projet'!$A$62,$AF$205^A75,IF(A75='Données projet'!$A$62,'Données projet'!$B$62,AI74+AH75-AQ74)))</f>
        <v>196.00000000000011</v>
      </c>
      <c r="AJ75" s="13">
        <f>AI75*VLOOKUP('Données projet'!$B$10,Paramètres!$A$1:$I$89,3,0)*VLOOKUP('Données projet'!$B$10,Paramètres!$A$1:$I$89,5,0)</f>
        <v>128.41920000000007</v>
      </c>
      <c r="AK75" s="13">
        <f t="shared" si="89"/>
        <v>33.630823177860762</v>
      </c>
      <c r="AL75" s="20">
        <f t="shared" si="58"/>
        <v>282.23712370144091</v>
      </c>
      <c r="AM75" s="59">
        <f t="shared" si="59"/>
        <v>575.57045703477422</v>
      </c>
      <c r="AN75" s="59">
        <f ca="1">AVERAGE(OFFSET($AM$3,0,0,'Données projet'!$E$10+1,1))-AVERAGE(OFFSET($H$3,0,0,'Données projet'!$E$10+1,1))</f>
        <v>230.58262378842818</v>
      </c>
      <c r="AO75" s="59">
        <f t="shared" si="90"/>
        <v>235.68746142880792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11.189334898133295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11.189334898133295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242.71033800000009</v>
      </c>
      <c r="BF75" s="13">
        <f t="shared" si="91"/>
        <v>59.022291232778812</v>
      </c>
      <c r="BG75" s="20">
        <f t="shared" si="61"/>
        <v>525.51766258042323</v>
      </c>
      <c r="BH75" s="59">
        <f t="shared" si="62"/>
        <v>818.85099591375661</v>
      </c>
      <c r="BI75" s="59">
        <f ca="1">AVERAGE(OFFSET($BH$3,0,0,'Données projet'!$E$11+1,1))-AVERAGE(OFFSET($H$3,0,0,'Données projet'!$E$11+1,1))</f>
        <v>581.88778927327667</v>
      </c>
      <c r="BJ75" s="59">
        <f t="shared" si="92"/>
        <v>269.67340993773422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21.877568529517024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21.877568529517024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255.26432100000011</v>
      </c>
      <c r="CA75" s="13">
        <f t="shared" si="93"/>
        <v>61.711845155790719</v>
      </c>
      <c r="CB75" s="20">
        <f t="shared" si="64"/>
        <v>552.06682272133571</v>
      </c>
      <c r="CC75" s="59">
        <f t="shared" si="65"/>
        <v>845.40015605466897</v>
      </c>
      <c r="CD75" s="59">
        <f ca="1">AVERAGE(OFFSET($CC$3,0,0,'Données projet'!$E$12+1,1))-AVERAGE(OFFSET($H$3,0,0,'Données projet'!$E$12+1,1))</f>
        <v>609.60019207204277</v>
      </c>
      <c r="CE75" s="59">
        <f t="shared" si="94"/>
        <v>281.42238288764503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23.009166901733426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23.009166901733426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1.7303999999999973</v>
      </c>
      <c r="CT75" s="12">
        <f>IF('Données projet'!$A$140&gt;35,CT74+CS75-DB74,IF(A75&lt;'Données projet'!$A$140,$CQ$205^A75,IF(A75='Données projet'!$A$140,'Données projet'!$B$140,CT74+CS75-DB74)))</f>
        <v>133.42104999999989</v>
      </c>
      <c r="CU75" s="17">
        <f>CT75*VLOOKUP('Données projet'!$B$13,Paramètres!$A$1:$I$89,3,0)*VLOOKUP('Données projet'!$B$13,Paramètres!$A$1:$I$89,5,0)</f>
        <v>106.14978737999992</v>
      </c>
      <c r="CV75" s="13">
        <f t="shared" si="95"/>
        <v>28.421971976306811</v>
      </c>
      <c r="CW75" s="20">
        <f t="shared" si="67"/>
        <v>234.37914754556755</v>
      </c>
      <c r="CX75" s="59">
        <f t="shared" si="68"/>
        <v>527.71248087890081</v>
      </c>
      <c r="CY75" s="59">
        <f ca="1">AVERAGE(OFFSET($CX$3,0,0,'Données projet'!$E$13+1,1))-AVERAGE(OFFSET($H$3,0,0,'Données projet'!$E$13+1,1))</f>
        <v>172.13940525084604</v>
      </c>
      <c r="CZ75" s="59">
        <f t="shared" si="96"/>
        <v>172.82328007157236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5.7621708841271149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5.7621708841271149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1.7053025658242404E-13</v>
      </c>
      <c r="DP75" s="17">
        <f>DO75*VLOOKUP('Données projet'!$B$14,Paramètres!$A$1:$I$89,3,0)*VLOOKUP('Données projet'!$B$14,Paramètres!$A$1:$I$89,5,0)</f>
        <v>1.250327841262333E-13</v>
      </c>
      <c r="DQ75" s="13">
        <f t="shared" si="97"/>
        <v>1.8301318724634299E-12</v>
      </c>
      <c r="DR75" s="20">
        <f t="shared" si="70"/>
        <v>3.405245110226996E-12</v>
      </c>
      <c r="DS75" s="59">
        <f t="shared" si="71"/>
        <v>293.33333333333672</v>
      </c>
      <c r="DT75" s="59">
        <f ca="1">AVERAGE(OFFSET($DS$3,0,0,'Données projet'!$E$14+1,1))-AVERAGE(OFFSET($H$3,0,0,'Données projet'!$E$14+1,1))</f>
        <v>197.34725966440715</v>
      </c>
      <c r="DU75" s="59">
        <f t="shared" si="98"/>
        <v>240.16326570529532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28.299457684771973</v>
      </c>
      <c r="EB75" s="21">
        <f>EXP(-LN(2)/25)*EB74+(1-EXP(-LN(2)/25))/(LN(2)/25)*Calculateur!DW75*Calculateur!DY75*VLOOKUP('Données projet'!$B$14,Paramètres!$A$1:$I$89,3,0)*0.475*44/12</f>
        <v>16.735145570612449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45.034603255384425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5.6843418860808015E-14</v>
      </c>
      <c r="EK75" s="17">
        <f>EJ75*VLOOKUP('Données projet'!$B$15,Paramètres!$A$1:$I$89,3,0)*VLOOKUP('Données projet'!$B$15,Paramètres!$A$1:$I$89,5,0)</f>
        <v>4.4337866711430253E-14</v>
      </c>
      <c r="EL75" s="13">
        <f t="shared" si="99"/>
        <v>7.3222115536967035E-13</v>
      </c>
      <c r="EM75" s="20">
        <f t="shared" si="73"/>
        <v>1.3525069634579169E-12</v>
      </c>
      <c r="EN75" s="59">
        <f t="shared" si="74"/>
        <v>293.33333333333468</v>
      </c>
      <c r="EO75" s="59">
        <f ca="1">AVERAGE(OFFSET($EN$3,0,0,'Données projet'!$E$15+1,1))-AVERAGE(OFFSET($H$3,0,0,'Données projet'!$E$15+1,1))</f>
        <v>288.82868507674738</v>
      </c>
      <c r="EP75" s="59">
        <f t="shared" si="100"/>
        <v>283.48738729114024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97.243993423699365</v>
      </c>
      <c r="EW75" s="21">
        <f>EXP(-LN(2)/25)*EW74+(1-EXP(-LN(2)/25))/(LN(2)/25)*Calculateur!ER75*Calculateur!ET75*VLOOKUP('Données projet'!$B$15,Paramètres!$A$1:$I$89,3,0)*0.475*44/12</f>
        <v>46.841370492027856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144.08536391572721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8.8662500000000044</v>
      </c>
      <c r="N76" s="13">
        <f>IF('Données projet'!$A$36&gt;35,N75+M76-V75,IF(A76&lt;'Données projet'!$A$36,$K$205^A76,IF(A76='Données projet'!$A$36,'Données projet'!$B$36,N75+M76-V75)))</f>
        <v>277.1137500000001</v>
      </c>
      <c r="O76" s="13">
        <f>N76*VLOOKUP('Données projet'!$B$9,Paramètres!$A$1:$I$89,3,0)*VLOOKUP('Données projet'!$B$9,Paramètres!$A$1:$I$89,5,0)</f>
        <v>250.73252100000005</v>
      </c>
      <c r="P76" s="13">
        <f t="shared" si="87"/>
        <v>60.74277247950485</v>
      </c>
      <c r="Q76" s="20">
        <f t="shared" si="54"/>
        <v>542.48613614347107</v>
      </c>
      <c r="R76" s="59">
        <f t="shared" si="55"/>
        <v>835.81946947680444</v>
      </c>
      <c r="S76" s="59">
        <f ca="1">AVERAGE(OFFSET($R$3,0,0,'Données projet'!$E$9+1,1))-AVERAGE(OFFSET($H$3,0,0,'Données projet'!$E$9+1,1))</f>
        <v>581.88778927327667</v>
      </c>
      <c r="T76" s="59">
        <f t="shared" si="88"/>
        <v>269.67340993773422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21.448562754652389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21.448562754652389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</v>
      </c>
      <c r="AI76" s="13">
        <f>IF('Données projet'!$A$62&gt;35,AI75+AH76-AQ75,IF(A76&lt;'Données projet'!$A$62,$AF$205^A76,IF(A76='Données projet'!$A$62,'Données projet'!$B$62,AI75+AH76-AQ75)))</f>
        <v>200.00000000000011</v>
      </c>
      <c r="AJ76" s="13">
        <f>AI76*VLOOKUP('Données projet'!$B$10,Paramètres!$A$1:$I$89,3,0)*VLOOKUP('Données projet'!$B$10,Paramètres!$A$1:$I$89,5,0)</f>
        <v>131.04000000000008</v>
      </c>
      <c r="AK76" s="13">
        <f t="shared" si="89"/>
        <v>34.236561238949918</v>
      </c>
      <c r="AL76" s="20">
        <f t="shared" si="58"/>
        <v>287.85667749117118</v>
      </c>
      <c r="AM76" s="59">
        <f t="shared" si="59"/>
        <v>581.1900108245045</v>
      </c>
      <c r="AN76" s="59">
        <f ca="1">AVERAGE(OFFSET($AM$3,0,0,'Données projet'!$E$10+1,1))-AVERAGE(OFFSET($H$3,0,0,'Données projet'!$E$10+1,1))</f>
        <v>230.58262378842818</v>
      </c>
      <c r="AO76" s="59">
        <f t="shared" si="90"/>
        <v>235.68746142880792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10.969918865601294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10.969918865601294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250.73252100000005</v>
      </c>
      <c r="BF76" s="13">
        <f t="shared" si="91"/>
        <v>60.74277247950485</v>
      </c>
      <c r="BG76" s="20">
        <f t="shared" si="61"/>
        <v>542.48613614347107</v>
      </c>
      <c r="BH76" s="59">
        <f t="shared" si="62"/>
        <v>835.81946947680444</v>
      </c>
      <c r="BI76" s="59">
        <f ca="1">AVERAGE(OFFSET($BH$3,0,0,'Données projet'!$E$11+1,1))-AVERAGE(OFFSET($H$3,0,0,'Données projet'!$E$11+1,1))</f>
        <v>581.88778927327667</v>
      </c>
      <c r="BJ76" s="59">
        <f t="shared" si="92"/>
        <v>269.67340993773422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21.448562754652389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21.448562754652389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263.70144450000009</v>
      </c>
      <c r="CA76" s="13">
        <f t="shared" si="93"/>
        <v>63.510726054410156</v>
      </c>
      <c r="CB76" s="20">
        <f t="shared" si="64"/>
        <v>569.89453038226452</v>
      </c>
      <c r="CC76" s="59">
        <f t="shared" si="65"/>
        <v>863.22786371559778</v>
      </c>
      <c r="CD76" s="59">
        <f ca="1">AVERAGE(OFFSET($CC$3,0,0,'Données projet'!$E$12+1,1))-AVERAGE(OFFSET($H$3,0,0,'Données projet'!$E$12+1,1))</f>
        <v>609.60019207204277</v>
      </c>
      <c r="CE76" s="59">
        <f t="shared" si="94"/>
        <v>281.42238288764503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22.557971172996481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22.557971172996481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1.7303999999999973</v>
      </c>
      <c r="CT76" s="12">
        <f>IF('Données projet'!$A$140&gt;35,CT75+CS76-DB75,IF(A76&lt;'Données projet'!$A$140,$CQ$205^A76,IF(A76='Données projet'!$A$140,'Données projet'!$B$140,CT75+CS76-DB75)))</f>
        <v>135.1514499999999</v>
      </c>
      <c r="CU76" s="17">
        <f>CT76*VLOOKUP('Données projet'!$B$13,Paramètres!$A$1:$I$89,3,0)*VLOOKUP('Données projet'!$B$13,Paramètres!$A$1:$I$89,5,0)</f>
        <v>107.52649361999991</v>
      </c>
      <c r="CV76" s="13">
        <f t="shared" si="95"/>
        <v>28.747438031207672</v>
      </c>
      <c r="CW76" s="20">
        <f t="shared" si="67"/>
        <v>237.34376429251984</v>
      </c>
      <c r="CX76" s="59">
        <f t="shared" si="68"/>
        <v>530.67709762585309</v>
      </c>
      <c r="CY76" s="59">
        <f ca="1">AVERAGE(OFFSET($CX$3,0,0,'Données projet'!$E$13+1,1))-AVERAGE(OFFSET($H$3,0,0,'Données projet'!$E$13+1,1))</f>
        <v>172.13940525084604</v>
      </c>
      <c r="CZ76" s="59">
        <f t="shared" si="96"/>
        <v>172.82328007157236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5.6491782276665861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5.6491782276665861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1.7053025658242404E-13</v>
      </c>
      <c r="DP76" s="17">
        <f>DO76*VLOOKUP('Données projet'!$B$14,Paramètres!$A$1:$I$89,3,0)*VLOOKUP('Données projet'!$B$14,Paramètres!$A$1:$I$89,5,0)</f>
        <v>1.250327841262333E-13</v>
      </c>
      <c r="DQ76" s="13">
        <f t="shared" si="97"/>
        <v>1.8301318724634299E-12</v>
      </c>
      <c r="DR76" s="20">
        <f t="shared" si="70"/>
        <v>3.405245110226996E-12</v>
      </c>
      <c r="DS76" s="59">
        <f t="shared" si="71"/>
        <v>293.33333333333672</v>
      </c>
      <c r="DT76" s="59">
        <f ca="1">AVERAGE(OFFSET($DS$3,0,0,'Données projet'!$E$14+1,1))-AVERAGE(OFFSET($H$3,0,0,'Données projet'!$E$14+1,1))</f>
        <v>197.34725966440715</v>
      </c>
      <c r="DU76" s="59">
        <f t="shared" si="98"/>
        <v>240.16326570529532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27.744522580538405</v>
      </c>
      <c r="EB76" s="21">
        <f>EXP(-LN(2)/25)*EB75+(1-EXP(-LN(2)/25))/(LN(2)/25)*Calculateur!DW76*Calculateur!DY76*VLOOKUP('Données projet'!$B$14,Paramètres!$A$1:$I$89,3,0)*0.475*44/12</f>
        <v>16.277522134920996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44.022044715459401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5.6843418860808015E-14</v>
      </c>
      <c r="EK76" s="17">
        <f>EJ76*VLOOKUP('Données projet'!$B$15,Paramètres!$A$1:$I$89,3,0)*VLOOKUP('Données projet'!$B$15,Paramètres!$A$1:$I$89,5,0)</f>
        <v>4.4337866711430253E-14</v>
      </c>
      <c r="EL76" s="13">
        <f t="shared" si="99"/>
        <v>7.3222115536967035E-13</v>
      </c>
      <c r="EM76" s="20">
        <f t="shared" si="73"/>
        <v>1.3525069634579169E-12</v>
      </c>
      <c r="EN76" s="59">
        <f t="shared" si="74"/>
        <v>293.33333333333468</v>
      </c>
      <c r="EO76" s="59">
        <f ca="1">AVERAGE(OFFSET($EN$3,0,0,'Données projet'!$E$15+1,1))-AVERAGE(OFFSET($H$3,0,0,'Données projet'!$E$15+1,1))</f>
        <v>288.82868507674738</v>
      </c>
      <c r="EP76" s="59">
        <f t="shared" si="100"/>
        <v>283.48738729114024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95.337098025639932</v>
      </c>
      <c r="EW76" s="21">
        <f>EXP(-LN(2)/25)*EW75+(1-EXP(-LN(2)/25))/(LN(2)/25)*Calculateur!ER76*Calculateur!ET76*VLOOKUP('Données projet'!$B$15,Paramètres!$A$1:$I$89,3,0)*0.475*44/12</f>
        <v>45.560490752642735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140.89758877828268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>
        <f>VLOOKUP(A77,'Données projet'!$A$35:$I$55,2,0)</f>
        <v>285.98</v>
      </c>
      <c r="L77" s="12">
        <f>VLOOKUP(A77,'Données projet'!$A$35:$I$55,9,0)</f>
        <v>8.8662500000000044</v>
      </c>
      <c r="M77" s="12">
        <f t="array" ref="M77">INDEX(L:L,MIN(IF(ISNUMBER(L77:L273),ROW(L77:L273),"")))</f>
        <v>8.8662500000000044</v>
      </c>
      <c r="N77" s="13">
        <f>IF('Données projet'!$A$36&gt;35,N76+M77-V76,IF(A77&lt;'Données projet'!$A$36,$K$205^A77,IF(A77='Données projet'!$A$36,'Données projet'!$B$36,N76+M77-V76)))</f>
        <v>285.98000000000008</v>
      </c>
      <c r="O77" s="13">
        <f>N77*VLOOKUP('Données projet'!$B$9,Paramètres!$A$1:$I$89,3,0)*VLOOKUP('Données projet'!$B$9,Paramètres!$A$1:$I$89,5,0)</f>
        <v>258.75470400000006</v>
      </c>
      <c r="P77" s="13">
        <f t="shared" si="87"/>
        <v>62.456857045748947</v>
      </c>
      <c r="Q77" s="20">
        <f t="shared" si="54"/>
        <v>559.4434688213463</v>
      </c>
      <c r="R77" s="59">
        <f t="shared" si="55"/>
        <v>852.77680215467967</v>
      </c>
      <c r="S77" s="59">
        <f ca="1">AVERAGE(OFFSET($R$3,0,0,'Données projet'!$E$9+1,1))-AVERAGE(OFFSET($H$3,0,0,'Données projet'!$E$9+1,1))</f>
        <v>581.88778927327667</v>
      </c>
      <c r="T77" s="59">
        <f t="shared" si="88"/>
        <v>269.67340993773422</v>
      </c>
      <c r="U77" s="15">
        <f>IF(ISNA(VLOOKUP(A77,'Données projet'!$A$35:$I$55,3,0)),0,VLOOKUP(A77,'Données projet'!$A$35:$I$55,3,0))</f>
        <v>5</v>
      </c>
      <c r="V77" s="15">
        <f>IF(ISNA(VLOOKUP(A77,'Données projet'!$A$35:$I$55,4,0)),0,VLOOKUP(A77,'Données projet'!$A$35:$I$55,4,0))</f>
        <v>47.4</v>
      </c>
      <c r="W77" s="16">
        <f>IF(ISNA(VLOOKUP(A77,'Données projet'!$A$35:$I$55,5,0)),0%,VLOOKUP(A77,'Données projet'!$A$35:$I$55,5,0)*VLOOKUP('Données projet'!$B$9,Paramètres!$A$1:$I$89,7,0))</f>
        <v>0.25800000000000001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33.259977338364926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33.259977338364926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</v>
      </c>
      <c r="AI77" s="13">
        <f>IF('Données projet'!$A$62&gt;35,AI76+AH77-AQ76,IF(A77&lt;'Données projet'!$A$62,$AF$205^A77,IF(A77='Données projet'!$A$62,'Données projet'!$B$62,AI76+AH77-AQ76)))</f>
        <v>204.00000000000011</v>
      </c>
      <c r="AJ77" s="13">
        <f>AI77*VLOOKUP('Données projet'!$B$10,Paramètres!$A$1:$I$89,3,0)*VLOOKUP('Données projet'!$B$10,Paramètres!$A$1:$I$89,5,0)</f>
        <v>133.66080000000008</v>
      </c>
      <c r="AK77" s="13">
        <f t="shared" si="89"/>
        <v>34.840890682716747</v>
      </c>
      <c r="AL77" s="20">
        <f t="shared" si="58"/>
        <v>293.47377793906509</v>
      </c>
      <c r="AM77" s="59">
        <f t="shared" si="59"/>
        <v>586.8071112723984</v>
      </c>
      <c r="AN77" s="59">
        <f ca="1">AVERAGE(OFFSET($AM$3,0,0,'Données projet'!$E$10+1,1))-AVERAGE(OFFSET($H$3,0,0,'Données projet'!$E$10+1,1))</f>
        <v>230.58262378842818</v>
      </c>
      <c r="AO77" s="59">
        <f t="shared" si="90"/>
        <v>235.68746142880792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10.754805447636679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10.754805447636679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258.75470400000006</v>
      </c>
      <c r="BF77" s="13">
        <f t="shared" si="91"/>
        <v>62.456857045748947</v>
      </c>
      <c r="BG77" s="20">
        <f t="shared" si="61"/>
        <v>559.4434688213463</v>
      </c>
      <c r="BH77" s="59">
        <f t="shared" si="62"/>
        <v>852.77680215467967</v>
      </c>
      <c r="BI77" s="59">
        <f ca="1">AVERAGE(OFFSET($BH$3,0,0,'Données projet'!$E$11+1,1))-AVERAGE(OFFSET($H$3,0,0,'Données projet'!$E$11+1,1))</f>
        <v>581.88778927327667</v>
      </c>
      <c r="BJ77" s="59">
        <f t="shared" si="92"/>
        <v>269.67340993773422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33.259977338364926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33.259977338364926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272.13856800000008</v>
      </c>
      <c r="CA77" s="13">
        <f t="shared" si="93"/>
        <v>65.302918785776711</v>
      </c>
      <c r="CB77" s="20">
        <f t="shared" si="64"/>
        <v>587.71058948522784</v>
      </c>
      <c r="CC77" s="59">
        <f t="shared" si="65"/>
        <v>881.04392281856121</v>
      </c>
      <c r="CD77" s="59">
        <f ca="1">AVERAGE(OFFSET($CC$3,0,0,'Données projet'!$E$12+1,1))-AVERAGE(OFFSET($H$3,0,0,'Données projet'!$E$12+1,1))</f>
        <v>609.60019207204277</v>
      </c>
      <c r="CE77" s="59">
        <f t="shared" si="94"/>
        <v>281.42238288764503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34.980320993797598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34.980320993797598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1.7303999999999973</v>
      </c>
      <c r="CT77" s="12">
        <f>IF('Données projet'!$A$140&gt;35,CT76+CS77-DB76,IF(A77&lt;'Données projet'!$A$140,$CQ$205^A77,IF(A77='Données projet'!$A$140,'Données projet'!$B$140,CT76+CS77-DB76)))</f>
        <v>136.8818499999999</v>
      </c>
      <c r="CU77" s="17">
        <f>CT77*VLOOKUP('Données projet'!$B$13,Paramètres!$A$1:$I$89,3,0)*VLOOKUP('Données projet'!$B$13,Paramètres!$A$1:$I$89,5,0)</f>
        <v>108.90319985999993</v>
      </c>
      <c r="CV77" s="13">
        <f t="shared" si="95"/>
        <v>29.07241938563261</v>
      </c>
      <c r="CW77" s="20">
        <f t="shared" si="67"/>
        <v>240.30753685281002</v>
      </c>
      <c r="CX77" s="59">
        <f t="shared" si="68"/>
        <v>533.64087018614327</v>
      </c>
      <c r="CY77" s="59">
        <f ca="1">AVERAGE(OFFSET($CX$3,0,0,'Données projet'!$E$13+1,1))-AVERAGE(OFFSET($H$3,0,0,'Données projet'!$E$13+1,1))</f>
        <v>172.13940525084604</v>
      </c>
      <c r="CZ77" s="59">
        <f t="shared" si="96"/>
        <v>172.82328007157236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5.5384012882805322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5.5384012882805322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1.7053025658242404E-13</v>
      </c>
      <c r="DP77" s="17">
        <f>DO77*VLOOKUP('Données projet'!$B$14,Paramètres!$A$1:$I$89,3,0)*VLOOKUP('Données projet'!$B$14,Paramètres!$A$1:$I$89,5,0)</f>
        <v>1.250327841262333E-13</v>
      </c>
      <c r="DQ77" s="13">
        <f t="shared" si="97"/>
        <v>1.8301318724634299E-12</v>
      </c>
      <c r="DR77" s="20">
        <f t="shared" si="70"/>
        <v>3.405245110226996E-12</v>
      </c>
      <c r="DS77" s="59">
        <f t="shared" si="71"/>
        <v>293.33333333333672</v>
      </c>
      <c r="DT77" s="59">
        <f ca="1">AVERAGE(OFFSET($DS$3,0,0,'Données projet'!$E$14+1,1))-AVERAGE(OFFSET($H$3,0,0,'Données projet'!$E$14+1,1))</f>
        <v>197.34725966440715</v>
      </c>
      <c r="DU77" s="59">
        <f t="shared" si="98"/>
        <v>240.16326570529532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27.200469415221864</v>
      </c>
      <c r="EB77" s="21">
        <f>EXP(-LN(2)/25)*EB76+(1-EXP(-LN(2)/25))/(LN(2)/25)*Calculateur!DW77*Calculateur!DY77*VLOOKUP('Données projet'!$B$14,Paramètres!$A$1:$I$89,3,0)*0.475*44/12</f>
        <v>15.832412436143896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43.032881851365758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5.6843418860808015E-14</v>
      </c>
      <c r="EK77" s="17">
        <f>EJ77*VLOOKUP('Données projet'!$B$15,Paramètres!$A$1:$I$89,3,0)*VLOOKUP('Données projet'!$B$15,Paramètres!$A$1:$I$89,5,0)</f>
        <v>4.4337866711430253E-14</v>
      </c>
      <c r="EL77" s="13">
        <f t="shared" si="99"/>
        <v>7.3222115536967035E-13</v>
      </c>
      <c r="EM77" s="20">
        <f t="shared" si="73"/>
        <v>1.3525069634579169E-12</v>
      </c>
      <c r="EN77" s="59">
        <f t="shared" si="74"/>
        <v>293.33333333333468</v>
      </c>
      <c r="EO77" s="59">
        <f ca="1">AVERAGE(OFFSET($EN$3,0,0,'Données projet'!$E$15+1,1))-AVERAGE(OFFSET($H$3,0,0,'Données projet'!$E$15+1,1))</f>
        <v>288.82868507674738</v>
      </c>
      <c r="EP77" s="59">
        <f t="shared" si="100"/>
        <v>283.48738729114024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93.467595683245108</v>
      </c>
      <c r="EW77" s="21">
        <f>EXP(-LN(2)/25)*EW76+(1-EXP(-LN(2)/25))/(LN(2)/25)*Calculateur!ER77*Calculateur!ET77*VLOOKUP('Données projet'!$B$15,Paramètres!$A$1:$I$89,3,0)*0.475*44/12</f>
        <v>44.314636737089643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137.78223242033476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8.6770000000000014</v>
      </c>
      <c r="N78" s="13">
        <f>IF('Données projet'!$A$36&gt;35,N77+M78-V77,IF(A78&lt;'Données projet'!$A$36,$K$205^A78,IF(A78='Données projet'!$A$36,'Données projet'!$B$36,N77+M78-V77)))</f>
        <v>247.25700000000009</v>
      </c>
      <c r="O78" s="13">
        <f>N78*VLOOKUP('Données projet'!$B$9,Paramètres!$A$1:$I$89,3,0)*VLOOKUP('Données projet'!$B$9,Paramètres!$A$1:$I$89,5,0)</f>
        <v>223.71813360000007</v>
      </c>
      <c r="P78" s="13">
        <f t="shared" si="87"/>
        <v>54.92221376571495</v>
      </c>
      <c r="Q78" s="20">
        <f t="shared" si="54"/>
        <v>485.29860499528695</v>
      </c>
      <c r="R78" s="59">
        <f t="shared" si="55"/>
        <v>778.63193832862021</v>
      </c>
      <c r="S78" s="59">
        <f ca="1">AVERAGE(OFFSET($R$3,0,0,'Données projet'!$E$9+1,1))-AVERAGE(OFFSET($H$3,0,0,'Données projet'!$E$9+1,1))</f>
        <v>581.88778927327667</v>
      </c>
      <c r="T78" s="59">
        <f t="shared" si="88"/>
        <v>269.67340993773422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32.607769469342635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32.607769469342635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208</v>
      </c>
      <c r="AG78" s="12">
        <f>VLOOKUP(A78,'Données projet'!$A$61:$I$81,9,0)</f>
        <v>4</v>
      </c>
      <c r="AH78" s="12">
        <f t="array" ref="AH78">INDEX(AG:AG,MIN(IF(ISNUMBER(AG78:AG274),ROW(AG78:AG274),"")))</f>
        <v>4</v>
      </c>
      <c r="AI78" s="13">
        <f>IF('Données projet'!$A$62&gt;35,AI77+AH78-AQ77,IF(A78&lt;'Données projet'!$A$62,$AF$205^A78,IF(A78='Données projet'!$A$62,'Données projet'!$B$62,AI77+AH78-AQ77)))</f>
        <v>208.00000000000011</v>
      </c>
      <c r="AJ78" s="13">
        <f>AI78*VLOOKUP('Données projet'!$B$10,Paramètres!$A$1:$I$89,3,0)*VLOOKUP('Données projet'!$B$10,Paramètres!$A$1:$I$89,5,0)</f>
        <v>136.28160000000008</v>
      </c>
      <c r="AK78" s="13">
        <f t="shared" si="89"/>
        <v>35.443842312892279</v>
      </c>
      <c r="AL78" s="20">
        <f t="shared" si="58"/>
        <v>299.08847869495418</v>
      </c>
      <c r="AM78" s="59">
        <f t="shared" si="59"/>
        <v>592.42181202828749</v>
      </c>
      <c r="AN78" s="59">
        <f ca="1">AVERAGE(OFFSET($AM$3,0,0,'Données projet'!$E$10+1,1))-AVERAGE(OFFSET($H$3,0,0,'Données projet'!$E$10+1,1))</f>
        <v>230.58262378842818</v>
      </c>
      <c r="AO78" s="59">
        <f t="shared" si="90"/>
        <v>235.68746142880792</v>
      </c>
      <c r="AP78" s="15">
        <f>IF(ISNA(VLOOKUP(A78,'Données projet'!$A$61:$I$81,3,0)),0,VLOOKUP(A78,'Données projet'!$A$61:$I$81,3,0))</f>
        <v>14</v>
      </c>
      <c r="AQ78" s="15">
        <f>IF(ISNA(VLOOKUP(A78,'Données projet'!$A$61:$I$81,4,0)),0,VLOOKUP(A78,'Données projet'!$A$61:$I$81,4,0))</f>
        <v>16</v>
      </c>
      <c r="AR78" s="16">
        <f>IF(ISNA(VLOOKUP(A78,'Données projet'!$A$61:$I$81,5,0)),0%,VLOOKUP(A78,'Données projet'!$A$61:$I$81,5,0)*VLOOKUP('Données projet'!$B$10,Paramètres!$A$1:$I$89,7,0))</f>
        <v>0.25800000000000001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13.533837979933836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13.533837979933836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223.71813360000007</v>
      </c>
      <c r="BF78" s="13">
        <f t="shared" si="91"/>
        <v>54.92221376571495</v>
      </c>
      <c r="BG78" s="20">
        <f t="shared" si="61"/>
        <v>485.29860499528695</v>
      </c>
      <c r="BH78" s="59">
        <f t="shared" si="62"/>
        <v>778.63193832862021</v>
      </c>
      <c r="BI78" s="59">
        <f ca="1">AVERAGE(OFFSET($BH$3,0,0,'Données projet'!$E$11+1,1))-AVERAGE(OFFSET($H$3,0,0,'Données projet'!$E$11+1,1))</f>
        <v>581.88778927327667</v>
      </c>
      <c r="BJ78" s="59">
        <f t="shared" si="92"/>
        <v>269.67340993773422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32.607769469342635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32.607769469342635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235.28976120000007</v>
      </c>
      <c r="CA78" s="13">
        <f t="shared" si="93"/>
        <v>57.424933541731441</v>
      </c>
      <c r="CB78" s="20">
        <f t="shared" si="64"/>
        <v>509.81142667518242</v>
      </c>
      <c r="CC78" s="59">
        <f t="shared" si="65"/>
        <v>803.14476000851573</v>
      </c>
      <c r="CD78" s="59">
        <f ca="1">AVERAGE(OFFSET($CC$3,0,0,'Données projet'!$E$12+1,1))-AVERAGE(OFFSET($H$3,0,0,'Données projet'!$E$12+1,1))</f>
        <v>609.60019207204277</v>
      </c>
      <c r="CE78" s="59">
        <f t="shared" si="94"/>
        <v>281.42238288764503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34.294378234998291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34.294378234998291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138.61224999999999</v>
      </c>
      <c r="CR78" s="12">
        <f>VLOOKUP(A78,'Données projet'!$A$139:$I$159,9,0)</f>
        <v>1.7303999999999973</v>
      </c>
      <c r="CS78" s="12">
        <f t="array" ref="CS78">INDEX(CR:CR,MIN(IF(ISNUMBER(CR78:CR274),ROW(CR78:CR274),"")))</f>
        <v>1.7303999999999973</v>
      </c>
      <c r="CT78" s="12">
        <f>IF('Données projet'!$A$140&gt;35,CT77+CS78-DB77,IF(A78&lt;'Données projet'!$A$140,$CQ$205^A78,IF(A78='Données projet'!$A$140,'Données projet'!$B$140,CT77+CS78-DB77)))</f>
        <v>138.6122499999999</v>
      </c>
      <c r="CU78" s="17">
        <f>CT78*VLOOKUP('Données projet'!$B$13,Paramètres!$A$1:$I$89,3,0)*VLOOKUP('Données projet'!$B$13,Paramètres!$A$1:$I$89,5,0)</f>
        <v>110.27990609999993</v>
      </c>
      <c r="CV78" s="13">
        <f t="shared" si="95"/>
        <v>29.396922875512885</v>
      </c>
      <c r="CW78" s="20">
        <f t="shared" si="67"/>
        <v>243.27047713235149</v>
      </c>
      <c r="CX78" s="59">
        <f t="shared" si="68"/>
        <v>536.60381046568477</v>
      </c>
      <c r="CY78" s="59">
        <f ca="1">AVERAGE(OFFSET($CX$3,0,0,'Données projet'!$E$13+1,1))-AVERAGE(OFFSET($H$3,0,0,'Données projet'!$E$13+1,1))</f>
        <v>172.13940525084604</v>
      </c>
      <c r="CZ78" s="59">
        <f t="shared" si="96"/>
        <v>172.82328007157236</v>
      </c>
      <c r="DA78" s="15">
        <f>IF(ISNA(VLOOKUP(A78,'Données projet'!$A$139:$I$159,3,0)),0,VLOOKUP(A78,'Données projet'!$A$139:$I$159,3,0))</f>
        <v>14</v>
      </c>
      <c r="DB78" s="15">
        <f>IF(ISNA(VLOOKUP(A78,'Données projet'!$A$139:$I$159,4,0)),0,VLOOKUP(A78,'Données projet'!$A$139:$I$159,4,0))</f>
        <v>5.0469999999999997</v>
      </c>
      <c r="DC78" s="16">
        <f>IF(ISNA(VLOOKUP(A78,'Données projet'!$A$139:$I$159,5,0)),0%,VLOOKUP(A78,'Données projet'!$A$139:$I$159,5,0)*VLOOKUP('Données projet'!$B$13,Paramètres!$A$1:$I$89,7,0))</f>
        <v>0.318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6.8413662589479909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6.8413662589479909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1.7053025658242404E-13</v>
      </c>
      <c r="DP78" s="17">
        <f>DO78*VLOOKUP('Données projet'!$B$14,Paramètres!$A$1:$I$89,3,0)*VLOOKUP('Données projet'!$B$14,Paramètres!$A$1:$I$89,5,0)</f>
        <v>1.250327841262333E-13</v>
      </c>
      <c r="DQ78" s="13">
        <f t="shared" si="97"/>
        <v>1.8301318724634299E-12</v>
      </c>
      <c r="DR78" s="20">
        <f t="shared" si="70"/>
        <v>3.405245110226996E-12</v>
      </c>
      <c r="DS78" s="59">
        <f t="shared" si="71"/>
        <v>293.33333333333672</v>
      </c>
      <c r="DT78" s="59">
        <f ca="1">AVERAGE(OFFSET($DS$3,0,0,'Données projet'!$E$14+1,1))-AVERAGE(OFFSET($H$3,0,0,'Données projet'!$E$14+1,1))</f>
        <v>197.34725966440715</v>
      </c>
      <c r="DU78" s="59">
        <f t="shared" si="98"/>
        <v>240.16326570529532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26.667084800637515</v>
      </c>
      <c r="EB78" s="21">
        <f>EXP(-LN(2)/25)*EB77+(1-EXP(-LN(2)/25))/(LN(2)/25)*Calculateur!DW78*Calculateur!DY78*VLOOKUP('Données projet'!$B$14,Paramètres!$A$1:$I$89,3,0)*0.475*44/12</f>
        <v>15.399474285487157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42.06655908612467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5.6843418860808015E-14</v>
      </c>
      <c r="EK78" s="17">
        <f>EJ78*VLOOKUP('Données projet'!$B$15,Paramètres!$A$1:$I$89,3,0)*VLOOKUP('Données projet'!$B$15,Paramètres!$A$1:$I$89,5,0)</f>
        <v>4.4337866711430253E-14</v>
      </c>
      <c r="EL78" s="13">
        <f t="shared" si="99"/>
        <v>7.3222115536967035E-13</v>
      </c>
      <c r="EM78" s="20">
        <f t="shared" si="73"/>
        <v>1.3525069634579169E-12</v>
      </c>
      <c r="EN78" s="59">
        <f t="shared" si="74"/>
        <v>293.33333333333468</v>
      </c>
      <c r="EO78" s="59">
        <f ca="1">AVERAGE(OFFSET($EN$3,0,0,'Données projet'!$E$15+1,1))-AVERAGE(OFFSET($H$3,0,0,'Données projet'!$E$15+1,1))</f>
        <v>288.82868507674738</v>
      </c>
      <c r="EP78" s="59">
        <f t="shared" si="100"/>
        <v>283.48738729114024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91.634753141500809</v>
      </c>
      <c r="EW78" s="21">
        <f>EXP(-LN(2)/25)*EW77+(1-EXP(-LN(2)/25))/(LN(2)/25)*Calculateur!ER78*Calculateur!ET78*VLOOKUP('Données projet'!$B$15,Paramètres!$A$1:$I$89,3,0)*0.475*44/12</f>
        <v>43.102850665108463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134.73760380660929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8.6770000000000014</v>
      </c>
      <c r="N79" s="13">
        <f>IF('Données projet'!$A$36&gt;35,N78+M79-V78,IF(A79&lt;'Données projet'!$A$36,$K$205^A79,IF(A79='Données projet'!$A$36,'Données projet'!$B$36,N78+M79-V78)))</f>
        <v>255.93400000000008</v>
      </c>
      <c r="O79" s="13">
        <f>N79*VLOOKUP('Données projet'!$B$9,Paramètres!$A$1:$I$89,3,0)*VLOOKUP('Données projet'!$B$9,Paramètres!$A$1:$I$89,5,0)</f>
        <v>231.56908320000005</v>
      </c>
      <c r="P79" s="13">
        <f t="shared" si="87"/>
        <v>56.621819638037671</v>
      </c>
      <c r="Q79" s="20">
        <f t="shared" si="54"/>
        <v>501.93248910958238</v>
      </c>
      <c r="R79" s="59">
        <f t="shared" si="55"/>
        <v>795.26582244291569</v>
      </c>
      <c r="S79" s="59">
        <f ca="1">AVERAGE(OFFSET($R$3,0,0,'Données projet'!$E$9+1,1))-AVERAGE(OFFSET($H$3,0,0,'Données projet'!$E$9+1,1))</f>
        <v>581.88778927327667</v>
      </c>
      <c r="T79" s="59">
        <f t="shared" si="88"/>
        <v>269.67340993773422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31.968350998824349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31.968350998824349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3.8</v>
      </c>
      <c r="AI79" s="13">
        <f>IF('Données projet'!$A$62&gt;35,AI78+AH79-AQ78,IF(A79&lt;'Données projet'!$A$62,$AF$205^A79,IF(A79='Données projet'!$A$62,'Données projet'!$B$62,AI78+AH79-AQ78)))</f>
        <v>195.80000000000013</v>
      </c>
      <c r="AJ79" s="13">
        <f>AI79*VLOOKUP('Données projet'!$B$10,Paramètres!$A$1:$I$89,3,0)*VLOOKUP('Données projet'!$B$10,Paramètres!$A$1:$I$89,5,0)</f>
        <v>128.28816000000009</v>
      </c>
      <c r="AK79" s="13">
        <f t="shared" si="89"/>
        <v>33.600498728056088</v>
      </c>
      <c r="AL79" s="20">
        <f t="shared" si="58"/>
        <v>281.95608061803119</v>
      </c>
      <c r="AM79" s="59">
        <f t="shared" si="59"/>
        <v>575.28941395136451</v>
      </c>
      <c r="AN79" s="59">
        <f ca="1">AVERAGE(OFFSET($AM$3,0,0,'Données projet'!$E$10+1,1))-AVERAGE(OFFSET($H$3,0,0,'Données projet'!$E$10+1,1))</f>
        <v>230.58262378842818</v>
      </c>
      <c r="AO79" s="59">
        <f t="shared" si="90"/>
        <v>235.68746142880792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13.268447671973405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13.268447671973405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231.56908320000005</v>
      </c>
      <c r="BF79" s="13">
        <f t="shared" si="91"/>
        <v>56.621819638037671</v>
      </c>
      <c r="BG79" s="20">
        <f t="shared" si="61"/>
        <v>501.93248910958238</v>
      </c>
      <c r="BH79" s="59">
        <f t="shared" si="62"/>
        <v>795.26582244291569</v>
      </c>
      <c r="BI79" s="59">
        <f ca="1">AVERAGE(OFFSET($BH$3,0,0,'Données projet'!$E$11+1,1))-AVERAGE(OFFSET($H$3,0,0,'Données projet'!$E$11+1,1))</f>
        <v>581.88778927327667</v>
      </c>
      <c r="BJ79" s="59">
        <f t="shared" si="92"/>
        <v>269.67340993773422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31.968350998824349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31.968350998824349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243.54679440000007</v>
      </c>
      <c r="CA79" s="13">
        <f t="shared" si="93"/>
        <v>59.201987807635689</v>
      </c>
      <c r="CB79" s="20">
        <f t="shared" si="64"/>
        <v>527.28746234496555</v>
      </c>
      <c r="CC79" s="59">
        <f t="shared" si="65"/>
        <v>820.62079567829892</v>
      </c>
      <c r="CD79" s="59">
        <f ca="1">AVERAGE(OFFSET($CC$3,0,0,'Données projet'!$E$12+1,1))-AVERAGE(OFFSET($H$3,0,0,'Données projet'!$E$12+1,1))</f>
        <v>609.60019207204277</v>
      </c>
      <c r="CE79" s="59">
        <f t="shared" si="94"/>
        <v>281.42238288764503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33.621886395315265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33.621886395315265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1.5501500000000021</v>
      </c>
      <c r="CT79" s="12">
        <f>IF('Données projet'!$A$140&gt;35,CT78+CS79-DB78,IF(A79&lt;'Données projet'!$A$140,$CQ$205^A79,IF(A79='Données projet'!$A$140,'Données projet'!$B$140,CT78+CS79-DB78)))</f>
        <v>135.11539999999991</v>
      </c>
      <c r="CU79" s="17">
        <f>CT79*VLOOKUP('Données projet'!$B$13,Paramètres!$A$1:$I$89,3,0)*VLOOKUP('Données projet'!$B$13,Paramètres!$A$1:$I$89,5,0)</f>
        <v>107.49781223999992</v>
      </c>
      <c r="CV79" s="13">
        <f t="shared" si="95"/>
        <v>28.740662456223447</v>
      </c>
      <c r="CW79" s="20">
        <f t="shared" si="67"/>
        <v>237.28201009592235</v>
      </c>
      <c r="CX79" s="59">
        <f t="shared" si="68"/>
        <v>530.61534342925563</v>
      </c>
      <c r="CY79" s="59">
        <f ca="1">AVERAGE(OFFSET($CX$3,0,0,'Données projet'!$E$13+1,1))-AVERAGE(OFFSET($H$3,0,0,'Données projet'!$E$13+1,1))</f>
        <v>172.13940525084604</v>
      </c>
      <c r="CZ79" s="59">
        <f t="shared" si="96"/>
        <v>172.82328007157236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6.7072112394314072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6.7072112394314072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1.7053025658242404E-13</v>
      </c>
      <c r="DP79" s="17">
        <f>DO79*VLOOKUP('Données projet'!$B$14,Paramètres!$A$1:$I$89,3,0)*VLOOKUP('Données projet'!$B$14,Paramètres!$A$1:$I$89,5,0)</f>
        <v>1.250327841262333E-13</v>
      </c>
      <c r="DQ79" s="13">
        <f t="shared" si="97"/>
        <v>1.8301318724634299E-12</v>
      </c>
      <c r="DR79" s="20">
        <f t="shared" si="70"/>
        <v>3.405245110226996E-12</v>
      </c>
      <c r="DS79" s="59">
        <f t="shared" si="71"/>
        <v>293.33333333333672</v>
      </c>
      <c r="DT79" s="59">
        <f ca="1">AVERAGE(OFFSET($DS$3,0,0,'Données projet'!$E$14+1,1))-AVERAGE(OFFSET($H$3,0,0,'Données projet'!$E$14+1,1))</f>
        <v>197.34725966440715</v>
      </c>
      <c r="DU79" s="59">
        <f t="shared" si="98"/>
        <v>240.16326570529532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26.144159533012676</v>
      </c>
      <c r="EB79" s="21">
        <f>EXP(-LN(2)/25)*EB78+(1-EXP(-LN(2)/25))/(LN(2)/25)*Calculateur!DW79*Calculateur!DY79*VLOOKUP('Données projet'!$B$14,Paramètres!$A$1:$I$89,3,0)*0.475*44/12</f>
        <v>14.978374851327354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41.122534384340028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5.6843418860808015E-14</v>
      </c>
      <c r="EK79" s="17">
        <f>EJ79*VLOOKUP('Données projet'!$B$15,Paramètres!$A$1:$I$89,3,0)*VLOOKUP('Données projet'!$B$15,Paramètres!$A$1:$I$89,5,0)</f>
        <v>4.4337866711430253E-14</v>
      </c>
      <c r="EL79" s="13">
        <f t="shared" si="99"/>
        <v>7.3222115536967035E-13</v>
      </c>
      <c r="EM79" s="20">
        <f t="shared" si="73"/>
        <v>1.3525069634579169E-12</v>
      </c>
      <c r="EN79" s="59">
        <f t="shared" si="74"/>
        <v>293.33333333333468</v>
      </c>
      <c r="EO79" s="59">
        <f ca="1">AVERAGE(OFFSET($EN$3,0,0,'Données projet'!$E$15+1,1))-AVERAGE(OFFSET($H$3,0,0,'Données projet'!$E$15+1,1))</f>
        <v>288.82868507674738</v>
      </c>
      <c r="EP79" s="59">
        <f t="shared" si="100"/>
        <v>283.48738729114024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89.837851524076555</v>
      </c>
      <c r="EW79" s="21">
        <f>EXP(-LN(2)/25)*EW78+(1-EXP(-LN(2)/25))/(LN(2)/25)*Calculateur!ER79*Calculateur!ET79*VLOOKUP('Données projet'!$B$15,Paramètres!$A$1:$I$89,3,0)*0.475*44/12</f>
        <v>41.924200946990666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131.76205247106722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8.6770000000000014</v>
      </c>
      <c r="N80" s="13">
        <f>IF('Données projet'!$A$36&gt;35,N79+M80-V79,IF(A80&lt;'Données projet'!$A$36,$K$205^A80,IF(A80='Données projet'!$A$36,'Données projet'!$B$36,N79+M80-V79)))</f>
        <v>264.6110000000001</v>
      </c>
      <c r="O80" s="13">
        <f>N80*VLOOKUP('Données projet'!$B$9,Paramètres!$A$1:$I$89,3,0)*VLOOKUP('Données projet'!$B$9,Paramètres!$A$1:$I$89,5,0)</f>
        <v>239.42003280000009</v>
      </c>
      <c r="P80" s="13">
        <f t="shared" si="87"/>
        <v>58.314730148380967</v>
      </c>
      <c r="Q80" s="20">
        <f t="shared" si="54"/>
        <v>518.55471213509702</v>
      </c>
      <c r="R80" s="59">
        <f t="shared" si="55"/>
        <v>811.88804546843039</v>
      </c>
      <c r="S80" s="59">
        <f ca="1">AVERAGE(OFFSET($R$3,0,0,'Données projet'!$E$9+1,1))-AVERAGE(OFFSET($H$3,0,0,'Données projet'!$E$9+1,1))</f>
        <v>581.88778927327667</v>
      </c>
      <c r="T80" s="59">
        <f t="shared" si="88"/>
        <v>269.67340993773422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31.341471134506168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31.341471134506168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3.8</v>
      </c>
      <c r="AI80" s="13">
        <f>IF('Données projet'!$A$62&gt;35,AI79+AH80-AQ79,IF(A80&lt;'Données projet'!$A$62,$AF$205^A80,IF(A80='Données projet'!$A$62,'Données projet'!$B$62,AI79+AH80-AQ79)))</f>
        <v>199.60000000000014</v>
      </c>
      <c r="AJ80" s="13">
        <f>AI80*VLOOKUP('Données projet'!$B$10,Paramètres!$A$1:$I$89,3,0)*VLOOKUP('Données projet'!$B$10,Paramètres!$A$1:$I$89,5,0)</f>
        <v>130.77792000000008</v>
      </c>
      <c r="AK80" s="13">
        <f t="shared" si="89"/>
        <v>34.176051340149542</v>
      </c>
      <c r="AL80" s="20">
        <f t="shared" si="58"/>
        <v>287.29483341742724</v>
      </c>
      <c r="AM80" s="59">
        <f t="shared" si="59"/>
        <v>580.62816675076056</v>
      </c>
      <c r="AN80" s="59">
        <f ca="1">AVERAGE(OFFSET($AM$3,0,0,'Données projet'!$E$10+1,1))-AVERAGE(OFFSET($H$3,0,0,'Données projet'!$E$10+1,1))</f>
        <v>230.58262378842818</v>
      </c>
      <c r="AO80" s="59">
        <f t="shared" si="90"/>
        <v>235.68746142880792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13.008261506079974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13.008261506079974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239.42003280000009</v>
      </c>
      <c r="BF80" s="13">
        <f t="shared" si="91"/>
        <v>58.314730148380967</v>
      </c>
      <c r="BG80" s="20">
        <f t="shared" si="61"/>
        <v>518.55471213509702</v>
      </c>
      <c r="BH80" s="59">
        <f t="shared" si="62"/>
        <v>811.88804546843039</v>
      </c>
      <c r="BI80" s="59">
        <f ca="1">AVERAGE(OFFSET($BH$3,0,0,'Données projet'!$E$11+1,1))-AVERAGE(OFFSET($H$3,0,0,'Données projet'!$E$11+1,1))</f>
        <v>581.88778927327667</v>
      </c>
      <c r="BJ80" s="59">
        <f t="shared" si="92"/>
        <v>269.67340993773422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31.341471134506168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31.341471134506168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251.80382760000009</v>
      </c>
      <c r="CA80" s="13">
        <f t="shared" si="93"/>
        <v>60.972041614338686</v>
      </c>
      <c r="CB80" s="20">
        <f t="shared" si="64"/>
        <v>544.75130554830673</v>
      </c>
      <c r="CC80" s="59">
        <f t="shared" si="65"/>
        <v>838.0846388816401</v>
      </c>
      <c r="CD80" s="59">
        <f ca="1">AVERAGE(OFFSET($CC$3,0,0,'Données projet'!$E$12+1,1))-AVERAGE(OFFSET($H$3,0,0,'Données projet'!$E$12+1,1))</f>
        <v>609.60019207204277</v>
      </c>
      <c r="CE80" s="59">
        <f t="shared" si="94"/>
        <v>281.42238288764503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32.962581710428907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32.962581710428907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1.5501500000000021</v>
      </c>
      <c r="CT80" s="12">
        <f>IF('Données projet'!$A$140&gt;35,CT79+CS80-DB79,IF(A80&lt;'Données projet'!$A$140,$CQ$205^A80,IF(A80='Données projet'!$A$140,'Données projet'!$B$140,CT79+CS80-DB79)))</f>
        <v>136.66554999999991</v>
      </c>
      <c r="CU80" s="17">
        <f>CT80*VLOOKUP('Données projet'!$B$13,Paramètres!$A$1:$I$89,3,0)*VLOOKUP('Données projet'!$B$13,Paramètres!$A$1:$I$89,5,0)</f>
        <v>108.73111157999995</v>
      </c>
      <c r="CV80" s="13">
        <f t="shared" si="95"/>
        <v>29.031822987972621</v>
      </c>
      <c r="CW80" s="20">
        <f t="shared" si="67"/>
        <v>239.93711103921888</v>
      </c>
      <c r="CX80" s="59">
        <f t="shared" si="68"/>
        <v>533.27044437255222</v>
      </c>
      <c r="CY80" s="59">
        <f ca="1">AVERAGE(OFFSET($CX$3,0,0,'Données projet'!$E$13+1,1))-AVERAGE(OFFSET($H$3,0,0,'Données projet'!$E$13+1,1))</f>
        <v>172.13940525084604</v>
      </c>
      <c r="CZ80" s="59">
        <f t="shared" si="96"/>
        <v>172.82328007157236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6.5756869180210611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6.5756869180210611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1.7053025658242404E-13</v>
      </c>
      <c r="DP80" s="17">
        <f>DO80*VLOOKUP('Données projet'!$B$14,Paramètres!$A$1:$I$89,3,0)*VLOOKUP('Données projet'!$B$14,Paramètres!$A$1:$I$89,5,0)</f>
        <v>1.250327841262333E-13</v>
      </c>
      <c r="DQ80" s="13">
        <f t="shared" si="97"/>
        <v>1.8301318724634299E-12</v>
      </c>
      <c r="DR80" s="20">
        <f t="shared" si="70"/>
        <v>3.405245110226996E-12</v>
      </c>
      <c r="DS80" s="59">
        <f t="shared" si="71"/>
        <v>293.33333333333672</v>
      </c>
      <c r="DT80" s="59">
        <f ca="1">AVERAGE(OFFSET($DS$3,0,0,'Données projet'!$E$14+1,1))-AVERAGE(OFFSET($H$3,0,0,'Données projet'!$E$14+1,1))</f>
        <v>197.34725966440715</v>
      </c>
      <c r="DU80" s="59">
        <f t="shared" si="98"/>
        <v>240.16326570529532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25.631488510933039</v>
      </c>
      <c r="EB80" s="21">
        <f>EXP(-LN(2)/25)*EB79+(1-EXP(-LN(2)/25))/(LN(2)/25)*Calculateur!DW80*Calculateur!DY80*VLOOKUP('Données projet'!$B$14,Paramètres!$A$1:$I$89,3,0)*0.475*44/12</f>
        <v>14.568790403339307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40.200278914272346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5.6843418860808015E-14</v>
      </c>
      <c r="EK80" s="17">
        <f>EJ80*VLOOKUP('Données projet'!$B$15,Paramètres!$A$1:$I$89,3,0)*VLOOKUP('Données projet'!$B$15,Paramètres!$A$1:$I$89,5,0)</f>
        <v>4.4337866711430253E-14</v>
      </c>
      <c r="EL80" s="13">
        <f t="shared" si="99"/>
        <v>7.3222115536967035E-13</v>
      </c>
      <c r="EM80" s="20">
        <f t="shared" si="73"/>
        <v>1.3525069634579169E-12</v>
      </c>
      <c r="EN80" s="59">
        <f t="shared" si="74"/>
        <v>293.33333333333468</v>
      </c>
      <c r="EO80" s="59">
        <f ca="1">AVERAGE(OFFSET($EN$3,0,0,'Données projet'!$E$15+1,1))-AVERAGE(OFFSET($H$3,0,0,'Données projet'!$E$15+1,1))</f>
        <v>288.82868507674738</v>
      </c>
      <c r="EP80" s="59">
        <f t="shared" si="100"/>
        <v>283.48738729114024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88.076186051368225</v>
      </c>
      <c r="EW80" s="21">
        <f>EXP(-LN(2)/25)*EW79+(1-EXP(-LN(2)/25))/(LN(2)/25)*Calculateur!ER80*Calculateur!ET80*VLOOKUP('Données projet'!$B$15,Paramètres!$A$1:$I$89,3,0)*0.475*44/12</f>
        <v>40.777781467397297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128.85396751876553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8.6770000000000014</v>
      </c>
      <c r="N81" s="13">
        <f>IF('Données projet'!$A$36&gt;35,N80+M81-V80,IF(A81&lt;'Données projet'!$A$36,$K$205^A81,IF(A81='Données projet'!$A$36,'Données projet'!$B$36,N80+M81-V80)))</f>
        <v>273.28800000000012</v>
      </c>
      <c r="O81" s="13">
        <f>N81*VLOOKUP('Données projet'!$B$9,Paramètres!$A$1:$I$89,3,0)*VLOOKUP('Données projet'!$B$9,Paramètres!$A$1:$I$89,5,0)</f>
        <v>247.27098240000012</v>
      </c>
      <c r="P81" s="13">
        <f t="shared" si="87"/>
        <v>60.001190025553029</v>
      </c>
      <c r="Q81" s="20">
        <f t="shared" si="54"/>
        <v>535.16570030783839</v>
      </c>
      <c r="R81" s="59">
        <f t="shared" si="55"/>
        <v>828.49903364117176</v>
      </c>
      <c r="S81" s="59">
        <f ca="1">AVERAGE(OFFSET($R$3,0,0,'Données projet'!$E$9+1,1))-AVERAGE(OFFSET($H$3,0,0,'Données projet'!$E$9+1,1))</f>
        <v>581.88778927327667</v>
      </c>
      <c r="T81" s="59">
        <f t="shared" si="88"/>
        <v>269.67340993773422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30.726884001968305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30.726884001968305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3.8</v>
      </c>
      <c r="AI81" s="13">
        <f>IF('Données projet'!$A$62&gt;35,AI80+AH81-AQ80,IF(A81&lt;'Données projet'!$A$62,$AF$205^A81,IF(A81='Données projet'!$A$62,'Données projet'!$B$62,AI80+AH81-AQ80)))</f>
        <v>203.40000000000015</v>
      </c>
      <c r="AJ81" s="13">
        <f>AI81*VLOOKUP('Données projet'!$B$10,Paramètres!$A$1:$I$89,3,0)*VLOOKUP('Données projet'!$B$10,Paramètres!$A$1:$I$89,5,0)</f>
        <v>133.2676800000001</v>
      </c>
      <c r="AK81" s="13">
        <f t="shared" si="89"/>
        <v>34.750329840004937</v>
      </c>
      <c r="AL81" s="20">
        <f t="shared" si="58"/>
        <v>292.63136713800878</v>
      </c>
      <c r="AM81" s="59">
        <f t="shared" si="59"/>
        <v>585.9647004713421</v>
      </c>
      <c r="AN81" s="59">
        <f ca="1">AVERAGE(OFFSET($AM$3,0,0,'Données projet'!$E$10+1,1))-AVERAGE(OFFSET($H$3,0,0,'Données projet'!$E$10+1,1))</f>
        <v>230.58262378842818</v>
      </c>
      <c r="AO81" s="59">
        <f t="shared" si="90"/>
        <v>235.68746142880792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12.753177432201822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12.753177432201822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247.27098240000012</v>
      </c>
      <c r="BF81" s="13">
        <f t="shared" si="91"/>
        <v>60.001190025553029</v>
      </c>
      <c r="BG81" s="20">
        <f t="shared" si="61"/>
        <v>535.16570030783839</v>
      </c>
      <c r="BH81" s="59">
        <f t="shared" si="62"/>
        <v>828.49903364117176</v>
      </c>
      <c r="BI81" s="59">
        <f ca="1">AVERAGE(OFFSET($BH$3,0,0,'Données projet'!$E$11+1,1))-AVERAGE(OFFSET($H$3,0,0,'Données projet'!$E$11+1,1))</f>
        <v>581.88778927327667</v>
      </c>
      <c r="BJ81" s="59">
        <f t="shared" si="92"/>
        <v>269.67340993773422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30.726884001968305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30.726884001968305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260.06086080000017</v>
      </c>
      <c r="CA81" s="13">
        <f t="shared" si="93"/>
        <v>62.735350842559512</v>
      </c>
      <c r="CB81" s="20">
        <f t="shared" si="64"/>
        <v>562.20340194412472</v>
      </c>
      <c r="CC81" s="59">
        <f t="shared" si="65"/>
        <v>855.53673527745809</v>
      </c>
      <c r="CD81" s="59">
        <f ca="1">AVERAGE(OFFSET($CC$3,0,0,'Données projet'!$E$12+1,1))-AVERAGE(OFFSET($H$3,0,0,'Données projet'!$E$12+1,1))</f>
        <v>609.60019207204277</v>
      </c>
      <c r="CE81" s="59">
        <f t="shared" si="94"/>
        <v>281.42238288764503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32.316205588277015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32.316205588277015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1.5501500000000021</v>
      </c>
      <c r="CT81" s="12">
        <f>IF('Données projet'!$A$140&gt;35,CT80+CS81-DB80,IF(A81&lt;'Données projet'!$A$140,$CQ$205^A81,IF(A81='Données projet'!$A$140,'Données projet'!$B$140,CT80+CS81-DB80)))</f>
        <v>138.21569999999991</v>
      </c>
      <c r="CU81" s="17">
        <f>CT81*VLOOKUP('Données projet'!$B$13,Paramètres!$A$1:$I$89,3,0)*VLOOKUP('Données projet'!$B$13,Paramètres!$A$1:$I$89,5,0)</f>
        <v>109.96441091999995</v>
      </c>
      <c r="CV81" s="13">
        <f t="shared" si="95"/>
        <v>29.322599349817875</v>
      </c>
      <c r="CW81" s="20">
        <f t="shared" si="67"/>
        <v>242.59154288659934</v>
      </c>
      <c r="CX81" s="59">
        <f t="shared" si="68"/>
        <v>535.92487621993268</v>
      </c>
      <c r="CY81" s="59">
        <f ca="1">AVERAGE(OFFSET($CX$3,0,0,'Données projet'!$E$13+1,1))-AVERAGE(OFFSET($H$3,0,0,'Données projet'!$E$13+1,1))</f>
        <v>172.13940525084604</v>
      </c>
      <c r="CZ81" s="59">
        <f t="shared" si="96"/>
        <v>172.82328007157236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6.4467417083316567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6.4467417083316567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1.7053025658242404E-13</v>
      </c>
      <c r="DP81" s="17">
        <f>DO81*VLOOKUP('Données projet'!$B$14,Paramètres!$A$1:$I$89,3,0)*VLOOKUP('Données projet'!$B$14,Paramètres!$A$1:$I$89,5,0)</f>
        <v>1.250327841262333E-13</v>
      </c>
      <c r="DQ81" s="13">
        <f t="shared" si="97"/>
        <v>1.8301318724634299E-12</v>
      </c>
      <c r="DR81" s="20">
        <f t="shared" si="70"/>
        <v>3.405245110226996E-12</v>
      </c>
      <c r="DS81" s="59">
        <f t="shared" si="71"/>
        <v>293.33333333333672</v>
      </c>
      <c r="DT81" s="59">
        <f ca="1">AVERAGE(OFFSET($DS$3,0,0,'Données projet'!$E$14+1,1))-AVERAGE(OFFSET($H$3,0,0,'Données projet'!$E$14+1,1))</f>
        <v>197.34725966440715</v>
      </c>
      <c r="DU81" s="59">
        <f t="shared" si="98"/>
        <v>240.16326570529532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25.128870654897938</v>
      </c>
      <c r="EB81" s="21">
        <f>EXP(-LN(2)/25)*EB80+(1-EXP(-LN(2)/25))/(LN(2)/25)*Calculateur!DW81*Calculateur!DY81*VLOOKUP('Données projet'!$B$14,Paramètres!$A$1:$I$89,3,0)*0.475*44/12</f>
        <v>14.170406063620604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39.299276718518541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5.6843418860808015E-14</v>
      </c>
      <c r="EK81" s="17">
        <f>EJ81*VLOOKUP('Données projet'!$B$15,Paramètres!$A$1:$I$89,3,0)*VLOOKUP('Données projet'!$B$15,Paramètres!$A$1:$I$89,5,0)</f>
        <v>4.4337866711430253E-14</v>
      </c>
      <c r="EL81" s="13">
        <f t="shared" si="99"/>
        <v>7.3222115536967035E-13</v>
      </c>
      <c r="EM81" s="20">
        <f t="shared" si="73"/>
        <v>1.3525069634579169E-12</v>
      </c>
      <c r="EN81" s="59">
        <f t="shared" si="74"/>
        <v>293.33333333333468</v>
      </c>
      <c r="EO81" s="59">
        <f ca="1">AVERAGE(OFFSET($EN$3,0,0,'Données projet'!$E$15+1,1))-AVERAGE(OFFSET($H$3,0,0,'Données projet'!$E$15+1,1))</f>
        <v>288.82868507674738</v>
      </c>
      <c r="EP81" s="59">
        <f t="shared" si="100"/>
        <v>283.48738729114024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86.349065764069863</v>
      </c>
      <c r="EW81" s="21">
        <f>EXP(-LN(2)/25)*EW80+(1-EXP(-LN(2)/25))/(LN(2)/25)*Calculateur!ER81*Calculateur!ET81*VLOOKUP('Données projet'!$B$15,Paramètres!$A$1:$I$89,3,0)*0.475*44/12</f>
        <v>39.662710888760991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126.01177665283086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8.6770000000000014</v>
      </c>
      <c r="N82" s="13">
        <f>IF('Données projet'!$A$36&gt;35,N81+M82-V81,IF(A82&lt;'Données projet'!$A$36,$K$205^A82,IF(A82='Données projet'!$A$36,'Données projet'!$B$36,N81+M82-V81)))</f>
        <v>281.96500000000015</v>
      </c>
      <c r="O82" s="13">
        <f>N82*VLOOKUP('Données projet'!$B$9,Paramètres!$A$1:$I$89,3,0)*VLOOKUP('Données projet'!$B$9,Paramètres!$A$1:$I$89,5,0)</f>
        <v>255.1219320000001</v>
      </c>
      <c r="P82" s="13">
        <f t="shared" si="87"/>
        <v>61.681427575411924</v>
      </c>
      <c r="Q82" s="20">
        <f t="shared" si="54"/>
        <v>551.76585126050918</v>
      </c>
      <c r="R82" s="59">
        <f t="shared" si="55"/>
        <v>845.09918459384244</v>
      </c>
      <c r="S82" s="59">
        <f ca="1">AVERAGE(OFFSET($R$3,0,0,'Données projet'!$E$9+1,1))-AVERAGE(OFFSET($H$3,0,0,'Données projet'!$E$9+1,1))</f>
        <v>581.88778927327667</v>
      </c>
      <c r="T82" s="59">
        <f t="shared" si="88"/>
        <v>269.67340993773422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30.124348548238373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30.124348548238373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3.8</v>
      </c>
      <c r="AI82" s="13">
        <f>IF('Données projet'!$A$62&gt;35,AI81+AH82-AQ81,IF(A82&lt;'Données projet'!$A$62,$AF$205^A82,IF(A82='Données projet'!$A$62,'Données projet'!$B$62,AI81+AH82-AQ81)))</f>
        <v>207.20000000000016</v>
      </c>
      <c r="AJ82" s="13">
        <f>AI82*VLOOKUP('Données projet'!$B$10,Paramètres!$A$1:$I$89,3,0)*VLOOKUP('Données projet'!$B$10,Paramètres!$A$1:$I$89,5,0)</f>
        <v>135.75744000000009</v>
      </c>
      <c r="AK82" s="13">
        <f t="shared" si="89"/>
        <v>35.323360776061499</v>
      </c>
      <c r="AL82" s="20">
        <f t="shared" si="58"/>
        <v>297.96572801830723</v>
      </c>
      <c r="AM82" s="59">
        <f t="shared" si="59"/>
        <v>591.2990613516406</v>
      </c>
      <c r="AN82" s="59">
        <f ca="1">AVERAGE(OFFSET($AM$3,0,0,'Données projet'!$E$10+1,1))-AVERAGE(OFFSET($H$3,0,0,'Données projet'!$E$10+1,1))</f>
        <v>230.58262378842818</v>
      </c>
      <c r="AO82" s="59">
        <f t="shared" si="90"/>
        <v>235.68746142880792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12.503095401426497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12.503095401426497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255.1219320000001</v>
      </c>
      <c r="BF82" s="13">
        <f t="shared" si="91"/>
        <v>61.681427575411924</v>
      </c>
      <c r="BG82" s="20">
        <f t="shared" si="61"/>
        <v>551.76585126050918</v>
      </c>
      <c r="BH82" s="59">
        <f t="shared" si="62"/>
        <v>845.09918459384244</v>
      </c>
      <c r="BI82" s="59">
        <f ca="1">AVERAGE(OFFSET($BH$3,0,0,'Données projet'!$E$11+1,1))-AVERAGE(OFFSET($H$3,0,0,'Données projet'!$E$11+1,1))</f>
        <v>581.88778927327667</v>
      </c>
      <c r="BJ82" s="59">
        <f t="shared" si="92"/>
        <v>269.67340993773422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30.124348548238373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30.124348548238373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268.31789400000014</v>
      </c>
      <c r="CA82" s="13">
        <f t="shared" si="93"/>
        <v>64.492154201698639</v>
      </c>
      <c r="CB82" s="20">
        <f t="shared" si="64"/>
        <v>579.6441672846255</v>
      </c>
      <c r="CC82" s="59">
        <f t="shared" si="65"/>
        <v>872.97750061795887</v>
      </c>
      <c r="CD82" s="59">
        <f ca="1">AVERAGE(OFFSET($CC$3,0,0,'Données projet'!$E$12+1,1))-AVERAGE(OFFSET($H$3,0,0,'Données projet'!$E$12+1,1))</f>
        <v>609.60019207204277</v>
      </c>
      <c r="CE82" s="59">
        <f t="shared" si="94"/>
        <v>281.42238288764503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31.682504507630018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31.682504507630018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1.5501500000000021</v>
      </c>
      <c r="CT82" s="12">
        <f>IF('Données projet'!$A$140&gt;35,CT81+CS82-DB81,IF(A82&lt;'Données projet'!$A$140,$CQ$205^A82,IF(A82='Données projet'!$A$140,'Données projet'!$B$140,CT81+CS82-DB81)))</f>
        <v>139.76584999999992</v>
      </c>
      <c r="CU82" s="17">
        <f>CT82*VLOOKUP('Données projet'!$B$13,Paramètres!$A$1:$I$89,3,0)*VLOOKUP('Données projet'!$B$13,Paramètres!$A$1:$I$89,5,0)</f>
        <v>111.19771025999995</v>
      </c>
      <c r="CV82" s="13">
        <f t="shared" si="95"/>
        <v>29.612996348983277</v>
      </c>
      <c r="CW82" s="20">
        <f t="shared" si="67"/>
        <v>245.24531401064579</v>
      </c>
      <c r="CX82" s="59">
        <f t="shared" si="68"/>
        <v>538.57864734397913</v>
      </c>
      <c r="CY82" s="59">
        <f ca="1">AVERAGE(OFFSET($CX$3,0,0,'Données projet'!$E$13+1,1))-AVERAGE(OFFSET($H$3,0,0,'Données projet'!$E$13+1,1))</f>
        <v>172.13940525084604</v>
      </c>
      <c r="CZ82" s="59">
        <f t="shared" si="96"/>
        <v>172.82328007157236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6.3203250355554497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6.3203250355554497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1.7053025658242404E-13</v>
      </c>
      <c r="DP82" s="17">
        <f>DO82*VLOOKUP('Données projet'!$B$14,Paramètres!$A$1:$I$89,3,0)*VLOOKUP('Données projet'!$B$14,Paramètres!$A$1:$I$89,5,0)</f>
        <v>1.250327841262333E-13</v>
      </c>
      <c r="DQ82" s="13">
        <f t="shared" si="97"/>
        <v>1.8301318724634299E-12</v>
      </c>
      <c r="DR82" s="20">
        <f t="shared" si="70"/>
        <v>3.405245110226996E-12</v>
      </c>
      <c r="DS82" s="59">
        <f t="shared" si="71"/>
        <v>293.33333333333672</v>
      </c>
      <c r="DT82" s="59">
        <f ca="1">AVERAGE(OFFSET($DS$3,0,0,'Données projet'!$E$14+1,1))-AVERAGE(OFFSET($H$3,0,0,'Données projet'!$E$14+1,1))</f>
        <v>197.34725966440715</v>
      </c>
      <c r="DU82" s="59">
        <f t="shared" si="98"/>
        <v>240.16326570529532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24.636108828453064</v>
      </c>
      <c r="EB82" s="21">
        <f>EXP(-LN(2)/25)*EB81+(1-EXP(-LN(2)/25))/(LN(2)/25)*Calculateur!DW82*Calculateur!DY82*VLOOKUP('Données projet'!$B$14,Paramètres!$A$1:$I$89,3,0)*0.475*44/12</f>
        <v>13.78291556462163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38.419024393074693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5.6843418860808015E-14</v>
      </c>
      <c r="EK82" s="17">
        <f>EJ82*VLOOKUP('Données projet'!$B$15,Paramètres!$A$1:$I$89,3,0)*VLOOKUP('Données projet'!$B$15,Paramètres!$A$1:$I$89,5,0)</f>
        <v>4.4337866711430253E-14</v>
      </c>
      <c r="EL82" s="13">
        <f t="shared" si="99"/>
        <v>7.3222115536967035E-13</v>
      </c>
      <c r="EM82" s="20">
        <f t="shared" si="73"/>
        <v>1.3525069634579169E-12</v>
      </c>
      <c r="EN82" s="59">
        <f t="shared" si="74"/>
        <v>293.33333333333468</v>
      </c>
      <c r="EO82" s="59">
        <f ca="1">AVERAGE(OFFSET($EN$3,0,0,'Données projet'!$E$15+1,1))-AVERAGE(OFFSET($H$3,0,0,'Données projet'!$E$15+1,1))</f>
        <v>288.82868507674738</v>
      </c>
      <c r="EP82" s="59">
        <f t="shared" si="100"/>
        <v>283.48738729114024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84.65581325216607</v>
      </c>
      <c r="EW82" s="21">
        <f>EXP(-LN(2)/25)*EW81+(1-EXP(-LN(2)/25))/(LN(2)/25)*Calculateur!ER82*Calculateur!ET82*VLOOKUP('Données projet'!$B$15,Paramètres!$A$1:$I$89,3,0)*0.475*44/12</f>
        <v>38.578131973736504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123.23394522590257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8.6770000000000014</v>
      </c>
      <c r="N83" s="13">
        <f>IF('Données projet'!$A$36&gt;35,N82+M83-V82,IF(A83&lt;'Données projet'!$A$36,$K$205^A83,IF(A83='Données projet'!$A$36,'Données projet'!$B$36,N82+M83-V82)))</f>
        <v>290.64200000000017</v>
      </c>
      <c r="O83" s="13">
        <f>N83*VLOOKUP('Données projet'!$B$9,Paramètres!$A$1:$I$89,3,0)*VLOOKUP('Données projet'!$B$9,Paramètres!$A$1:$I$89,5,0)</f>
        <v>262.97288160000016</v>
      </c>
      <c r="P83" s="13">
        <f t="shared" si="87"/>
        <v>63.355656254051972</v>
      </c>
      <c r="Q83" s="20">
        <f t="shared" si="54"/>
        <v>568.35553676247412</v>
      </c>
      <c r="R83" s="59">
        <f t="shared" si="55"/>
        <v>861.68887009580749</v>
      </c>
      <c r="S83" s="59">
        <f ca="1">AVERAGE(OFFSET($R$3,0,0,'Données projet'!$E$9+1,1))-AVERAGE(OFFSET($H$3,0,0,'Données projet'!$E$9+1,1))</f>
        <v>581.88778927327667</v>
      </c>
      <c r="T83" s="59">
        <f t="shared" si="88"/>
        <v>269.67340993773422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29.533628447245746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29.533628447245746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211</v>
      </c>
      <c r="AG83" s="12">
        <f>VLOOKUP(A83,'Données projet'!$A$61:$I$81,9,0)</f>
        <v>3.8</v>
      </c>
      <c r="AH83" s="12">
        <f t="array" ref="AH83">INDEX(AG:AG,MIN(IF(ISNUMBER(AG83:AG279),ROW(AG83:AG279),"")))</f>
        <v>3.8</v>
      </c>
      <c r="AI83" s="13">
        <f>IF('Données projet'!$A$62&gt;35,AI82+AH83-AQ82,IF(A83&lt;'Données projet'!$A$62,$AF$205^A83,IF(A83='Données projet'!$A$62,'Données projet'!$B$62,AI82+AH83-AQ82)))</f>
        <v>211.00000000000017</v>
      </c>
      <c r="AJ83" s="13">
        <f>AI83*VLOOKUP('Données projet'!$B$10,Paramètres!$A$1:$I$89,3,0)*VLOOKUP('Données projet'!$B$10,Paramètres!$A$1:$I$89,5,0)</f>
        <v>138.24720000000011</v>
      </c>
      <c r="AK83" s="13">
        <f t="shared" si="89"/>
        <v>35.895169667226</v>
      </c>
      <c r="AL83" s="20">
        <f t="shared" si="58"/>
        <v>303.29796050375211</v>
      </c>
      <c r="AM83" s="59">
        <f t="shared" si="59"/>
        <v>596.63129383708542</v>
      </c>
      <c r="AN83" s="59">
        <f ca="1">AVERAGE(OFFSET($AM$3,0,0,'Données projet'!$E$10+1,1))-AVERAGE(OFFSET($H$3,0,0,'Données projet'!$E$10+1,1))</f>
        <v>230.58262378842818</v>
      </c>
      <c r="AO83" s="59">
        <f t="shared" si="90"/>
        <v>235.68746142880792</v>
      </c>
      <c r="AP83" s="15">
        <f>IF(ISNA(VLOOKUP(A83,'Données projet'!$A$61:$I$81,3,0)),0,VLOOKUP(A83,'Données projet'!$A$61:$I$81,3,0))</f>
        <v>15</v>
      </c>
      <c r="AQ83" s="15">
        <f>IF(ISNA(VLOOKUP(A83,'Données projet'!$A$61:$I$81,4,0)),0,VLOOKUP(A83,'Données projet'!$A$61:$I$81,4,0))</f>
        <v>15</v>
      </c>
      <c r="AR83" s="16">
        <f>IF(ISNA(VLOOKUP(A83,'Données projet'!$A$61:$I$81,5,0)),0%,VLOOKUP(A83,'Données projet'!$A$61:$I$81,5,0)*VLOOKUP('Données projet'!$B$10,Paramètres!$A$1:$I$89,7,0))</f>
        <v>0.25800000000000001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15.060974552372558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15.060974552372558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262.97288160000016</v>
      </c>
      <c r="BF83" s="13">
        <f t="shared" si="91"/>
        <v>63.355656254051972</v>
      </c>
      <c r="BG83" s="20">
        <f t="shared" si="61"/>
        <v>568.35553676247412</v>
      </c>
      <c r="BH83" s="59">
        <f t="shared" si="62"/>
        <v>861.68887009580749</v>
      </c>
      <c r="BI83" s="59">
        <f ca="1">AVERAGE(OFFSET($BH$3,0,0,'Données projet'!$E$11+1,1))-AVERAGE(OFFSET($H$3,0,0,'Données projet'!$E$11+1,1))</f>
        <v>581.88778927327667</v>
      </c>
      <c r="BJ83" s="59">
        <f t="shared" si="92"/>
        <v>269.67340993773422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29.533628447245746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29.533628447245746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276.57492720000016</v>
      </c>
      <c r="CA83" s="13">
        <f t="shared" si="93"/>
        <v>66.242674874712534</v>
      </c>
      <c r="CB83" s="20">
        <f t="shared" si="64"/>
        <v>597.07399028012458</v>
      </c>
      <c r="CC83" s="59">
        <f t="shared" si="65"/>
        <v>890.40732361345795</v>
      </c>
      <c r="CD83" s="59">
        <f ca="1">AVERAGE(OFFSET($CC$3,0,0,'Données projet'!$E$12+1,1))-AVERAGE(OFFSET($H$3,0,0,'Données projet'!$E$12+1,1))</f>
        <v>609.60019207204277</v>
      </c>
      <c r="CE83" s="59">
        <f t="shared" si="94"/>
        <v>281.42238288764503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31.061229918655016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31.061229918655016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141.316</v>
      </c>
      <c r="CR83" s="12">
        <f>VLOOKUP(A83,'Données projet'!$A$139:$I$159,9,0)</f>
        <v>1.5501500000000021</v>
      </c>
      <c r="CS83" s="12">
        <f t="array" ref="CS83">INDEX(CR:CR,MIN(IF(ISNUMBER(CR83:CR279),ROW(CR83:CR279),"")))</f>
        <v>1.5501500000000021</v>
      </c>
      <c r="CT83" s="12">
        <f>IF('Données projet'!$A$140&gt;35,CT82+CS83-DB82,IF(A83&lt;'Données projet'!$A$140,$CQ$205^A83,IF(A83='Données projet'!$A$140,'Données projet'!$B$140,CT82+CS83-DB82)))</f>
        <v>141.31599999999992</v>
      </c>
      <c r="CU83" s="17">
        <f>CT83*VLOOKUP('Données projet'!$B$13,Paramètres!$A$1:$I$89,3,0)*VLOOKUP('Données projet'!$B$13,Paramètres!$A$1:$I$89,5,0)</f>
        <v>112.43100959999995</v>
      </c>
      <c r="CV83" s="13">
        <f t="shared" si="95"/>
        <v>29.903018679918414</v>
      </c>
      <c r="CW83" s="20">
        <f t="shared" si="67"/>
        <v>247.89843258752447</v>
      </c>
      <c r="CX83" s="59">
        <f t="shared" si="68"/>
        <v>541.23176592085781</v>
      </c>
      <c r="CY83" s="59">
        <f ca="1">AVERAGE(OFFSET($CX$3,0,0,'Données projet'!$E$13+1,1))-AVERAGE(OFFSET($H$3,0,0,'Données projet'!$E$13+1,1))</f>
        <v>172.13940525084604</v>
      </c>
      <c r="CZ83" s="59">
        <f t="shared" si="96"/>
        <v>172.82328007157236</v>
      </c>
      <c r="DA83" s="15">
        <f>IF(ISNA(VLOOKUP(A83,'Données projet'!$A$139:$I$159,3,0)),0,VLOOKUP(A83,'Données projet'!$A$139:$I$159,3,0))</f>
        <v>15</v>
      </c>
      <c r="DB83" s="15">
        <f>IF(ISNA(VLOOKUP(A83,'Données projet'!$A$139:$I$159,4,0)),0,VLOOKUP(A83,'Données projet'!$A$139:$I$159,4,0))</f>
        <v>141.30000000000001</v>
      </c>
      <c r="DC83" s="16">
        <f>IF(ISNA(VLOOKUP(A83,'Données projet'!$A$139:$I$159,5,0)),0%,VLOOKUP(A83,'Données projet'!$A$139:$I$159,5,0)*VLOOKUP('Données projet'!$B$13,Paramètres!$A$1:$I$89,7,0))</f>
        <v>0.318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45.715862329883009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45.715862329883009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1.7053025658242404E-13</v>
      </c>
      <c r="DP83" s="17">
        <f>DO83*VLOOKUP('Données projet'!$B$14,Paramètres!$A$1:$I$89,3,0)*VLOOKUP('Données projet'!$B$14,Paramètres!$A$1:$I$89,5,0)</f>
        <v>1.250327841262333E-13</v>
      </c>
      <c r="DQ83" s="13">
        <f t="shared" si="97"/>
        <v>1.8301318724634299E-12</v>
      </c>
      <c r="DR83" s="20">
        <f t="shared" si="70"/>
        <v>3.405245110226996E-12</v>
      </c>
      <c r="DS83" s="59">
        <f t="shared" si="71"/>
        <v>293.33333333333672</v>
      </c>
      <c r="DT83" s="59">
        <f ca="1">AVERAGE(OFFSET($DS$3,0,0,'Données projet'!$E$14+1,1))-AVERAGE(OFFSET($H$3,0,0,'Données projet'!$E$14+1,1))</f>
        <v>197.34725966440715</v>
      </c>
      <c r="DU83" s="59">
        <f t="shared" si="98"/>
        <v>240.16326570529532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24.153009760869736</v>
      </c>
      <c r="EB83" s="21">
        <f>EXP(-LN(2)/25)*EB82+(1-EXP(-LN(2)/25))/(LN(2)/25)*Calculateur!DW83*Calculateur!DY83*VLOOKUP('Données projet'!$B$14,Paramètres!$A$1:$I$89,3,0)*0.475*44/12</f>
        <v>13.406021013695023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37.559030774564761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5.6843418860808015E-14</v>
      </c>
      <c r="EK83" s="17">
        <f>EJ83*VLOOKUP('Données projet'!$B$15,Paramètres!$A$1:$I$89,3,0)*VLOOKUP('Données projet'!$B$15,Paramètres!$A$1:$I$89,5,0)</f>
        <v>4.4337866711430253E-14</v>
      </c>
      <c r="EL83" s="13">
        <f t="shared" si="99"/>
        <v>7.3222115536967035E-13</v>
      </c>
      <c r="EM83" s="20">
        <f t="shared" si="73"/>
        <v>1.3525069634579169E-12</v>
      </c>
      <c r="EN83" s="59">
        <f t="shared" si="74"/>
        <v>293.33333333333468</v>
      </c>
      <c r="EO83" s="59">
        <f ca="1">AVERAGE(OFFSET($EN$3,0,0,'Données projet'!$E$15+1,1))-AVERAGE(OFFSET($H$3,0,0,'Données projet'!$E$15+1,1))</f>
        <v>288.82868507674738</v>
      </c>
      <c r="EP83" s="59">
        <f t="shared" si="100"/>
        <v>283.48738729114024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82.995764389238644</v>
      </c>
      <c r="EW83" s="21">
        <f>EXP(-LN(2)/25)*EW82+(1-EXP(-LN(2)/25))/(LN(2)/25)*Calculateur!ER83*Calculateur!ET83*VLOOKUP('Données projet'!$B$15,Paramètres!$A$1:$I$89,3,0)*0.475*44/12</f>
        <v>37.523210926178891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120.51897531541753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8.6770000000000014</v>
      </c>
      <c r="N84" s="13">
        <f>IF('Données projet'!$A$36&gt;35,N83+M84-V83,IF(A84&lt;'Données projet'!$A$36,$K$205^A84,IF(A84='Données projet'!$A$36,'Données projet'!$B$36,N83+M84-V83)))</f>
        <v>299.31900000000019</v>
      </c>
      <c r="O84" s="13">
        <f>N84*VLOOKUP('Données projet'!$B$9,Paramètres!$A$1:$I$89,3,0)*VLOOKUP('Données projet'!$B$9,Paramètres!$A$1:$I$89,5,0)</f>
        <v>270.8238312000002</v>
      </c>
      <c r="P84" s="13">
        <f t="shared" si="87"/>
        <v>65.024076047844915</v>
      </c>
      <c r="Q84" s="20">
        <f t="shared" si="54"/>
        <v>584.93510512333023</v>
      </c>
      <c r="R84" s="59">
        <f t="shared" si="55"/>
        <v>878.26843845666349</v>
      </c>
      <c r="S84" s="59">
        <f ca="1">AVERAGE(OFFSET($R$3,0,0,'Données projet'!$E$9+1,1))-AVERAGE(OFFSET($H$3,0,0,'Données projet'!$E$9+1,1))</f>
        <v>581.88778927327667</v>
      </c>
      <c r="T84" s="59">
        <f t="shared" si="88"/>
        <v>269.67340993773422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28.9544920071299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28.9544920071299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3.6</v>
      </c>
      <c r="AI84" s="13">
        <f>IF('Données projet'!$A$62&gt;35,AI83+AH84-AQ83,IF(A84&lt;'Données projet'!$A$62,$AF$205^A84,IF(A84='Données projet'!$A$62,'Données projet'!$B$62,AI83+AH84-AQ83)))</f>
        <v>199.60000000000016</v>
      </c>
      <c r="AJ84" s="13">
        <f>AI84*VLOOKUP('Données projet'!$B$10,Paramètres!$A$1:$I$89,3,0)*VLOOKUP('Données projet'!$B$10,Paramètres!$A$1:$I$89,5,0)</f>
        <v>130.77792000000011</v>
      </c>
      <c r="AK84" s="13">
        <f t="shared" si="89"/>
        <v>34.176051340149542</v>
      </c>
      <c r="AL84" s="20">
        <f t="shared" si="58"/>
        <v>287.2948334174273</v>
      </c>
      <c r="AM84" s="59">
        <f t="shared" si="59"/>
        <v>580.62816675076056</v>
      </c>
      <c r="AN84" s="59">
        <f ca="1">AVERAGE(OFFSET($AM$3,0,0,'Données projet'!$E$10+1,1))-AVERAGE(OFFSET($H$3,0,0,'Données projet'!$E$10+1,1))</f>
        <v>230.58262378842818</v>
      </c>
      <c r="AO84" s="59">
        <f t="shared" si="90"/>
        <v>235.68746142880792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14.765638027687938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14.765638027687938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270.8238312000002</v>
      </c>
      <c r="BF84" s="13">
        <f t="shared" si="91"/>
        <v>65.024076047844915</v>
      </c>
      <c r="BG84" s="20">
        <f t="shared" si="61"/>
        <v>584.93510512333023</v>
      </c>
      <c r="BH84" s="59">
        <f t="shared" si="62"/>
        <v>878.26843845666349</v>
      </c>
      <c r="BI84" s="59">
        <f ca="1">AVERAGE(OFFSET($BH$3,0,0,'Données projet'!$E$11+1,1))-AVERAGE(OFFSET($H$3,0,0,'Données projet'!$E$11+1,1))</f>
        <v>581.88778927327667</v>
      </c>
      <c r="BJ84" s="59">
        <f t="shared" si="92"/>
        <v>269.67340993773422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28.9544920071299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28.9544920071299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284.83196040000018</v>
      </c>
      <c r="CA84" s="13">
        <f t="shared" si="93"/>
        <v>67.987121961040245</v>
      </c>
      <c r="CB84" s="20">
        <f t="shared" si="64"/>
        <v>614.49323511214538</v>
      </c>
      <c r="CC84" s="59">
        <f t="shared" si="65"/>
        <v>907.82656844547864</v>
      </c>
      <c r="CD84" s="59">
        <f ca="1">AVERAGE(OFFSET($CC$3,0,0,'Données projet'!$E$12+1,1))-AVERAGE(OFFSET($H$3,0,0,'Données projet'!$E$12+1,1))</f>
        <v>609.60019207204277</v>
      </c>
      <c r="CE84" s="59">
        <f t="shared" si="94"/>
        <v>281.42238288764503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30.452138145429732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30.452138145429732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1.5999999999905867E-2</v>
      </c>
      <c r="CU84" s="17">
        <f>CT84*VLOOKUP('Données projet'!$B$13,Paramètres!$A$1:$I$89,3,0)*VLOOKUP('Données projet'!$B$13,Paramètres!$A$1:$I$89,5,0)</f>
        <v>1.2729599999925107E-2</v>
      </c>
      <c r="CV84" s="13">
        <f t="shared" si="95"/>
        <v>9.7491417338934176E-3</v>
      </c>
      <c r="CW84" s="20">
        <f t="shared" si="67"/>
        <v>3.9150475186400593E-2</v>
      </c>
      <c r="CX84" s="59">
        <f t="shared" si="68"/>
        <v>293.37248380851969</v>
      </c>
      <c r="CY84" s="59">
        <f ca="1">AVERAGE(OFFSET($CX$3,0,0,'Données projet'!$E$13+1,1))-AVERAGE(OFFSET($H$3,0,0,'Données projet'!$E$13+1,1))</f>
        <v>172.13940525084604</v>
      </c>
      <c r="CZ84" s="59">
        <f t="shared" si="96"/>
        <v>172.82328007157236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44.81940215351672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44.81940215351672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1.7053025658242404E-13</v>
      </c>
      <c r="DP84" s="17">
        <f>DO84*VLOOKUP('Données projet'!$B$14,Paramètres!$A$1:$I$89,3,0)*VLOOKUP('Données projet'!$B$14,Paramètres!$A$1:$I$89,5,0)</f>
        <v>1.250327841262333E-13</v>
      </c>
      <c r="DQ84" s="13">
        <f t="shared" si="97"/>
        <v>1.8301318724634299E-12</v>
      </c>
      <c r="DR84" s="20">
        <f t="shared" si="70"/>
        <v>3.405245110226996E-12</v>
      </c>
      <c r="DS84" s="59">
        <f t="shared" si="71"/>
        <v>293.33333333333672</v>
      </c>
      <c r="DT84" s="59">
        <f ca="1">AVERAGE(OFFSET($DS$3,0,0,'Données projet'!$E$14+1,1))-AVERAGE(OFFSET($H$3,0,0,'Données projet'!$E$14+1,1))</f>
        <v>197.34725966440715</v>
      </c>
      <c r="DU84" s="59">
        <f t="shared" si="98"/>
        <v>240.16326570529532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23.679383971340382</v>
      </c>
      <c r="EB84" s="21">
        <f>EXP(-LN(2)/25)*EB83+(1-EXP(-LN(2)/25))/(LN(2)/25)*Calculateur!DW84*Calculateur!DY84*VLOOKUP('Données projet'!$B$14,Paramètres!$A$1:$I$89,3,0)*0.475*44/12</f>
        <v>13.039432664083527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36.718816635423906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5.6843418860808015E-14</v>
      </c>
      <c r="EK84" s="17">
        <f>EJ84*VLOOKUP('Données projet'!$B$15,Paramètres!$A$1:$I$89,3,0)*VLOOKUP('Données projet'!$B$15,Paramètres!$A$1:$I$89,5,0)</f>
        <v>4.4337866711430253E-14</v>
      </c>
      <c r="EL84" s="13">
        <f t="shared" si="99"/>
        <v>7.3222115536967035E-13</v>
      </c>
      <c r="EM84" s="20">
        <f t="shared" si="73"/>
        <v>1.3525069634579169E-12</v>
      </c>
      <c r="EN84" s="59">
        <f t="shared" si="74"/>
        <v>293.33333333333468</v>
      </c>
      <c r="EO84" s="59">
        <f ca="1">AVERAGE(OFFSET($EN$3,0,0,'Données projet'!$E$15+1,1))-AVERAGE(OFFSET($H$3,0,0,'Données projet'!$E$15+1,1))</f>
        <v>288.82868507674738</v>
      </c>
      <c r="EP84" s="59">
        <f t="shared" si="100"/>
        <v>283.48738729114024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81.368268071983408</v>
      </c>
      <c r="EW84" s="21">
        <f>EXP(-LN(2)/25)*EW83+(1-EXP(-LN(2)/25))/(LN(2)/25)*Calculateur!ER84*Calculateur!ET84*VLOOKUP('Données projet'!$B$15,Paramètres!$A$1:$I$89,3,0)*0.475*44/12</f>
        <v>36.49713675014263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117.86540482212604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8.6770000000000014</v>
      </c>
      <c r="N85" s="13">
        <f>IF('Données projet'!$A$36&gt;35,N84+M85-V84,IF(A85&lt;'Données projet'!$A$36,$K$205^A85,IF(A85='Données projet'!$A$36,'Données projet'!$B$36,N84+M85-V84)))</f>
        <v>307.99600000000021</v>
      </c>
      <c r="O85" s="13">
        <f>N85*VLOOKUP('Données projet'!$B$9,Paramètres!$A$1:$I$89,3,0)*VLOOKUP('Données projet'!$B$9,Paramètres!$A$1:$I$89,5,0)</f>
        <v>278.67478080000018</v>
      </c>
      <c r="P85" s="13">
        <f t="shared" si="87"/>
        <v>66.686874688958113</v>
      </c>
      <c r="Q85" s="20">
        <f t="shared" si="54"/>
        <v>601.50488330993562</v>
      </c>
      <c r="R85" s="59">
        <f t="shared" si="55"/>
        <v>894.83821664326888</v>
      </c>
      <c r="S85" s="59">
        <f ca="1">AVERAGE(OFFSET($R$3,0,0,'Données projet'!$E$9+1,1))-AVERAGE(OFFSET($H$3,0,0,'Données projet'!$E$9+1,1))</f>
        <v>581.88778927327667</v>
      </c>
      <c r="T85" s="59">
        <f t="shared" si="88"/>
        <v>269.67340993773422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28.386712079366379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28.386712079366379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3.6</v>
      </c>
      <c r="AI85" s="13">
        <f>IF('Données projet'!$A$62&gt;35,AI84+AH85-AQ84,IF(A85&lt;'Données projet'!$A$62,$AF$205^A85,IF(A85='Données projet'!$A$62,'Données projet'!$B$62,AI84+AH85-AQ84)))</f>
        <v>203.20000000000016</v>
      </c>
      <c r="AJ85" s="13">
        <f>AI85*VLOOKUP('Données projet'!$B$10,Paramètres!$A$1:$I$89,3,0)*VLOOKUP('Données projet'!$B$10,Paramètres!$A$1:$I$89,5,0)</f>
        <v>133.13664000000011</v>
      </c>
      <c r="AK85" s="13">
        <f t="shared" si="89"/>
        <v>34.720135986247172</v>
      </c>
      <c r="AL85" s="20">
        <f t="shared" si="58"/>
        <v>292.35055150938069</v>
      </c>
      <c r="AM85" s="59">
        <f t="shared" si="59"/>
        <v>585.68388484271395</v>
      </c>
      <c r="AN85" s="59">
        <f ca="1">AVERAGE(OFFSET($AM$3,0,0,'Données projet'!$E$10+1,1))-AVERAGE(OFFSET($H$3,0,0,'Données projet'!$E$10+1,1))</f>
        <v>230.58262378842818</v>
      </c>
      <c r="AO85" s="59">
        <f t="shared" si="90"/>
        <v>235.68746142880792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14.476092872114892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14.476092872114892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278.67478080000018</v>
      </c>
      <c r="BF85" s="13">
        <f t="shared" si="91"/>
        <v>66.686874688958113</v>
      </c>
      <c r="BG85" s="20">
        <f t="shared" si="61"/>
        <v>601.50488330993562</v>
      </c>
      <c r="BH85" s="59">
        <f t="shared" si="62"/>
        <v>894.83821664326888</v>
      </c>
      <c r="BI85" s="59">
        <f ca="1">AVERAGE(OFFSET($BH$3,0,0,'Données projet'!$E$11+1,1))-AVERAGE(OFFSET($H$3,0,0,'Données projet'!$E$11+1,1))</f>
        <v>581.88778927327667</v>
      </c>
      <c r="BJ85" s="59">
        <f t="shared" si="92"/>
        <v>269.67340993773422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28.386712079366379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28.386712079366379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293.08899360000021</v>
      </c>
      <c r="CA85" s="13">
        <f t="shared" si="93"/>
        <v>69.725691747511789</v>
      </c>
      <c r="CB85" s="20">
        <f t="shared" si="64"/>
        <v>631.90224364691676</v>
      </c>
      <c r="CC85" s="59">
        <f t="shared" si="65"/>
        <v>925.23557698025002</v>
      </c>
      <c r="CD85" s="59">
        <f ca="1">AVERAGE(OFFSET($CC$3,0,0,'Données projet'!$E$12+1,1))-AVERAGE(OFFSET($H$3,0,0,'Données projet'!$E$12+1,1))</f>
        <v>609.60019207204277</v>
      </c>
      <c r="CE85" s="59">
        <f t="shared" si="94"/>
        <v>281.42238288764503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29.854990290368097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29.854990290368097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1.5999999999905867E-2</v>
      </c>
      <c r="CU85" s="17">
        <f>CT85*VLOOKUP('Données projet'!$B$13,Paramètres!$A$1:$I$89,3,0)*VLOOKUP('Données projet'!$B$13,Paramètres!$A$1:$I$89,5,0)</f>
        <v>1.2729599999925107E-2</v>
      </c>
      <c r="CV85" s="13">
        <f t="shared" si="95"/>
        <v>9.7491417338934176E-3</v>
      </c>
      <c r="CW85" s="20">
        <f t="shared" si="67"/>
        <v>3.9150475186400593E-2</v>
      </c>
      <c r="CX85" s="59">
        <f t="shared" si="68"/>
        <v>293.37248380851969</v>
      </c>
      <c r="CY85" s="59">
        <f ca="1">AVERAGE(OFFSET($CX$3,0,0,'Données projet'!$E$13+1,1))-AVERAGE(OFFSET($H$3,0,0,'Données projet'!$E$13+1,1))</f>
        <v>172.13940525084604</v>
      </c>
      <c r="CZ85" s="59">
        <f t="shared" si="96"/>
        <v>172.82328007157236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43.940521014422252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43.940521014422252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1.7053025658242404E-13</v>
      </c>
      <c r="DP85" s="17">
        <f>DO85*VLOOKUP('Données projet'!$B$14,Paramètres!$A$1:$I$89,3,0)*VLOOKUP('Données projet'!$B$14,Paramètres!$A$1:$I$89,5,0)</f>
        <v>1.250327841262333E-13</v>
      </c>
      <c r="DQ85" s="13">
        <f t="shared" si="97"/>
        <v>1.8301318724634299E-12</v>
      </c>
      <c r="DR85" s="20">
        <f t="shared" si="70"/>
        <v>3.405245110226996E-12</v>
      </c>
      <c r="DS85" s="59">
        <f t="shared" si="71"/>
        <v>293.33333333333672</v>
      </c>
      <c r="DT85" s="59">
        <f ca="1">AVERAGE(OFFSET($DS$3,0,0,'Données projet'!$E$14+1,1))-AVERAGE(OFFSET($H$3,0,0,'Données projet'!$E$14+1,1))</f>
        <v>197.34725966440715</v>
      </c>
      <c r="DU85" s="59">
        <f t="shared" si="98"/>
        <v>240.16326570529532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23.215045694660493</v>
      </c>
      <c r="EB85" s="21">
        <f>EXP(-LN(2)/25)*EB84+(1-EXP(-LN(2)/25))/(LN(2)/25)*Calculateur!DW85*Calculateur!DY85*VLOOKUP('Données projet'!$B$14,Paramètres!$A$1:$I$89,3,0)*0.475*44/12</f>
        <v>12.682868692170201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35.897914386830692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5.6843418860808015E-14</v>
      </c>
      <c r="EK85" s="17">
        <f>EJ85*VLOOKUP('Données projet'!$B$15,Paramètres!$A$1:$I$89,3,0)*VLOOKUP('Données projet'!$B$15,Paramètres!$A$1:$I$89,5,0)</f>
        <v>4.4337866711430253E-14</v>
      </c>
      <c r="EL85" s="13">
        <f t="shared" si="99"/>
        <v>7.3222115536967035E-13</v>
      </c>
      <c r="EM85" s="20">
        <f t="shared" si="73"/>
        <v>1.3525069634579169E-12</v>
      </c>
      <c r="EN85" s="59">
        <f t="shared" si="74"/>
        <v>293.33333333333468</v>
      </c>
      <c r="EO85" s="59">
        <f ca="1">AVERAGE(OFFSET($EN$3,0,0,'Données projet'!$E$15+1,1))-AVERAGE(OFFSET($H$3,0,0,'Données projet'!$E$15+1,1))</f>
        <v>288.82868507674738</v>
      </c>
      <c r="EP85" s="59">
        <f t="shared" si="100"/>
        <v>283.48738729114024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79.772685964834807</v>
      </c>
      <c r="EW85" s="21">
        <f>EXP(-LN(2)/25)*EW84+(1-EXP(-LN(2)/25))/(LN(2)/25)*Calculateur!ER85*Calculateur!ET85*VLOOKUP('Données projet'!$B$15,Paramètres!$A$1:$I$89,3,0)*0.475*44/12</f>
        <v>35.499120626408974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115.27180659124377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8.6770000000000014</v>
      </c>
      <c r="N86" s="13">
        <f>IF('Données projet'!$A$36&gt;35,N85+M86-V85,IF(A86&lt;'Données projet'!$A$36,$K$205^A86,IF(A86='Données projet'!$A$36,'Données projet'!$B$36,N85+M86-V85)))</f>
        <v>316.67300000000023</v>
      </c>
      <c r="O86" s="13">
        <f>N86*VLOOKUP('Données projet'!$B$9,Paramètres!$A$1:$I$89,3,0)*VLOOKUP('Données projet'!$B$9,Paramètres!$A$1:$I$89,5,0)</f>
        <v>286.52573040000021</v>
      </c>
      <c r="P86" s="13">
        <f t="shared" si="87"/>
        <v>68.344228730046424</v>
      </c>
      <c r="Q86" s="20">
        <f t="shared" si="54"/>
        <v>618.06517881816455</v>
      </c>
      <c r="R86" s="59">
        <f t="shared" si="55"/>
        <v>911.39851215149793</v>
      </c>
      <c r="S86" s="59">
        <f ca="1">AVERAGE(OFFSET($R$3,0,0,'Données projet'!$E$9+1,1))-AVERAGE(OFFSET($H$3,0,0,'Données projet'!$E$9+1,1))</f>
        <v>581.88778927327667</v>
      </c>
      <c r="T86" s="59">
        <f t="shared" si="88"/>
        <v>269.67340993773422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27.830065969674738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27.830065969674738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3.6</v>
      </c>
      <c r="AI86" s="13">
        <f>IF('Données projet'!$A$62&gt;35,AI85+AH86-AQ85,IF(A86&lt;'Données projet'!$A$62,$AF$205^A86,IF(A86='Données projet'!$A$62,'Données projet'!$B$62,AI85+AH86-AQ85)))</f>
        <v>206.80000000000015</v>
      </c>
      <c r="AJ86" s="13">
        <f>AI86*VLOOKUP('Données projet'!$B$10,Paramètres!$A$1:$I$89,3,0)*VLOOKUP('Données projet'!$B$10,Paramètres!$A$1:$I$89,5,0)</f>
        <v>135.49536000000012</v>
      </c>
      <c r="AK86" s="13">
        <f t="shared" si="89"/>
        <v>35.263099712541788</v>
      </c>
      <c r="AL86" s="20">
        <f t="shared" si="58"/>
        <v>297.40431733267718</v>
      </c>
      <c r="AM86" s="59">
        <f t="shared" si="59"/>
        <v>590.7376506660105</v>
      </c>
      <c r="AN86" s="59">
        <f ca="1">AVERAGE(OFFSET($AM$3,0,0,'Données projet'!$E$10+1,1))-AVERAGE(OFFSET($H$3,0,0,'Données projet'!$E$10+1,1))</f>
        <v>230.58262378842818</v>
      </c>
      <c r="AO86" s="59">
        <f t="shared" si="90"/>
        <v>235.68746142880792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14.192225520437526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14.192225520437526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286.52573040000021</v>
      </c>
      <c r="BF86" s="13">
        <f t="shared" si="91"/>
        <v>68.344228730046424</v>
      </c>
      <c r="BG86" s="20">
        <f t="shared" si="61"/>
        <v>618.06517881816455</v>
      </c>
      <c r="BH86" s="59">
        <f t="shared" si="62"/>
        <v>911.39851215149793</v>
      </c>
      <c r="BI86" s="59">
        <f ca="1">AVERAGE(OFFSET($BH$3,0,0,'Données projet'!$E$11+1,1))-AVERAGE(OFFSET($H$3,0,0,'Données projet'!$E$11+1,1))</f>
        <v>581.88778927327667</v>
      </c>
      <c r="BJ86" s="59">
        <f t="shared" si="92"/>
        <v>269.67340993773422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27.830065969674738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27.830065969674738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301.34602680000023</v>
      </c>
      <c r="CA86" s="13">
        <f t="shared" si="93"/>
        <v>71.45856883201175</v>
      </c>
      <c r="CB86" s="20">
        <f t="shared" si="64"/>
        <v>649.30133739242081</v>
      </c>
      <c r="CC86" s="59">
        <f t="shared" si="65"/>
        <v>942.63467072575418</v>
      </c>
      <c r="CD86" s="59">
        <f ca="1">AVERAGE(OFFSET($CC$3,0,0,'Données projet'!$E$12+1,1))-AVERAGE(OFFSET($H$3,0,0,'Données projet'!$E$12+1,1))</f>
        <v>609.60019207204277</v>
      </c>
      <c r="CE86" s="59">
        <f t="shared" si="94"/>
        <v>281.42238288764503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29.269552140519991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29.269552140519991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1.5999999999905867E-2</v>
      </c>
      <c r="CU86" s="17">
        <f>CT86*VLOOKUP('Données projet'!$B$13,Paramètres!$A$1:$I$89,3,0)*VLOOKUP('Données projet'!$B$13,Paramètres!$A$1:$I$89,5,0)</f>
        <v>1.2729599999925107E-2</v>
      </c>
      <c r="CV86" s="13">
        <f t="shared" si="95"/>
        <v>9.7491417338934176E-3</v>
      </c>
      <c r="CW86" s="20">
        <f t="shared" si="67"/>
        <v>3.9150475186400593E-2</v>
      </c>
      <c r="CX86" s="59">
        <f t="shared" si="68"/>
        <v>293.37248380851969</v>
      </c>
      <c r="CY86" s="59">
        <f ca="1">AVERAGE(OFFSET($CX$3,0,0,'Données projet'!$E$13+1,1))-AVERAGE(OFFSET($H$3,0,0,'Données projet'!$E$13+1,1))</f>
        <v>172.13940525084604</v>
      </c>
      <c r="CZ86" s="59">
        <f t="shared" si="96"/>
        <v>172.82328007157236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43.078874198400868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43.078874198400868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1.7053025658242404E-13</v>
      </c>
      <c r="DP86" s="17">
        <f>DO86*VLOOKUP('Données projet'!$B$14,Paramètres!$A$1:$I$89,3,0)*VLOOKUP('Données projet'!$B$14,Paramètres!$A$1:$I$89,5,0)</f>
        <v>1.250327841262333E-13</v>
      </c>
      <c r="DQ86" s="13">
        <f t="shared" si="97"/>
        <v>1.8301318724634299E-12</v>
      </c>
      <c r="DR86" s="20">
        <f t="shared" si="70"/>
        <v>3.405245110226996E-12</v>
      </c>
      <c r="DS86" s="59">
        <f t="shared" si="71"/>
        <v>293.33333333333672</v>
      </c>
      <c r="DT86" s="59">
        <f ca="1">AVERAGE(OFFSET($DS$3,0,0,'Données projet'!$E$14+1,1))-AVERAGE(OFFSET($H$3,0,0,'Données projet'!$E$14+1,1))</f>
        <v>197.34725966440715</v>
      </c>
      <c r="DU86" s="59">
        <f t="shared" si="98"/>
        <v>240.16326570529532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22.759812808367911</v>
      </c>
      <c r="EB86" s="21">
        <f>EXP(-LN(2)/25)*EB85+(1-EXP(-LN(2)/25))/(LN(2)/25)*Calculateur!DW86*Calculateur!DY86*VLOOKUP('Données projet'!$B$14,Paramètres!$A$1:$I$89,3,0)*0.475*44/12</f>
        <v>12.33605498081973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35.095867789187643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5.6843418860808015E-14</v>
      </c>
      <c r="EK86" s="17">
        <f>EJ86*VLOOKUP('Données projet'!$B$15,Paramètres!$A$1:$I$89,3,0)*VLOOKUP('Données projet'!$B$15,Paramètres!$A$1:$I$89,5,0)</f>
        <v>4.4337866711430253E-14</v>
      </c>
      <c r="EL86" s="13">
        <f t="shared" si="99"/>
        <v>7.3222115536967035E-13</v>
      </c>
      <c r="EM86" s="20">
        <f t="shared" si="73"/>
        <v>1.3525069634579169E-12</v>
      </c>
      <c r="EN86" s="59">
        <f t="shared" si="74"/>
        <v>293.33333333333468</v>
      </c>
      <c r="EO86" s="59">
        <f ca="1">AVERAGE(OFFSET($EN$3,0,0,'Données projet'!$E$15+1,1))-AVERAGE(OFFSET($H$3,0,0,'Données projet'!$E$15+1,1))</f>
        <v>288.82868507674738</v>
      </c>
      <c r="EP86" s="59">
        <f t="shared" si="100"/>
        <v>283.48738729114024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78.208392249598404</v>
      </c>
      <c r="EW86" s="21">
        <f>EXP(-LN(2)/25)*EW85+(1-EXP(-LN(2)/25))/(LN(2)/25)*Calculateur!ER86*Calculateur!ET86*VLOOKUP('Données projet'!$B$15,Paramètres!$A$1:$I$89,3,0)*0.475*44/12</f>
        <v>34.528395306062201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112.73678755566061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325.35000000000002</v>
      </c>
      <c r="L87" s="12">
        <f>VLOOKUP(A87,'Données projet'!$A$35:$I$55,9,0)</f>
        <v>8.6770000000000014</v>
      </c>
      <c r="M87" s="12">
        <f t="array" ref="M87">INDEX(L:L,MIN(IF(ISNUMBER(L87:L283),ROW(L87:L283),"")))</f>
        <v>8.6770000000000014</v>
      </c>
      <c r="N87" s="13">
        <f>IF('Données projet'!$A$36&gt;35,N86+M87-V86,IF(A87&lt;'Données projet'!$A$36,$K$205^A87,IF(A87='Données projet'!$A$36,'Données projet'!$B$36,N86+M87-V86)))</f>
        <v>325.35000000000025</v>
      </c>
      <c r="O87" s="13">
        <f>N87*VLOOKUP('Données projet'!$B$9,Paramètres!$A$1:$I$89,3,0)*VLOOKUP('Données projet'!$B$9,Paramètres!$A$1:$I$89,5,0)</f>
        <v>294.37668000000025</v>
      </c>
      <c r="P87" s="13">
        <f t="shared" si="87"/>
        <v>69.99630449784344</v>
      </c>
      <c r="Q87" s="20">
        <f t="shared" si="54"/>
        <v>634.61628133374438</v>
      </c>
      <c r="R87" s="59">
        <f t="shared" si="55"/>
        <v>927.94961466707764</v>
      </c>
      <c r="S87" s="59">
        <f ca="1">AVERAGE(OFFSET($R$3,0,0,'Données projet'!$E$9+1,1))-AVERAGE(OFFSET($H$3,0,0,'Données projet'!$E$9+1,1))</f>
        <v>581.88778927327667</v>
      </c>
      <c r="T87" s="59">
        <f t="shared" si="88"/>
        <v>269.67340993773422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61.47</v>
      </c>
      <c r="W87" s="16">
        <f>IF(ISNA(VLOOKUP(A87,'Données projet'!$A$35:$I$55,5,0)),0%,VLOOKUP(A87,'Données projet'!$A$35:$I$55,5,0)*VLOOKUP('Données projet'!$B$9,Paramètres!$A$1:$I$89,7,0))</f>
        <v>0.25800000000000001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43.147236627276406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43.147236627276406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3.6</v>
      </c>
      <c r="AI87" s="13">
        <f>IF('Données projet'!$A$62&gt;35,AI86+AH87-AQ86,IF(A87&lt;'Données projet'!$A$62,$AF$205^A87,IF(A87='Données projet'!$A$62,'Données projet'!$B$62,AI86+AH87-AQ86)))</f>
        <v>210.40000000000015</v>
      </c>
      <c r="AJ87" s="13">
        <f>AI87*VLOOKUP('Données projet'!$B$10,Paramètres!$A$1:$I$89,3,0)*VLOOKUP('Données projet'!$B$10,Paramètres!$A$1:$I$89,5,0)</f>
        <v>137.8540800000001</v>
      </c>
      <c r="AK87" s="13">
        <f t="shared" si="89"/>
        <v>35.804964283629992</v>
      </c>
      <c r="AL87" s="20">
        <f t="shared" si="58"/>
        <v>302.45616879398909</v>
      </c>
      <c r="AM87" s="59">
        <f t="shared" si="59"/>
        <v>595.78950212732241</v>
      </c>
      <c r="AN87" s="59">
        <f ca="1">AVERAGE(OFFSET($AM$3,0,0,'Données projet'!$E$10+1,1))-AVERAGE(OFFSET($H$3,0,0,'Données projet'!$E$10+1,1))</f>
        <v>230.58262378842818</v>
      </c>
      <c r="AO87" s="59">
        <f t="shared" si="90"/>
        <v>235.68746142880792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13.913924634384566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13.913924634384566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294.37668000000025</v>
      </c>
      <c r="BF87" s="13">
        <f t="shared" si="91"/>
        <v>69.99630449784344</v>
      </c>
      <c r="BG87" s="20">
        <f t="shared" si="61"/>
        <v>634.61628133374438</v>
      </c>
      <c r="BH87" s="59">
        <f t="shared" si="62"/>
        <v>927.94961466707764</v>
      </c>
      <c r="BI87" s="59">
        <f ca="1">AVERAGE(OFFSET($BH$3,0,0,'Données projet'!$E$11+1,1))-AVERAGE(OFFSET($H$3,0,0,'Données projet'!$E$11+1,1))</f>
        <v>581.88778927327667</v>
      </c>
      <c r="BJ87" s="59">
        <f t="shared" si="92"/>
        <v>269.67340993773422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43.147236627276406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43.147236627276406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309.60306000000026</v>
      </c>
      <c r="CA87" s="13">
        <f t="shared" si="93"/>
        <v>73.185927120523928</v>
      </c>
      <c r="CB87" s="20">
        <f t="shared" si="64"/>
        <v>666.69081923491296</v>
      </c>
      <c r="CC87" s="59">
        <f t="shared" si="65"/>
        <v>960.02415256824634</v>
      </c>
      <c r="CD87" s="59">
        <f ca="1">AVERAGE(OFFSET($CC$3,0,0,'Données projet'!$E$12+1,1))-AVERAGE(OFFSET($H$3,0,0,'Données projet'!$E$12+1,1))</f>
        <v>609.60019207204277</v>
      </c>
      <c r="CE87" s="59">
        <f t="shared" si="94"/>
        <v>281.42238288764503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45.378990245928641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45.378990245928641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1.5999999999905867E-2</v>
      </c>
      <c r="CU87" s="17">
        <f>CT87*VLOOKUP('Données projet'!$B$13,Paramètres!$A$1:$I$89,3,0)*VLOOKUP('Données projet'!$B$13,Paramètres!$A$1:$I$89,5,0)</f>
        <v>1.2729599999925107E-2</v>
      </c>
      <c r="CV87" s="13">
        <f t="shared" si="95"/>
        <v>9.7491417338934176E-3</v>
      </c>
      <c r="CW87" s="20">
        <f t="shared" si="67"/>
        <v>3.9150475186400593E-2</v>
      </c>
      <c r="CX87" s="59">
        <f t="shared" si="68"/>
        <v>293.37248380851969</v>
      </c>
      <c r="CY87" s="59">
        <f ca="1">AVERAGE(OFFSET($CX$3,0,0,'Données projet'!$E$13+1,1))-AVERAGE(OFFSET($H$3,0,0,'Données projet'!$E$13+1,1))</f>
        <v>172.13940525084604</v>
      </c>
      <c r="CZ87" s="59">
        <f t="shared" si="96"/>
        <v>172.82328007157236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42.234123750888998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42.234123750888998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1.7053025658242404E-13</v>
      </c>
      <c r="DP87" s="17">
        <f>DO87*VLOOKUP('Données projet'!$B$14,Paramètres!$A$1:$I$89,3,0)*VLOOKUP('Données projet'!$B$14,Paramètres!$A$1:$I$89,5,0)</f>
        <v>1.250327841262333E-13</v>
      </c>
      <c r="DQ87" s="13">
        <f t="shared" si="97"/>
        <v>1.8301318724634299E-12</v>
      </c>
      <c r="DR87" s="20">
        <f t="shared" si="70"/>
        <v>3.405245110226996E-12</v>
      </c>
      <c r="DS87" s="59">
        <f t="shared" si="71"/>
        <v>293.33333333333672</v>
      </c>
      <c r="DT87" s="59">
        <f ca="1">AVERAGE(OFFSET($DS$3,0,0,'Données projet'!$E$14+1,1))-AVERAGE(OFFSET($H$3,0,0,'Données projet'!$E$14+1,1))</f>
        <v>197.34725966440715</v>
      </c>
      <c r="DU87" s="59">
        <f t="shared" si="98"/>
        <v>240.16326570529532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22.313506761310883</v>
      </c>
      <c r="EB87" s="21">
        <f>EXP(-LN(2)/25)*EB86+(1-EXP(-LN(2)/25))/(LN(2)/25)*Calculateur!DW87*Calculateur!DY87*VLOOKUP('Données projet'!$B$14,Paramètres!$A$1:$I$89,3,0)*0.475*44/12</f>
        <v>11.998724908644277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34.31223166995516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5.6843418860808015E-14</v>
      </c>
      <c r="EK87" s="17">
        <f>EJ87*VLOOKUP('Données projet'!$B$15,Paramètres!$A$1:$I$89,3,0)*VLOOKUP('Données projet'!$B$15,Paramètres!$A$1:$I$89,5,0)</f>
        <v>4.4337866711430253E-14</v>
      </c>
      <c r="EL87" s="13">
        <f t="shared" si="99"/>
        <v>7.3222115536967035E-13</v>
      </c>
      <c r="EM87" s="20">
        <f t="shared" si="73"/>
        <v>1.3525069634579169E-12</v>
      </c>
      <c r="EN87" s="59">
        <f t="shared" si="74"/>
        <v>293.33333333333468</v>
      </c>
      <c r="EO87" s="59">
        <f ca="1">AVERAGE(OFFSET($EN$3,0,0,'Données projet'!$E$15+1,1))-AVERAGE(OFFSET($H$3,0,0,'Données projet'!$E$15+1,1))</f>
        <v>288.82868507674738</v>
      </c>
      <c r="EP87" s="59">
        <f t="shared" si="100"/>
        <v>283.48738729114024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76.674773379992828</v>
      </c>
      <c r="EW87" s="21">
        <f>EXP(-LN(2)/25)*EW86+(1-EXP(-LN(2)/25))/(LN(2)/25)*Calculateur!ER87*Calculateur!ET87*VLOOKUP('Données projet'!$B$15,Paramètres!$A$1:$I$89,3,0)*0.475*44/12</f>
        <v>33.584214520648537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110.25898790064136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8.2910000000000021</v>
      </c>
      <c r="N88" s="13">
        <f>IF('Données projet'!$A$36&gt;35,N87+M88-V87,IF(A88&lt;'Données projet'!$A$36,$K$205^A88,IF(A88='Données projet'!$A$36,'Données projet'!$B$36,N87+M88-V87)))</f>
        <v>272.17100000000028</v>
      </c>
      <c r="O88" s="13">
        <f>N88*VLOOKUP('Données projet'!$B$9,Paramètres!$A$1:$I$89,3,0)*VLOOKUP('Données projet'!$B$9,Paramètres!$A$1:$I$89,5,0)</f>
        <v>246.26032080000024</v>
      </c>
      <c r="P88" s="13">
        <f t="shared" si="87"/>
        <v>59.784443753506842</v>
      </c>
      <c r="Q88" s="20">
        <f t="shared" si="54"/>
        <v>533.02796493069138</v>
      </c>
      <c r="R88" s="59">
        <f t="shared" si="55"/>
        <v>826.36129826402475</v>
      </c>
      <c r="S88" s="59">
        <f ca="1">AVERAGE(OFFSET($R$3,0,0,'Données projet'!$E$9+1,1))-AVERAGE(OFFSET($H$3,0,0,'Données projet'!$E$9+1,1))</f>
        <v>581.88778927327667</v>
      </c>
      <c r="T88" s="59">
        <f t="shared" si="88"/>
        <v>269.67340993773422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42.301145634231247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42.301145634231247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214</v>
      </c>
      <c r="AG88" s="12">
        <f>VLOOKUP(A88,'Données projet'!$A$61:$I$81,9,0)</f>
        <v>3.6</v>
      </c>
      <c r="AH88" s="12">
        <f t="array" ref="AH88">INDEX(AG:AG,MIN(IF(ISNUMBER(AG88:AG284),ROW(AG88:AG284),"")))</f>
        <v>3.6</v>
      </c>
      <c r="AI88" s="13">
        <f>IF('Données projet'!$A$62&gt;35,AI87+AH88-AQ87,IF(A88&lt;'Données projet'!$A$62,$AF$205^A88,IF(A88='Données projet'!$A$62,'Données projet'!$B$62,AI87+AH88-AQ87)))</f>
        <v>214.00000000000014</v>
      </c>
      <c r="AJ88" s="13">
        <f>AI88*VLOOKUP('Données projet'!$B$10,Paramètres!$A$1:$I$89,3,0)*VLOOKUP('Données projet'!$B$10,Paramètres!$A$1:$I$89,5,0)</f>
        <v>140.21280000000007</v>
      </c>
      <c r="AK88" s="13">
        <f t="shared" si="89"/>
        <v>36.345750676634587</v>
      </c>
      <c r="AL88" s="20">
        <f t="shared" si="58"/>
        <v>307.50614242847206</v>
      </c>
      <c r="AM88" s="59">
        <f t="shared" si="59"/>
        <v>600.83947576180537</v>
      </c>
      <c r="AN88" s="59">
        <f ca="1">AVERAGE(OFFSET($AM$3,0,0,'Données projet'!$E$10+1,1))-AVERAGE(OFFSET($H$3,0,0,'Données projet'!$E$10+1,1))</f>
        <v>230.58262378842818</v>
      </c>
      <c r="AO88" s="59">
        <f t="shared" si="90"/>
        <v>235.68746142880792</v>
      </c>
      <c r="AP88" s="15">
        <f>IF(ISNA(VLOOKUP(A88,'Données projet'!$A$61:$I$81,3,0)),0,VLOOKUP(A88,'Données projet'!$A$61:$I$81,3,0))</f>
        <v>16</v>
      </c>
      <c r="AQ88" s="15">
        <f>IF(ISNA(VLOOKUP(A88,'Données projet'!$A$61:$I$81,4,0)),0,VLOOKUP(A88,'Données projet'!$A$61:$I$81,4,0))</f>
        <v>14</v>
      </c>
      <c r="AR88" s="16">
        <f>IF(ISNA(VLOOKUP(A88,'Données projet'!$A$61:$I$81,5,0)),0%,VLOOKUP(A88,'Données projet'!$A$61:$I$81,5,0)*VLOOKUP('Données projet'!$B$10,Paramètres!$A$1:$I$89,7,0))</f>
        <v>0.25800000000000001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16.257267802884325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16.257267802884325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246.26032080000024</v>
      </c>
      <c r="BF88" s="13">
        <f t="shared" si="91"/>
        <v>59.784443753506842</v>
      </c>
      <c r="BG88" s="20">
        <f t="shared" si="61"/>
        <v>533.02796493069138</v>
      </c>
      <c r="BH88" s="59">
        <f t="shared" si="62"/>
        <v>826.36129826402475</v>
      </c>
      <c r="BI88" s="59">
        <f ca="1">AVERAGE(OFFSET($BH$3,0,0,'Données projet'!$E$11+1,1))-AVERAGE(OFFSET($H$3,0,0,'Données projet'!$E$11+1,1))</f>
        <v>581.88778927327667</v>
      </c>
      <c r="BJ88" s="59">
        <f t="shared" si="92"/>
        <v>269.67340993773422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42.301145634231247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42.301145634231247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258.99792360000026</v>
      </c>
      <c r="CA88" s="13">
        <f t="shared" si="93"/>
        <v>62.508727780336244</v>
      </c>
      <c r="CB88" s="20">
        <f t="shared" si="64"/>
        <v>559.95741782075277</v>
      </c>
      <c r="CC88" s="59">
        <f t="shared" si="65"/>
        <v>853.29075115408614</v>
      </c>
      <c r="CD88" s="59">
        <f ca="1">AVERAGE(OFFSET($CC$3,0,0,'Données projet'!$E$12+1,1))-AVERAGE(OFFSET($H$3,0,0,'Données projet'!$E$12+1,1))</f>
        <v>609.60019207204277</v>
      </c>
      <c r="CE88" s="59">
        <f t="shared" si="94"/>
        <v>281.42238288764503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44.48913592565701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44.48913592565701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1.5999999999905867E-2</v>
      </c>
      <c r="CU88" s="17">
        <f>CT88*VLOOKUP('Données projet'!$B$13,Paramètres!$A$1:$I$89,3,0)*VLOOKUP('Données projet'!$B$13,Paramètres!$A$1:$I$89,5,0)</f>
        <v>1.2729599999925107E-2</v>
      </c>
      <c r="CV88" s="13">
        <f t="shared" si="95"/>
        <v>9.7491417338934176E-3</v>
      </c>
      <c r="CW88" s="20">
        <f t="shared" si="67"/>
        <v>3.9150475186400593E-2</v>
      </c>
      <c r="CX88" s="59">
        <f t="shared" si="68"/>
        <v>293.37248380851969</v>
      </c>
      <c r="CY88" s="59">
        <f ca="1">AVERAGE(OFFSET($CX$3,0,0,'Données projet'!$E$13+1,1))-AVERAGE(OFFSET($H$3,0,0,'Données projet'!$E$13+1,1))</f>
        <v>172.13940525084604</v>
      </c>
      <c r="CZ88" s="59">
        <f t="shared" si="96"/>
        <v>172.82328007157236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41.405938344405939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41.405938344405939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1.7053025658242404E-13</v>
      </c>
      <c r="DP88" s="17">
        <f>DO88*VLOOKUP('Données projet'!$B$14,Paramètres!$A$1:$I$89,3,0)*VLOOKUP('Données projet'!$B$14,Paramètres!$A$1:$I$89,5,0)</f>
        <v>1.250327841262333E-13</v>
      </c>
      <c r="DQ88" s="13">
        <f t="shared" si="97"/>
        <v>1.8301318724634299E-12</v>
      </c>
      <c r="DR88" s="20">
        <f t="shared" si="70"/>
        <v>3.405245110226996E-12</v>
      </c>
      <c r="DS88" s="59">
        <f t="shared" si="71"/>
        <v>293.33333333333672</v>
      </c>
      <c r="DT88" s="59">
        <f ca="1">AVERAGE(OFFSET($DS$3,0,0,'Données projet'!$E$14+1,1))-AVERAGE(OFFSET($H$3,0,0,'Données projet'!$E$14+1,1))</f>
        <v>197.34725966440715</v>
      </c>
      <c r="DU88" s="59">
        <f t="shared" si="98"/>
        <v>240.16326570529532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21.875952503616837</v>
      </c>
      <c r="EB88" s="21">
        <f>EXP(-LN(2)/25)*EB87+(1-EXP(-LN(2)/25))/(LN(2)/25)*Calculateur!DW88*Calculateur!DY88*VLOOKUP('Données projet'!$B$14,Paramètres!$A$1:$I$89,3,0)*0.475*44/12</f>
        <v>11.67061914503188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33.546571648648715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5.6843418860808015E-14</v>
      </c>
      <c r="EK88" s="17">
        <f>EJ88*VLOOKUP('Données projet'!$B$15,Paramètres!$A$1:$I$89,3,0)*VLOOKUP('Données projet'!$B$15,Paramètres!$A$1:$I$89,5,0)</f>
        <v>4.4337866711430253E-14</v>
      </c>
      <c r="EL88" s="13">
        <f t="shared" si="99"/>
        <v>7.3222115536967035E-13</v>
      </c>
      <c r="EM88" s="20">
        <f t="shared" si="73"/>
        <v>1.3525069634579169E-12</v>
      </c>
      <c r="EN88" s="59">
        <f t="shared" si="74"/>
        <v>293.33333333333468</v>
      </c>
      <c r="EO88" s="59">
        <f ca="1">AVERAGE(OFFSET($EN$3,0,0,'Données projet'!$E$15+1,1))-AVERAGE(OFFSET($H$3,0,0,'Données projet'!$E$15+1,1))</f>
        <v>288.82868507674738</v>
      </c>
      <c r="EP88" s="59">
        <f t="shared" si="100"/>
        <v>283.48738729114024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75.171227841005077</v>
      </c>
      <c r="EW88" s="21">
        <f>EXP(-LN(2)/25)*EW87+(1-EXP(-LN(2)/25))/(LN(2)/25)*Calculateur!ER88*Calculateur!ET88*VLOOKUP('Données projet'!$B$15,Paramètres!$A$1:$I$89,3,0)*0.475*44/12</f>
        <v>32.665852408464318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107.83708024946939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8.2910000000000021</v>
      </c>
      <c r="N89" s="13">
        <f>IF('Données projet'!$A$36&gt;35,N88+M89-V88,IF(A89&lt;'Données projet'!$A$36,$K$205^A89,IF(A89='Données projet'!$A$36,'Données projet'!$B$36,N88+M89-V88)))</f>
        <v>280.46200000000027</v>
      </c>
      <c r="O89" s="13">
        <f>N89*VLOOKUP('Données projet'!$B$9,Paramètres!$A$1:$I$89,3,0)*VLOOKUP('Données projet'!$B$9,Paramètres!$A$1:$I$89,5,0)</f>
        <v>253.76201760000023</v>
      </c>
      <c r="P89" s="13">
        <f t="shared" si="87"/>
        <v>61.390818695638195</v>
      </c>
      <c r="Q89" s="20">
        <f t="shared" si="54"/>
        <v>548.89118988157031</v>
      </c>
      <c r="R89" s="59">
        <f t="shared" si="55"/>
        <v>842.22452321490368</v>
      </c>
      <c r="S89" s="59">
        <f ca="1">AVERAGE(OFFSET($R$3,0,0,'Données projet'!$E$9+1,1))-AVERAGE(OFFSET($H$3,0,0,'Données projet'!$E$9+1,1))</f>
        <v>581.88778927327667</v>
      </c>
      <c r="T89" s="59">
        <f t="shared" si="88"/>
        <v>269.67340993773422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41.471645969495157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41.471645969495157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3.4</v>
      </c>
      <c r="AI89" s="13">
        <f>IF('Données projet'!$A$62&gt;35,AI88+AH89-AQ88,IF(A89&lt;'Données projet'!$A$62,$AF$205^A89,IF(A89='Données projet'!$A$62,'Données projet'!$B$62,AI88+AH89-AQ88)))</f>
        <v>203.40000000000015</v>
      </c>
      <c r="AJ89" s="13">
        <f>AI89*VLOOKUP('Données projet'!$B$10,Paramètres!$A$1:$I$89,3,0)*VLOOKUP('Données projet'!$B$10,Paramètres!$A$1:$I$89,5,0)</f>
        <v>133.2676800000001</v>
      </c>
      <c r="AK89" s="13">
        <f t="shared" si="89"/>
        <v>34.750329840004937</v>
      </c>
      <c r="AL89" s="20">
        <f t="shared" si="58"/>
        <v>292.63136713800878</v>
      </c>
      <c r="AM89" s="59">
        <f t="shared" si="59"/>
        <v>585.9647004713421</v>
      </c>
      <c r="AN89" s="59">
        <f ca="1">AVERAGE(OFFSET($AM$3,0,0,'Données projet'!$E$10+1,1))-AVERAGE(OFFSET($H$3,0,0,'Données projet'!$E$10+1,1))</f>
        <v>230.58262378842818</v>
      </c>
      <c r="AO89" s="59">
        <f t="shared" si="90"/>
        <v>235.68746142880792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15.938472697224004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15.938472697224004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253.76201760000023</v>
      </c>
      <c r="BF89" s="13">
        <f t="shared" si="91"/>
        <v>61.390818695638195</v>
      </c>
      <c r="BG89" s="20">
        <f t="shared" si="61"/>
        <v>548.89118988157031</v>
      </c>
      <c r="BH89" s="59">
        <f t="shared" si="62"/>
        <v>842.22452321490368</v>
      </c>
      <c r="BI89" s="59">
        <f ca="1">AVERAGE(OFFSET($BH$3,0,0,'Données projet'!$E$11+1,1))-AVERAGE(OFFSET($H$3,0,0,'Données projet'!$E$11+1,1))</f>
        <v>581.88778927327667</v>
      </c>
      <c r="BJ89" s="59">
        <f t="shared" si="92"/>
        <v>269.67340993773422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41.471645969495157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41.471645969495157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266.88763920000025</v>
      </c>
      <c r="CA89" s="13">
        <f t="shared" si="93"/>
        <v>64.188302727706215</v>
      </c>
      <c r="CB89" s="20">
        <f t="shared" si="64"/>
        <v>576.62393219075545</v>
      </c>
      <c r="CC89" s="59">
        <f t="shared" si="65"/>
        <v>869.95726552408883</v>
      </c>
      <c r="CD89" s="59">
        <f ca="1">AVERAGE(OFFSET($CC$3,0,0,'Données projet'!$E$12+1,1))-AVERAGE(OFFSET($H$3,0,0,'Données projet'!$E$12+1,1))</f>
        <v>609.60019207204277</v>
      </c>
      <c r="CE89" s="59">
        <f t="shared" si="94"/>
        <v>281.42238288764503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43.616731105848366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43.616731105848366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1.5999999999905867E-2</v>
      </c>
      <c r="CU89" s="17">
        <f>CT89*VLOOKUP('Données projet'!$B$13,Paramètres!$A$1:$I$89,3,0)*VLOOKUP('Données projet'!$B$13,Paramètres!$A$1:$I$89,5,0)</f>
        <v>1.2729599999925107E-2</v>
      </c>
      <c r="CV89" s="13">
        <f t="shared" si="95"/>
        <v>9.7491417338934176E-3</v>
      </c>
      <c r="CW89" s="20">
        <f t="shared" si="67"/>
        <v>3.9150475186400593E-2</v>
      </c>
      <c r="CX89" s="59">
        <f t="shared" si="68"/>
        <v>293.37248380851969</v>
      </c>
      <c r="CY89" s="59">
        <f ca="1">AVERAGE(OFFSET($CX$3,0,0,'Données projet'!$E$13+1,1))-AVERAGE(OFFSET($H$3,0,0,'Données projet'!$E$13+1,1))</f>
        <v>172.13940525084604</v>
      </c>
      <c r="CZ89" s="59">
        <f t="shared" si="96"/>
        <v>172.82328007157236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40.593993148600795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40.593993148600795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1.7053025658242404E-13</v>
      </c>
      <c r="DP89" s="17">
        <f>DO89*VLOOKUP('Données projet'!$B$14,Paramètres!$A$1:$I$89,3,0)*VLOOKUP('Données projet'!$B$14,Paramètres!$A$1:$I$89,5,0)</f>
        <v>1.250327841262333E-13</v>
      </c>
      <c r="DQ89" s="13">
        <f t="shared" si="97"/>
        <v>1.8301318724634299E-12</v>
      </c>
      <c r="DR89" s="20">
        <f t="shared" si="70"/>
        <v>3.405245110226996E-12</v>
      </c>
      <c r="DS89" s="59">
        <f t="shared" si="71"/>
        <v>293.33333333333672</v>
      </c>
      <c r="DT89" s="59">
        <f ca="1">AVERAGE(OFFSET($DS$3,0,0,'Données projet'!$E$14+1,1))-AVERAGE(OFFSET($H$3,0,0,'Données projet'!$E$14+1,1))</f>
        <v>197.34725966440715</v>
      </c>
      <c r="DU89" s="59">
        <f t="shared" si="98"/>
        <v>240.16326570529532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21.446978418034426</v>
      </c>
      <c r="EB89" s="21">
        <f>EXP(-LN(2)/25)*EB88+(1-EXP(-LN(2)/25))/(LN(2)/25)*Calculateur!DW89*Calculateur!DY89*VLOOKUP('Données projet'!$B$14,Paramètres!$A$1:$I$89,3,0)*0.475*44/12</f>
        <v>11.351485450779796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32.798463868814224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5.6843418860808015E-14</v>
      </c>
      <c r="EK89" s="17">
        <f>EJ89*VLOOKUP('Données projet'!$B$15,Paramètres!$A$1:$I$89,3,0)*VLOOKUP('Données projet'!$B$15,Paramètres!$A$1:$I$89,5,0)</f>
        <v>4.4337866711430253E-14</v>
      </c>
      <c r="EL89" s="13">
        <f t="shared" si="99"/>
        <v>7.3222115536967035E-13</v>
      </c>
      <c r="EM89" s="20">
        <f t="shared" si="73"/>
        <v>1.3525069634579169E-12</v>
      </c>
      <c r="EN89" s="59">
        <f t="shared" si="74"/>
        <v>293.33333333333468</v>
      </c>
      <c r="EO89" s="59">
        <f ca="1">AVERAGE(OFFSET($EN$3,0,0,'Données projet'!$E$15+1,1))-AVERAGE(OFFSET($H$3,0,0,'Données projet'!$E$15+1,1))</f>
        <v>288.82868507674738</v>
      </c>
      <c r="EP89" s="59">
        <f t="shared" si="100"/>
        <v>283.48738729114024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73.69716591296465</v>
      </c>
      <c r="EW89" s="21">
        <f>EXP(-LN(2)/25)*EW88+(1-EXP(-LN(2)/25))/(LN(2)/25)*Calculateur!ER89*Calculateur!ET89*VLOOKUP('Données projet'!$B$15,Paramètres!$A$1:$I$89,3,0)*0.475*44/12</f>
        <v>31.772602956532342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105.46976886949699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8.2910000000000021</v>
      </c>
      <c r="N90" s="13">
        <f>IF('Données projet'!$A$36&gt;35,N89+M90-V89,IF(A90&lt;'Données projet'!$A$36,$K$205^A90,IF(A90='Données projet'!$A$36,'Données projet'!$B$36,N89+M90-V89)))</f>
        <v>288.75300000000027</v>
      </c>
      <c r="O90" s="13">
        <f>N90*VLOOKUP('Données projet'!$B$9,Paramètres!$A$1:$I$89,3,0)*VLOOKUP('Données projet'!$B$9,Paramètres!$A$1:$I$89,5,0)</f>
        <v>261.26371440000025</v>
      </c>
      <c r="P90" s="13">
        <f t="shared" si="87"/>
        <v>62.991674736313257</v>
      </c>
      <c r="Q90" s="20">
        <f t="shared" si="54"/>
        <v>564.74480274574603</v>
      </c>
      <c r="R90" s="59">
        <f t="shared" si="55"/>
        <v>858.07813607907929</v>
      </c>
      <c r="S90" s="59">
        <f ca="1">AVERAGE(OFFSET($R$3,0,0,'Données projet'!$E$9+1,1))-AVERAGE(OFFSET($H$3,0,0,'Données projet'!$E$9+1,1))</f>
        <v>581.88778927327667</v>
      </c>
      <c r="T90" s="59">
        <f t="shared" si="88"/>
        <v>269.67340993773422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40.658412287239706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40.658412287239706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3.4</v>
      </c>
      <c r="AI90" s="13">
        <f>IF('Données projet'!$A$62&gt;35,AI89+AH90-AQ89,IF(A90&lt;'Données projet'!$A$62,$AF$205^A90,IF(A90='Données projet'!$A$62,'Données projet'!$B$62,AI89+AH90-AQ89)))</f>
        <v>206.80000000000015</v>
      </c>
      <c r="AJ90" s="13">
        <f>AI90*VLOOKUP('Données projet'!$B$10,Paramètres!$A$1:$I$89,3,0)*VLOOKUP('Données projet'!$B$10,Paramètres!$A$1:$I$89,5,0)</f>
        <v>135.49536000000012</v>
      </c>
      <c r="AK90" s="13">
        <f t="shared" si="89"/>
        <v>35.263099712541788</v>
      </c>
      <c r="AL90" s="20">
        <f t="shared" si="58"/>
        <v>297.40431733267718</v>
      </c>
      <c r="AM90" s="59">
        <f t="shared" si="59"/>
        <v>590.7376506660105</v>
      </c>
      <c r="AN90" s="59">
        <f ca="1">AVERAGE(OFFSET($AM$3,0,0,'Données projet'!$E$10+1,1))-AVERAGE(OFFSET($H$3,0,0,'Données projet'!$E$10+1,1))</f>
        <v>230.58262378842818</v>
      </c>
      <c r="AO90" s="59">
        <f t="shared" si="90"/>
        <v>235.68746142880792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15.625928969139867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15.625928969139867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261.26371440000025</v>
      </c>
      <c r="BF90" s="13">
        <f t="shared" si="91"/>
        <v>62.991674736313257</v>
      </c>
      <c r="BG90" s="20">
        <f t="shared" si="61"/>
        <v>564.74480274574603</v>
      </c>
      <c r="BH90" s="59">
        <f t="shared" si="62"/>
        <v>858.07813607907929</v>
      </c>
      <c r="BI90" s="59">
        <f ca="1">AVERAGE(OFFSET($BH$3,0,0,'Données projet'!$E$11+1,1))-AVERAGE(OFFSET($H$3,0,0,'Données projet'!$E$11+1,1))</f>
        <v>581.88778927327667</v>
      </c>
      <c r="BJ90" s="59">
        <f t="shared" si="92"/>
        <v>269.67340993773422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40.658412287239706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40.658412287239706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274.7773548000003</v>
      </c>
      <c r="CA90" s="13">
        <f t="shared" si="93"/>
        <v>65.862107285872696</v>
      </c>
      <c r="CB90" s="20">
        <f t="shared" si="64"/>
        <v>593.28039646622881</v>
      </c>
      <c r="CC90" s="59">
        <f t="shared" si="65"/>
        <v>886.61372979956218</v>
      </c>
      <c r="CD90" s="59">
        <f ca="1">AVERAGE(OFFSET($CC$3,0,0,'Données projet'!$E$12+1,1))-AVERAGE(OFFSET($H$3,0,0,'Données projet'!$E$12+1,1))</f>
        <v>609.60019207204277</v>
      </c>
      <c r="CE90" s="59">
        <f t="shared" si="94"/>
        <v>281.42238288764503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42.76143361244177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42.76143361244177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1.5999999999905867E-2</v>
      </c>
      <c r="CU90" s="17">
        <f>CT90*VLOOKUP('Données projet'!$B$13,Paramètres!$A$1:$I$89,3,0)*VLOOKUP('Données projet'!$B$13,Paramètres!$A$1:$I$89,5,0)</f>
        <v>1.2729599999925107E-2</v>
      </c>
      <c r="CV90" s="13">
        <f t="shared" si="95"/>
        <v>9.7491417338934176E-3</v>
      </c>
      <c r="CW90" s="20">
        <f t="shared" si="67"/>
        <v>3.9150475186400593E-2</v>
      </c>
      <c r="CX90" s="59">
        <f t="shared" si="68"/>
        <v>293.37248380851969</v>
      </c>
      <c r="CY90" s="59">
        <f ca="1">AVERAGE(OFFSET($CX$3,0,0,'Données projet'!$E$13+1,1))-AVERAGE(OFFSET($H$3,0,0,'Données projet'!$E$13+1,1))</f>
        <v>172.13940525084604</v>
      </c>
      <c r="CZ90" s="59">
        <f t="shared" si="96"/>
        <v>172.82328007157236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39.797969702847716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39.797969702847716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1.7053025658242404E-13</v>
      </c>
      <c r="DP90" s="17">
        <f>DO90*VLOOKUP('Données projet'!$B$14,Paramètres!$A$1:$I$89,3,0)*VLOOKUP('Données projet'!$B$14,Paramètres!$A$1:$I$89,5,0)</f>
        <v>1.250327841262333E-13</v>
      </c>
      <c r="DQ90" s="13">
        <f t="shared" si="97"/>
        <v>1.8301318724634299E-12</v>
      </c>
      <c r="DR90" s="20">
        <f t="shared" si="70"/>
        <v>3.405245110226996E-12</v>
      </c>
      <c r="DS90" s="59">
        <f t="shared" si="71"/>
        <v>293.33333333333672</v>
      </c>
      <c r="DT90" s="59">
        <f ca="1">AVERAGE(OFFSET($DS$3,0,0,'Données projet'!$E$14+1,1))-AVERAGE(OFFSET($H$3,0,0,'Données projet'!$E$14+1,1))</f>
        <v>197.34725966440715</v>
      </c>
      <c r="DU90" s="59">
        <f t="shared" si="98"/>
        <v>240.16326570529532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21.026416252621928</v>
      </c>
      <c r="EB90" s="21">
        <f>EXP(-LN(2)/25)*EB89+(1-EXP(-LN(2)/25))/(LN(2)/25)*Calculateur!DW90*Calculateur!DY90*VLOOKUP('Données projet'!$B$14,Paramètres!$A$1:$I$89,3,0)*0.475*44/12</f>
        <v>11.041078484179547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32.067494736801478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5.6843418860808015E-14</v>
      </c>
      <c r="EK90" s="17">
        <f>EJ90*VLOOKUP('Données projet'!$B$15,Paramètres!$A$1:$I$89,3,0)*VLOOKUP('Données projet'!$B$15,Paramètres!$A$1:$I$89,5,0)</f>
        <v>4.4337866711430253E-14</v>
      </c>
      <c r="EL90" s="13">
        <f t="shared" si="99"/>
        <v>7.3222115536967035E-13</v>
      </c>
      <c r="EM90" s="20">
        <f t="shared" si="73"/>
        <v>1.3525069634579169E-12</v>
      </c>
      <c r="EN90" s="59">
        <f t="shared" si="74"/>
        <v>293.33333333333468</v>
      </c>
      <c r="EO90" s="59">
        <f ca="1">AVERAGE(OFFSET($EN$3,0,0,'Données projet'!$E$15+1,1))-AVERAGE(OFFSET($H$3,0,0,'Données projet'!$E$15+1,1))</f>
        <v>288.82868507674738</v>
      </c>
      <c r="EP90" s="59">
        <f t="shared" si="100"/>
        <v>283.48738729114024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72.252009440244095</v>
      </c>
      <c r="EW90" s="21">
        <f>EXP(-LN(2)/25)*EW89+(1-EXP(-LN(2)/25))/(LN(2)/25)*Calculateur!ER90*Calculateur!ET90*VLOOKUP('Données projet'!$B$15,Paramètres!$A$1:$I$89,3,0)*0.475*44/12</f>
        <v>30.903779457837395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103.15578889808148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8.2910000000000021</v>
      </c>
      <c r="N91" s="13">
        <f>IF('Données projet'!$A$36&gt;35,N90+M91-V90,IF(A91&lt;'Données projet'!$A$36,$K$205^A91,IF(A91='Données projet'!$A$36,'Données projet'!$B$36,N90+M91-V90)))</f>
        <v>297.04400000000027</v>
      </c>
      <c r="O91" s="13">
        <f>N91*VLOOKUP('Données projet'!$B$9,Paramètres!$A$1:$I$89,3,0)*VLOOKUP('Données projet'!$B$9,Paramètres!$A$1:$I$89,5,0)</f>
        <v>268.76541120000024</v>
      </c>
      <c r="P91" s="13">
        <f t="shared" si="87"/>
        <v>64.587188539623412</v>
      </c>
      <c r="Q91" s="20">
        <f t="shared" si="54"/>
        <v>580.58911121317794</v>
      </c>
      <c r="R91" s="59">
        <f t="shared" si="55"/>
        <v>873.92244454651131</v>
      </c>
      <c r="S91" s="59">
        <f ca="1">AVERAGE(OFFSET($R$3,0,0,'Données projet'!$E$9+1,1))-AVERAGE(OFFSET($H$3,0,0,'Données projet'!$E$9+1,1))</f>
        <v>581.88778927327667</v>
      </c>
      <c r="T91" s="59">
        <f t="shared" si="88"/>
        <v>269.67340993773422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39.861125621469718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39.861125621469718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3.4</v>
      </c>
      <c r="AI91" s="13">
        <f>IF('Données projet'!$A$62&gt;35,AI90+AH91-AQ90,IF(A91&lt;'Données projet'!$A$62,$AF$205^A91,IF(A91='Données projet'!$A$62,'Données projet'!$B$62,AI90+AH91-AQ90)))</f>
        <v>210.20000000000016</v>
      </c>
      <c r="AJ91" s="13">
        <f>AI91*VLOOKUP('Données projet'!$B$10,Paramètres!$A$1:$I$89,3,0)*VLOOKUP('Données projet'!$B$10,Paramètres!$A$1:$I$89,5,0)</f>
        <v>137.72304000000011</v>
      </c>
      <c r="AK91" s="13">
        <f t="shared" si="89"/>
        <v>35.774889172094717</v>
      </c>
      <c r="AL91" s="20">
        <f t="shared" si="58"/>
        <v>302.17555997473181</v>
      </c>
      <c r="AM91" s="59">
        <f t="shared" si="59"/>
        <v>595.50889330806513</v>
      </c>
      <c r="AN91" s="59">
        <f ca="1">AVERAGE(OFFSET($AM$3,0,0,'Données projet'!$E$10+1,1))-AVERAGE(OFFSET($H$3,0,0,'Données projet'!$E$10+1,1))</f>
        <v>230.58262378842818</v>
      </c>
      <c r="AO91" s="59">
        <f t="shared" si="90"/>
        <v>235.68746142880792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15.319514032930609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15.319514032930609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268.76541120000024</v>
      </c>
      <c r="BF91" s="13">
        <f t="shared" si="91"/>
        <v>64.587188539623412</v>
      </c>
      <c r="BG91" s="20">
        <f t="shared" si="61"/>
        <v>580.58911121317794</v>
      </c>
      <c r="BH91" s="59">
        <f t="shared" si="62"/>
        <v>873.92244454651131</v>
      </c>
      <c r="BI91" s="59">
        <f ca="1">AVERAGE(OFFSET($BH$3,0,0,'Données projet'!$E$11+1,1))-AVERAGE(OFFSET($H$3,0,0,'Données projet'!$E$11+1,1))</f>
        <v>581.88778927327667</v>
      </c>
      <c r="BJ91" s="59">
        <f t="shared" si="92"/>
        <v>269.67340993773422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39.861125621469718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39.861125621469718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282.66707040000023</v>
      </c>
      <c r="CA91" s="13">
        <f t="shared" si="93"/>
        <v>67.530326169234471</v>
      </c>
      <c r="CB91" s="20">
        <f t="shared" si="64"/>
        <v>609.92713235808367</v>
      </c>
      <c r="CC91" s="59">
        <f t="shared" si="65"/>
        <v>903.26046569141704</v>
      </c>
      <c r="CD91" s="59">
        <f ca="1">AVERAGE(OFFSET($CC$3,0,0,'Données projet'!$E$12+1,1))-AVERAGE(OFFSET($H$3,0,0,'Données projet'!$E$12+1,1))</f>
        <v>609.60019207204277</v>
      </c>
      <c r="CE91" s="59">
        <f t="shared" si="94"/>
        <v>281.42238288764503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41.922907981200915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41.922907981200915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1.5999999999905867E-2</v>
      </c>
      <c r="CU91" s="17">
        <f>CT91*VLOOKUP('Données projet'!$B$13,Paramètres!$A$1:$I$89,3,0)*VLOOKUP('Données projet'!$B$13,Paramètres!$A$1:$I$89,5,0)</f>
        <v>1.2729599999925107E-2</v>
      </c>
      <c r="CV91" s="13">
        <f t="shared" si="95"/>
        <v>9.7491417338934176E-3</v>
      </c>
      <c r="CW91" s="20">
        <f t="shared" si="67"/>
        <v>3.9150475186400593E-2</v>
      </c>
      <c r="CX91" s="59">
        <f t="shared" si="68"/>
        <v>293.37248380851969</v>
      </c>
      <c r="CY91" s="59">
        <f ca="1">AVERAGE(OFFSET($CX$3,0,0,'Données projet'!$E$13+1,1))-AVERAGE(OFFSET($H$3,0,0,'Données projet'!$E$13+1,1))</f>
        <v>172.13940525084604</v>
      </c>
      <c r="CZ91" s="59">
        <f t="shared" si="96"/>
        <v>172.82328007157236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39.017555791339497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39.017555791339497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1.7053025658242404E-13</v>
      </c>
      <c r="DP91" s="17">
        <f>DO91*VLOOKUP('Données projet'!$B$14,Paramètres!$A$1:$I$89,3,0)*VLOOKUP('Données projet'!$B$14,Paramètres!$A$1:$I$89,5,0)</f>
        <v>1.250327841262333E-13</v>
      </c>
      <c r="DQ91" s="13">
        <f t="shared" si="97"/>
        <v>1.8301318724634299E-12</v>
      </c>
      <c r="DR91" s="20">
        <f t="shared" si="70"/>
        <v>3.405245110226996E-12</v>
      </c>
      <c r="DS91" s="59">
        <f t="shared" si="71"/>
        <v>293.33333333333672</v>
      </c>
      <c r="DT91" s="59">
        <f ca="1">AVERAGE(OFFSET($DS$3,0,0,'Données projet'!$E$14+1,1))-AVERAGE(OFFSET($H$3,0,0,'Données projet'!$E$14+1,1))</f>
        <v>197.34725966440715</v>
      </c>
      <c r="DU91" s="59">
        <f t="shared" si="98"/>
        <v>240.16326570529532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20.614101054755576</v>
      </c>
      <c r="EB91" s="21">
        <f>EXP(-LN(2)/25)*EB90+(1-EXP(-LN(2)/25))/(LN(2)/25)*Calculateur!DW91*Calculateur!DY91*VLOOKUP('Données projet'!$B$14,Paramètres!$A$1:$I$89,3,0)*0.475*44/12</f>
        <v>10.739159612404574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31.35326066716015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5.6843418860808015E-14</v>
      </c>
      <c r="EK91" s="17">
        <f>EJ91*VLOOKUP('Données projet'!$B$15,Paramètres!$A$1:$I$89,3,0)*VLOOKUP('Données projet'!$B$15,Paramètres!$A$1:$I$89,5,0)</f>
        <v>4.4337866711430253E-14</v>
      </c>
      <c r="EL91" s="13">
        <f t="shared" si="99"/>
        <v>7.3222115536967035E-13</v>
      </c>
      <c r="EM91" s="20">
        <f t="shared" si="73"/>
        <v>1.3525069634579169E-12</v>
      </c>
      <c r="EN91" s="59">
        <f t="shared" si="74"/>
        <v>293.33333333333468</v>
      </c>
      <c r="EO91" s="59">
        <f ca="1">AVERAGE(OFFSET($EN$3,0,0,'Données projet'!$E$15+1,1))-AVERAGE(OFFSET($H$3,0,0,'Données projet'!$E$15+1,1))</f>
        <v>288.82868507674738</v>
      </c>
      <c r="EP91" s="59">
        <f t="shared" si="100"/>
        <v>283.48738729114024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70.835191604495179</v>
      </c>
      <c r="EW91" s="21">
        <f>EXP(-LN(2)/25)*EW90+(1-EXP(-LN(2)/25))/(LN(2)/25)*Calculateur!ER91*Calculateur!ET91*VLOOKUP('Données projet'!$B$15,Paramètres!$A$1:$I$89,3,0)*0.475*44/12</f>
        <v>30.058713983403702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100.89390558789889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8.2910000000000021</v>
      </c>
      <c r="N92" s="13">
        <f>IF('Données projet'!$A$36&gt;35,N91+M92-V91,IF(A92&lt;'Données projet'!$A$36,$K$205^A92,IF(A92='Données projet'!$A$36,'Données projet'!$B$36,N91+M92-V91)))</f>
        <v>305.33500000000026</v>
      </c>
      <c r="O92" s="13">
        <f>N92*VLOOKUP('Données projet'!$B$9,Paramètres!$A$1:$I$89,3,0)*VLOOKUP('Données projet'!$B$9,Paramètres!$A$1:$I$89,5,0)</f>
        <v>276.26710800000023</v>
      </c>
      <c r="P92" s="13">
        <f t="shared" si="87"/>
        <v>66.177526346547864</v>
      </c>
      <c r="Q92" s="20">
        <f t="shared" si="54"/>
        <v>596.42440482023801</v>
      </c>
      <c r="R92" s="59">
        <f t="shared" si="55"/>
        <v>889.75773815357138</v>
      </c>
      <c r="S92" s="59">
        <f ca="1">AVERAGE(OFFSET($R$3,0,0,'Données projet'!$E$9+1,1))-AVERAGE(OFFSET($H$3,0,0,'Données projet'!$E$9+1,1))</f>
        <v>581.88778927327667</v>
      </c>
      <c r="T92" s="59">
        <f t="shared" si="88"/>
        <v>269.67340993773422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39.079473260918625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39.079473260918625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3.4</v>
      </c>
      <c r="AI92" s="13">
        <f>IF('Données projet'!$A$62&gt;35,AI91+AH92-AQ91,IF(A92&lt;'Données projet'!$A$62,$AF$205^A92,IF(A92='Données projet'!$A$62,'Données projet'!$B$62,AI91+AH92-AQ91)))</f>
        <v>213.60000000000016</v>
      </c>
      <c r="AJ92" s="13">
        <f>AI92*VLOOKUP('Données projet'!$B$10,Paramètres!$A$1:$I$89,3,0)*VLOOKUP('Données projet'!$B$10,Paramètres!$A$1:$I$89,5,0)</f>
        <v>139.9507200000001</v>
      </c>
      <c r="AK92" s="13">
        <f t="shared" si="89"/>
        <v>36.285715907711953</v>
      </c>
      <c r="AL92" s="20">
        <f t="shared" si="58"/>
        <v>306.94512587259851</v>
      </c>
      <c r="AM92" s="59">
        <f t="shared" si="59"/>
        <v>600.27845920593177</v>
      </c>
      <c r="AN92" s="59">
        <f ca="1">AVERAGE(OFFSET($AM$3,0,0,'Données projet'!$E$10+1,1))-AVERAGE(OFFSET($H$3,0,0,'Données projet'!$E$10+1,1))</f>
        <v>230.58262378842818</v>
      </c>
      <c r="AO92" s="59">
        <f t="shared" si="90"/>
        <v>235.68746142880792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15.019107706725759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15.019107706725759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276.26710800000023</v>
      </c>
      <c r="BF92" s="13">
        <f t="shared" si="91"/>
        <v>66.177526346547864</v>
      </c>
      <c r="BG92" s="20">
        <f t="shared" si="61"/>
        <v>596.42440482023801</v>
      </c>
      <c r="BH92" s="59">
        <f t="shared" si="62"/>
        <v>889.75773815357138</v>
      </c>
      <c r="BI92" s="59">
        <f ca="1">AVERAGE(OFFSET($BH$3,0,0,'Données projet'!$E$11+1,1))-AVERAGE(OFFSET($H$3,0,0,'Données projet'!$E$11+1,1))</f>
        <v>581.88778927327667</v>
      </c>
      <c r="BJ92" s="59">
        <f t="shared" si="92"/>
        <v>269.67340993773422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39.079473260918625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39.079473260918625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290.55678600000027</v>
      </c>
      <c r="CA92" s="13">
        <f t="shared" si="93"/>
        <v>69.193133194113571</v>
      </c>
      <c r="CB92" s="20">
        <f t="shared" si="64"/>
        <v>626.56444259641489</v>
      </c>
      <c r="CC92" s="59">
        <f t="shared" si="65"/>
        <v>919.89777592974815</v>
      </c>
      <c r="CD92" s="59">
        <f ca="1">AVERAGE(OFFSET($CC$3,0,0,'Données projet'!$E$12+1,1))-AVERAGE(OFFSET($H$3,0,0,'Données projet'!$E$12+1,1))</f>
        <v>609.60019207204277</v>
      </c>
      <c r="CE92" s="59">
        <f t="shared" si="94"/>
        <v>281.42238288764503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41.100825326138562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41.100825326138562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1.5999999999905867E-2</v>
      </c>
      <c r="CU92" s="17">
        <f>CT92*VLOOKUP('Données projet'!$B$13,Paramètres!$A$1:$I$89,3,0)*VLOOKUP('Données projet'!$B$13,Paramètres!$A$1:$I$89,5,0)</f>
        <v>1.2729599999925107E-2</v>
      </c>
      <c r="CV92" s="13">
        <f t="shared" si="95"/>
        <v>9.7491417338934176E-3</v>
      </c>
      <c r="CW92" s="20">
        <f t="shared" si="67"/>
        <v>3.9150475186400593E-2</v>
      </c>
      <c r="CX92" s="59">
        <f t="shared" si="68"/>
        <v>293.37248380851969</v>
      </c>
      <c r="CY92" s="59">
        <f ca="1">AVERAGE(OFFSET($CX$3,0,0,'Données projet'!$E$13+1,1))-AVERAGE(OFFSET($H$3,0,0,'Données projet'!$E$13+1,1))</f>
        <v>172.13940525084604</v>
      </c>
      <c r="CZ92" s="59">
        <f t="shared" si="96"/>
        <v>172.82328007157236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38.252445320630471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38.252445320630471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1.7053025658242404E-13</v>
      </c>
      <c r="DP92" s="17">
        <f>DO92*VLOOKUP('Données projet'!$B$14,Paramètres!$A$1:$I$89,3,0)*VLOOKUP('Données projet'!$B$14,Paramètres!$A$1:$I$89,5,0)</f>
        <v>1.250327841262333E-13</v>
      </c>
      <c r="DQ92" s="13">
        <f t="shared" si="97"/>
        <v>1.8301318724634299E-12</v>
      </c>
      <c r="DR92" s="20">
        <f t="shared" si="70"/>
        <v>3.405245110226996E-12</v>
      </c>
      <c r="DS92" s="59">
        <f t="shared" si="71"/>
        <v>293.33333333333672</v>
      </c>
      <c r="DT92" s="59">
        <f ca="1">AVERAGE(OFFSET($DS$3,0,0,'Données projet'!$E$14+1,1))-AVERAGE(OFFSET($H$3,0,0,'Données projet'!$E$14+1,1))</f>
        <v>197.34725966440715</v>
      </c>
      <c r="DU92" s="59">
        <f t="shared" si="98"/>
        <v>240.16326570529532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20.209871106431947</v>
      </c>
      <c r="EB92" s="21">
        <f>EXP(-LN(2)/25)*EB91+(1-EXP(-LN(2)/25))/(LN(2)/25)*Calculateur!DW92*Calculateur!DY92*VLOOKUP('Données projet'!$B$14,Paramètres!$A$1:$I$89,3,0)*0.475*44/12</f>
        <v>10.445496728055511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30.655367834487457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5.6843418860808015E-14</v>
      </c>
      <c r="EK92" s="17">
        <f>EJ92*VLOOKUP('Données projet'!$B$15,Paramètres!$A$1:$I$89,3,0)*VLOOKUP('Données projet'!$B$15,Paramètres!$A$1:$I$89,5,0)</f>
        <v>4.4337866711430253E-14</v>
      </c>
      <c r="EL92" s="13">
        <f t="shared" si="99"/>
        <v>7.3222115536967035E-13</v>
      </c>
      <c r="EM92" s="20">
        <f t="shared" si="73"/>
        <v>1.3525069634579169E-12</v>
      </c>
      <c r="EN92" s="59">
        <f t="shared" si="74"/>
        <v>293.33333333333468</v>
      </c>
      <c r="EO92" s="59">
        <f ca="1">AVERAGE(OFFSET($EN$3,0,0,'Données projet'!$E$15+1,1))-AVERAGE(OFFSET($H$3,0,0,'Données projet'!$E$15+1,1))</f>
        <v>288.82868507674738</v>
      </c>
      <c r="EP92" s="59">
        <f t="shared" si="100"/>
        <v>283.48738729114024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69.446156702331749</v>
      </c>
      <c r="EW92" s="21">
        <f>EXP(-LN(2)/25)*EW91+(1-EXP(-LN(2)/25))/(LN(2)/25)*Calculateur!ER92*Calculateur!ET92*VLOOKUP('Données projet'!$B$15,Paramètres!$A$1:$I$89,3,0)*0.475*44/12</f>
        <v>29.23675686880846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98.682913571140205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8.2910000000000021</v>
      </c>
      <c r="N93" s="13">
        <f>IF('Données projet'!$A$36&gt;35,N92+M93-V92,IF(A93&lt;'Données projet'!$A$36,$K$205^A93,IF(A93='Données projet'!$A$36,'Données projet'!$B$36,N92+M93-V92)))</f>
        <v>313.62600000000026</v>
      </c>
      <c r="O93" s="13">
        <f>N93*VLOOKUP('Données projet'!$B$9,Paramètres!$A$1:$I$89,3,0)*VLOOKUP('Données projet'!$B$9,Paramètres!$A$1:$I$89,5,0)</f>
        <v>283.76880480000023</v>
      </c>
      <c r="P93" s="13">
        <f t="shared" si="87"/>
        <v>67.762844856024827</v>
      </c>
      <c r="Q93" s="20">
        <f t="shared" si="54"/>
        <v>612.2509564842436</v>
      </c>
      <c r="R93" s="59">
        <f t="shared" si="55"/>
        <v>905.58428981757697</v>
      </c>
      <c r="S93" s="59">
        <f ca="1">AVERAGE(OFFSET($R$3,0,0,'Données projet'!$E$9+1,1))-AVERAGE(OFFSET($H$3,0,0,'Données projet'!$E$9+1,1))</f>
        <v>581.88778927327667</v>
      </c>
      <c r="T93" s="59">
        <f t="shared" si="88"/>
        <v>269.67340993773422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38.31314862639708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38.31314862639708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217</v>
      </c>
      <c r="AG93" s="12">
        <f>VLOOKUP(A93,'Données projet'!$A$61:$I$81,9,0)</f>
        <v>3.4</v>
      </c>
      <c r="AH93" s="12">
        <f t="array" ref="AH93">INDEX(AG:AG,MIN(IF(ISNUMBER(AG93:AG289),ROW(AG93:AG289),"")))</f>
        <v>3.4</v>
      </c>
      <c r="AI93" s="13">
        <f>IF('Données projet'!$A$62&gt;35,AI92+AH93-AQ92,IF(A93&lt;'Données projet'!$A$62,$AF$205^A93,IF(A93='Données projet'!$A$62,'Données projet'!$B$62,AI92+AH93-AQ92)))</f>
        <v>217.00000000000017</v>
      </c>
      <c r="AJ93" s="13">
        <f>AI93*VLOOKUP('Données projet'!$B$10,Paramètres!$A$1:$I$89,3,0)*VLOOKUP('Données projet'!$B$10,Paramètres!$A$1:$I$89,5,0)</f>
        <v>142.17840000000012</v>
      </c>
      <c r="AK93" s="13">
        <f t="shared" si="89"/>
        <v>36.795597013009385</v>
      </c>
      <c r="AL93" s="20">
        <f t="shared" si="58"/>
        <v>311.71304479765826</v>
      </c>
      <c r="AM93" s="59">
        <f t="shared" si="59"/>
        <v>605.04637813099157</v>
      </c>
      <c r="AN93" s="59">
        <f ca="1">AVERAGE(OFFSET($AM$3,0,0,'Données projet'!$E$10+1,1))-AVERAGE(OFFSET($H$3,0,0,'Données projet'!$E$10+1,1))</f>
        <v>230.58262378842818</v>
      </c>
      <c r="AO93" s="59">
        <f t="shared" si="90"/>
        <v>235.68746142880792</v>
      </c>
      <c r="AP93" s="15">
        <f>IF(ISNA(VLOOKUP(A93,'Données projet'!$A$61:$I$81,3,0)),0,VLOOKUP(A93,'Données projet'!$A$61:$I$81,3,0))</f>
        <v>17</v>
      </c>
      <c r="AQ93" s="15">
        <f>IF(ISNA(VLOOKUP(A93,'Données projet'!$A$61:$I$81,4,0)),0,VLOOKUP(A93,'Données projet'!$A$61:$I$81,4,0))</f>
        <v>217</v>
      </c>
      <c r="AR93" s="16">
        <f>IF(ISNA(VLOOKUP(A93,'Données projet'!$A$61:$I$81,5,0)),0%,VLOOKUP(A93,'Données projet'!$A$61:$I$81,5,0)*VLOOKUP('Données projet'!$B$10,Paramètres!$A$1:$I$89,7,0))</f>
        <v>0.25800000000000001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55.275486696170027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55.275486696170027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283.76880480000023</v>
      </c>
      <c r="BF93" s="13">
        <f t="shared" si="91"/>
        <v>67.762844856024827</v>
      </c>
      <c r="BG93" s="20">
        <f t="shared" si="61"/>
        <v>612.2509564842436</v>
      </c>
      <c r="BH93" s="59">
        <f t="shared" si="62"/>
        <v>905.58428981757697</v>
      </c>
      <c r="BI93" s="59">
        <f ca="1">AVERAGE(OFFSET($BH$3,0,0,'Données projet'!$E$11+1,1))-AVERAGE(OFFSET($H$3,0,0,'Données projet'!$E$11+1,1))</f>
        <v>581.88778927327667</v>
      </c>
      <c r="BJ93" s="59">
        <f t="shared" si="92"/>
        <v>269.67340993773422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38.31314862639708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38.31314862639708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298.44650160000026</v>
      </c>
      <c r="CA93" s="13">
        <f t="shared" si="93"/>
        <v>70.850692199974645</v>
      </c>
      <c r="CB93" s="20">
        <f t="shared" si="64"/>
        <v>643.19261253495631</v>
      </c>
      <c r="CC93" s="59">
        <f t="shared" si="65"/>
        <v>936.52594586828968</v>
      </c>
      <c r="CD93" s="59">
        <f ca="1">AVERAGE(OFFSET($CC$3,0,0,'Données projet'!$E$12+1,1))-AVERAGE(OFFSET($H$3,0,0,'Données projet'!$E$12+1,1))</f>
        <v>609.60019207204277</v>
      </c>
      <c r="CE93" s="59">
        <f t="shared" si="94"/>
        <v>281.42238288764503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40.294863210521072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40.294863210521072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1.5999999999905867E-2</v>
      </c>
      <c r="CU93" s="17">
        <f>CT93*VLOOKUP('Données projet'!$B$13,Paramètres!$A$1:$I$89,3,0)*VLOOKUP('Données projet'!$B$13,Paramètres!$A$1:$I$89,5,0)</f>
        <v>1.2729599999925107E-2</v>
      </c>
      <c r="CV93" s="13">
        <f t="shared" si="95"/>
        <v>9.7491417338934176E-3</v>
      </c>
      <c r="CW93" s="20">
        <f t="shared" si="67"/>
        <v>3.9150475186400593E-2</v>
      </c>
      <c r="CX93" s="59">
        <f t="shared" si="68"/>
        <v>293.37248380851969</v>
      </c>
      <c r="CY93" s="59">
        <f ca="1">AVERAGE(OFFSET($CX$3,0,0,'Données projet'!$E$13+1,1))-AVERAGE(OFFSET($H$3,0,0,'Données projet'!$E$13+1,1))</f>
        <v>172.13940525084604</v>
      </c>
      <c r="CZ93" s="59">
        <f t="shared" si="96"/>
        <v>172.82328007157236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37.502338199580741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37.502338199580741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1.7053025658242404E-13</v>
      </c>
      <c r="DP93" s="17">
        <f>DO93*VLOOKUP('Données projet'!$B$14,Paramètres!$A$1:$I$89,3,0)*VLOOKUP('Données projet'!$B$14,Paramètres!$A$1:$I$89,5,0)</f>
        <v>1.250327841262333E-13</v>
      </c>
      <c r="DQ93" s="13">
        <f t="shared" si="97"/>
        <v>1.8301318724634299E-12</v>
      </c>
      <c r="DR93" s="20">
        <f t="shared" si="70"/>
        <v>3.405245110226996E-12</v>
      </c>
      <c r="DS93" s="59">
        <f t="shared" si="71"/>
        <v>293.33333333333672</v>
      </c>
      <c r="DT93" s="59">
        <f ca="1">AVERAGE(OFFSET($DS$3,0,0,'Données projet'!$E$14+1,1))-AVERAGE(OFFSET($H$3,0,0,'Données projet'!$E$14+1,1))</f>
        <v>197.34725966440715</v>
      </c>
      <c r="DU93" s="59">
        <f t="shared" si="98"/>
        <v>240.16326570529532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19.813567860839022</v>
      </c>
      <c r="EB93" s="21">
        <f>EXP(-LN(2)/25)*EB92+(1-EXP(-LN(2)/25))/(LN(2)/25)*Calculateur!DW93*Calculateur!DY93*VLOOKUP('Données projet'!$B$14,Paramètres!$A$1:$I$89,3,0)*0.475*44/12</f>
        <v>10.159864070722033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29.973431931561056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5.6843418860808015E-14</v>
      </c>
      <c r="EK93" s="17">
        <f>EJ93*VLOOKUP('Données projet'!$B$15,Paramètres!$A$1:$I$89,3,0)*VLOOKUP('Données projet'!$B$15,Paramètres!$A$1:$I$89,5,0)</f>
        <v>4.4337866711430253E-14</v>
      </c>
      <c r="EL93" s="13">
        <f t="shared" si="99"/>
        <v>7.3222115536967035E-13</v>
      </c>
      <c r="EM93" s="20">
        <f t="shared" si="73"/>
        <v>1.3525069634579169E-12</v>
      </c>
      <c r="EN93" s="59">
        <f t="shared" si="74"/>
        <v>293.33333333333468</v>
      </c>
      <c r="EO93" s="59">
        <f ca="1">AVERAGE(OFFSET($EN$3,0,0,'Données projet'!$E$15+1,1))-AVERAGE(OFFSET($H$3,0,0,'Données projet'!$E$15+1,1))</f>
        <v>288.82868507674738</v>
      </c>
      <c r="EP93" s="59">
        <f t="shared" si="100"/>
        <v>283.48738729114024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68.084359927372105</v>
      </c>
      <c r="EW93" s="21">
        <f>EXP(-LN(2)/25)*EW92+(1-EXP(-LN(2)/25))/(LN(2)/25)*Calculateur!ER93*Calculateur!ET93*VLOOKUP('Données projet'!$B$15,Paramètres!$A$1:$I$89,3,0)*0.475*44/12</f>
        <v>28.43727621473667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96.521636142108775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8.2910000000000021</v>
      </c>
      <c r="N94" s="13">
        <f>IF('Données projet'!$A$36&gt;35,N93+M94-V93,IF(A94&lt;'Données projet'!$A$36,$K$205^A94,IF(A94='Données projet'!$A$36,'Données projet'!$B$36,N93+M94-V93)))</f>
        <v>321.91700000000026</v>
      </c>
      <c r="O94" s="13">
        <f>N94*VLOOKUP('Données projet'!$B$9,Paramètres!$A$1:$I$89,3,0)*VLOOKUP('Données projet'!$B$9,Paramètres!$A$1:$I$89,5,0)</f>
        <v>291.27050160000022</v>
      </c>
      <c r="P94" s="13">
        <f t="shared" si="87"/>
        <v>69.343292010233441</v>
      </c>
      <c r="Q94" s="20">
        <f t="shared" si="54"/>
        <v>628.0690238711569</v>
      </c>
      <c r="R94" s="59">
        <f t="shared" si="55"/>
        <v>921.40235720449027</v>
      </c>
      <c r="S94" s="59">
        <f ca="1">AVERAGE(OFFSET($R$3,0,0,'Données projet'!$E$9+1,1))-AVERAGE(OFFSET($H$3,0,0,'Données projet'!$E$9+1,1))</f>
        <v>581.88778927327667</v>
      </c>
      <c r="T94" s="59">
        <f t="shared" si="88"/>
        <v>269.67340993773422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37.561851150546623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37.561851150546623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1.7053025658242404E-13</v>
      </c>
      <c r="AJ94" s="13">
        <f>AI94*VLOOKUP('Données projet'!$B$10,Paramètres!$A$1:$I$89,3,0)*VLOOKUP('Données projet'!$B$10,Paramètres!$A$1:$I$89,5,0)</f>
        <v>1.1173142411280423E-13</v>
      </c>
      <c r="AK94" s="13">
        <f t="shared" si="89"/>
        <v>1.6569896290553793E-12</v>
      </c>
      <c r="AL94" s="20">
        <f t="shared" si="58"/>
        <v>3.0805225009345862E-12</v>
      </c>
      <c r="AM94" s="59">
        <f t="shared" si="59"/>
        <v>293.33333333333638</v>
      </c>
      <c r="AN94" s="59">
        <f ca="1">AVERAGE(OFFSET($AM$3,0,0,'Données projet'!$E$10+1,1))-AVERAGE(OFFSET($H$3,0,0,'Données projet'!$E$10+1,1))</f>
        <v>230.58262378842818</v>
      </c>
      <c r="AO94" s="59">
        <f t="shared" si="90"/>
        <v>235.68746142880792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54.191568116775969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54.191568116775969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291.27050160000022</v>
      </c>
      <c r="BF94" s="13">
        <f t="shared" si="91"/>
        <v>69.343292010233441</v>
      </c>
      <c r="BG94" s="20">
        <f t="shared" si="61"/>
        <v>628.0690238711569</v>
      </c>
      <c r="BH94" s="59">
        <f t="shared" si="62"/>
        <v>921.40235720449027</v>
      </c>
      <c r="BI94" s="59">
        <f ca="1">AVERAGE(OFFSET($BH$3,0,0,'Données projet'!$E$11+1,1))-AVERAGE(OFFSET($H$3,0,0,'Données projet'!$E$11+1,1))</f>
        <v>581.88778927327667</v>
      </c>
      <c r="BJ94" s="59">
        <f t="shared" si="92"/>
        <v>269.67340993773422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37.561851150546623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37.561851150546623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306.33621720000025</v>
      </c>
      <c r="CA94" s="13">
        <f t="shared" si="93"/>
        <v>72.503157870491862</v>
      </c>
      <c r="CB94" s="20">
        <f t="shared" si="64"/>
        <v>659.81191158110698</v>
      </c>
      <c r="CC94" s="59">
        <f t="shared" si="65"/>
        <v>953.14524491444035</v>
      </c>
      <c r="CD94" s="59">
        <f ca="1">AVERAGE(OFFSET($CC$3,0,0,'Données projet'!$E$12+1,1))-AVERAGE(OFFSET($H$3,0,0,'Données projet'!$E$12+1,1))</f>
        <v>609.60019207204277</v>
      </c>
      <c r="CE94" s="59">
        <f t="shared" si="94"/>
        <v>281.42238288764503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39.504705520402489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39.504705520402489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1.5999999999905867E-2</v>
      </c>
      <c r="CU94" s="17">
        <f>CT94*VLOOKUP('Données projet'!$B$13,Paramètres!$A$1:$I$89,3,0)*VLOOKUP('Données projet'!$B$13,Paramètres!$A$1:$I$89,5,0)</f>
        <v>1.2729599999925107E-2</v>
      </c>
      <c r="CV94" s="13">
        <f t="shared" si="95"/>
        <v>9.7491417338934176E-3</v>
      </c>
      <c r="CW94" s="20">
        <f t="shared" si="67"/>
        <v>3.9150475186400593E-2</v>
      </c>
      <c r="CX94" s="59">
        <f t="shared" si="68"/>
        <v>293.37248380851969</v>
      </c>
      <c r="CY94" s="59">
        <f ca="1">AVERAGE(OFFSET($CX$3,0,0,'Données projet'!$E$13+1,1))-AVERAGE(OFFSET($H$3,0,0,'Données projet'!$E$13+1,1))</f>
        <v>172.13940525084604</v>
      </c>
      <c r="CZ94" s="59">
        <f t="shared" si="96"/>
        <v>172.82328007157236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36.766940221654629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36.766940221654629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1.7053025658242404E-13</v>
      </c>
      <c r="DP94" s="17">
        <f>DO94*VLOOKUP('Données projet'!$B$14,Paramètres!$A$1:$I$89,3,0)*VLOOKUP('Données projet'!$B$14,Paramètres!$A$1:$I$89,5,0)</f>
        <v>1.250327841262333E-13</v>
      </c>
      <c r="DQ94" s="13">
        <f t="shared" si="97"/>
        <v>1.8301318724634299E-12</v>
      </c>
      <c r="DR94" s="20">
        <f t="shared" si="70"/>
        <v>3.405245110226996E-12</v>
      </c>
      <c r="DS94" s="59">
        <f t="shared" si="71"/>
        <v>293.33333333333672</v>
      </c>
      <c r="DT94" s="59">
        <f ca="1">AVERAGE(OFFSET($DS$3,0,0,'Données projet'!$E$14+1,1))-AVERAGE(OFFSET($H$3,0,0,'Données projet'!$E$14+1,1))</f>
        <v>197.34725966440715</v>
      </c>
      <c r="DU94" s="59">
        <f t="shared" si="98"/>
        <v>240.16326570529532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19.425035880171063</v>
      </c>
      <c r="EB94" s="21">
        <f>EXP(-LN(2)/25)*EB93+(1-EXP(-LN(2)/25))/(LN(2)/25)*Calculateur!DW94*Calculateur!DY94*VLOOKUP('Données projet'!$B$14,Paramètres!$A$1:$I$89,3,0)*0.475*44/12</f>
        <v>9.882042053424108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29.307077933595171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5.6843418860808015E-14</v>
      </c>
      <c r="EK94" s="17">
        <f>EJ94*VLOOKUP('Données projet'!$B$15,Paramètres!$A$1:$I$89,3,0)*VLOOKUP('Données projet'!$B$15,Paramètres!$A$1:$I$89,5,0)</f>
        <v>4.4337866711430253E-14</v>
      </c>
      <c r="EL94" s="13">
        <f t="shared" si="99"/>
        <v>7.3222115536967035E-13</v>
      </c>
      <c r="EM94" s="20">
        <f t="shared" si="73"/>
        <v>1.3525069634579169E-12</v>
      </c>
      <c r="EN94" s="59">
        <f t="shared" si="74"/>
        <v>293.33333333333468</v>
      </c>
      <c r="EO94" s="59">
        <f ca="1">AVERAGE(OFFSET($EN$3,0,0,'Données projet'!$E$15+1,1))-AVERAGE(OFFSET($H$3,0,0,'Données projet'!$E$15+1,1))</f>
        <v>288.82868507674738</v>
      </c>
      <c r="EP94" s="59">
        <f t="shared" si="100"/>
        <v>283.48738729114024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66.749267156555405</v>
      </c>
      <c r="EW94" s="21">
        <f>EXP(-LN(2)/25)*EW93+(1-EXP(-LN(2)/25))/(LN(2)/25)*Calculateur!ER94*Calculateur!ET94*VLOOKUP('Données projet'!$B$15,Paramètres!$A$1:$I$89,3,0)*0.475*44/12</f>
        <v>27.659657401193336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94.408924557748747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8.2910000000000021</v>
      </c>
      <c r="N95" s="13">
        <f>IF('Données projet'!$A$36&gt;35,N94+M95-V94,IF(A95&lt;'Données projet'!$A$36,$K$205^A95,IF(A95='Données projet'!$A$36,'Données projet'!$B$36,N94+M95-V94)))</f>
        <v>330.20800000000025</v>
      </c>
      <c r="O95" s="13">
        <f>N95*VLOOKUP('Données projet'!$B$9,Paramètres!$A$1:$I$89,3,0)*VLOOKUP('Données projet'!$B$9,Paramètres!$A$1:$I$89,5,0)</f>
        <v>298.77219840000021</v>
      </c>
      <c r="P95" s="13">
        <f t="shared" si="87"/>
        <v>70.919007696700163</v>
      </c>
      <c r="Q95" s="20">
        <f t="shared" si="54"/>
        <v>643.87885061841985</v>
      </c>
      <c r="R95" s="59">
        <f t="shared" si="55"/>
        <v>937.2121839517531</v>
      </c>
      <c r="S95" s="59">
        <f ca="1">AVERAGE(OFFSET($R$3,0,0,'Données projet'!$E$9+1,1))-AVERAGE(OFFSET($H$3,0,0,'Données projet'!$E$9+1,1))</f>
        <v>581.88778927327667</v>
      </c>
      <c r="T95" s="59">
        <f t="shared" si="88"/>
        <v>269.67340993773422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36.825286159951382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36.825286159951382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1.7053025658242404E-13</v>
      </c>
      <c r="AJ95" s="13">
        <f>AI95*VLOOKUP('Données projet'!$B$10,Paramètres!$A$1:$I$89,3,0)*VLOOKUP('Données projet'!$B$10,Paramètres!$A$1:$I$89,5,0)</f>
        <v>1.1173142411280423E-13</v>
      </c>
      <c r="AK95" s="13">
        <f t="shared" si="89"/>
        <v>1.6569896290553793E-12</v>
      </c>
      <c r="AL95" s="20">
        <f t="shared" si="58"/>
        <v>3.0805225009345862E-12</v>
      </c>
      <c r="AM95" s="59">
        <f t="shared" si="59"/>
        <v>293.33333333333638</v>
      </c>
      <c r="AN95" s="59">
        <f ca="1">AVERAGE(OFFSET($AM$3,0,0,'Données projet'!$E$10+1,1))-AVERAGE(OFFSET($H$3,0,0,'Données projet'!$E$10+1,1))</f>
        <v>230.58262378842818</v>
      </c>
      <c r="AO95" s="59">
        <f t="shared" si="90"/>
        <v>235.68746142880792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53.12890451959877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53.12890451959877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298.77219840000021</v>
      </c>
      <c r="BF95" s="13">
        <f t="shared" si="91"/>
        <v>70.919007696700163</v>
      </c>
      <c r="BG95" s="20">
        <f t="shared" si="61"/>
        <v>643.87885061841985</v>
      </c>
      <c r="BH95" s="59">
        <f t="shared" si="62"/>
        <v>937.2121839517531</v>
      </c>
      <c r="BI95" s="59">
        <f ca="1">AVERAGE(OFFSET($BH$3,0,0,'Données projet'!$E$11+1,1))-AVERAGE(OFFSET($H$3,0,0,'Données projet'!$E$11+1,1))</f>
        <v>581.88778927327667</v>
      </c>
      <c r="BJ95" s="59">
        <f t="shared" si="92"/>
        <v>269.67340993773422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36.825286159951382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36.825286159951382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314.22593280000024</v>
      </c>
      <c r="CA95" s="13">
        <f t="shared" si="93"/>
        <v>74.150676467648211</v>
      </c>
      <c r="CB95" s="20">
        <f t="shared" si="64"/>
        <v>676.42259447448771</v>
      </c>
      <c r="CC95" s="59">
        <f t="shared" si="65"/>
        <v>969.75592780782108</v>
      </c>
      <c r="CD95" s="59">
        <f ca="1">AVERAGE(OFFSET($CC$3,0,0,'Données projet'!$E$12+1,1))-AVERAGE(OFFSET($H$3,0,0,'Données projet'!$E$12+1,1))</f>
        <v>609.60019207204277</v>
      </c>
      <c r="CE95" s="59">
        <f t="shared" si="94"/>
        <v>281.42238288764503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38.730042340638533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38.730042340638533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1.5999999999905867E-2</v>
      </c>
      <c r="CU95" s="17">
        <f>CT95*VLOOKUP('Données projet'!$B$13,Paramètres!$A$1:$I$89,3,0)*VLOOKUP('Données projet'!$B$13,Paramètres!$A$1:$I$89,5,0)</f>
        <v>1.2729599999925107E-2</v>
      </c>
      <c r="CV95" s="13">
        <f t="shared" si="95"/>
        <v>9.7491417338934176E-3</v>
      </c>
      <c r="CW95" s="20">
        <f t="shared" si="67"/>
        <v>3.9150475186400593E-2</v>
      </c>
      <c r="CX95" s="59">
        <f t="shared" si="68"/>
        <v>293.37248380851969</v>
      </c>
      <c r="CY95" s="59">
        <f ca="1">AVERAGE(OFFSET($CX$3,0,0,'Données projet'!$E$13+1,1))-AVERAGE(OFFSET($H$3,0,0,'Données projet'!$E$13+1,1))</f>
        <v>172.13940525084604</v>
      </c>
      <c r="CZ95" s="59">
        <f t="shared" si="96"/>
        <v>172.82328007157236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36.045962949527173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36.045962949527173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1.7053025658242404E-13</v>
      </c>
      <c r="DP95" s="17">
        <f>DO95*VLOOKUP('Données projet'!$B$14,Paramètres!$A$1:$I$89,3,0)*VLOOKUP('Données projet'!$B$14,Paramètres!$A$1:$I$89,5,0)</f>
        <v>1.250327841262333E-13</v>
      </c>
      <c r="DQ95" s="13">
        <f t="shared" si="97"/>
        <v>1.8301318724634299E-12</v>
      </c>
      <c r="DR95" s="20">
        <f t="shared" si="70"/>
        <v>3.405245110226996E-12</v>
      </c>
      <c r="DS95" s="59">
        <f t="shared" si="71"/>
        <v>293.33333333333672</v>
      </c>
      <c r="DT95" s="59">
        <f ca="1">AVERAGE(OFFSET($DS$3,0,0,'Données projet'!$E$14+1,1))-AVERAGE(OFFSET($H$3,0,0,'Données projet'!$E$14+1,1))</f>
        <v>197.34725966440715</v>
      </c>
      <c r="DU95" s="59">
        <f t="shared" si="98"/>
        <v>240.16326570529532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19.044122774662892</v>
      </c>
      <c r="EB95" s="21">
        <f>EXP(-LN(2)/25)*EB94+(1-EXP(-LN(2)/25))/(LN(2)/25)*Calculateur!DW95*Calculateur!DY95*VLOOKUP('Données projet'!$B$14,Paramètres!$A$1:$I$89,3,0)*0.475*44/12</f>
        <v>9.6118170937992193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28.655939868462113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5.6843418860808015E-14</v>
      </c>
      <c r="EK95" s="17">
        <f>EJ95*VLOOKUP('Données projet'!$B$15,Paramètres!$A$1:$I$89,3,0)*VLOOKUP('Données projet'!$B$15,Paramètres!$A$1:$I$89,5,0)</f>
        <v>4.4337866711430253E-14</v>
      </c>
      <c r="EL95" s="13">
        <f t="shared" si="99"/>
        <v>7.3222115536967035E-13</v>
      </c>
      <c r="EM95" s="20">
        <f t="shared" si="73"/>
        <v>1.3525069634579169E-12</v>
      </c>
      <c r="EN95" s="59">
        <f t="shared" si="74"/>
        <v>293.33333333333468</v>
      </c>
      <c r="EO95" s="59">
        <f ca="1">AVERAGE(OFFSET($EN$3,0,0,'Données projet'!$E$15+1,1))-AVERAGE(OFFSET($H$3,0,0,'Données projet'!$E$15+1,1))</f>
        <v>288.82868507674738</v>
      </c>
      <c r="EP95" s="59">
        <f t="shared" si="100"/>
        <v>283.48738729114024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65.440354740648246</v>
      </c>
      <c r="EW95" s="21">
        <f>EXP(-LN(2)/25)*EW94+(1-EXP(-LN(2)/25))/(LN(2)/25)*Calculateur!ER95*Calculateur!ET95*VLOOKUP('Données projet'!$B$15,Paramètres!$A$1:$I$89,3,0)*0.475*44/12</f>
        <v>26.903302614999539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92.343657355647792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8.2910000000000021</v>
      </c>
      <c r="N96" s="13">
        <f>IF('Données projet'!$A$36&gt;35,N95+M96-V95,IF(A96&lt;'Données projet'!$A$36,$K$205^A96,IF(A96='Données projet'!$A$36,'Données projet'!$B$36,N95+M96-V95)))</f>
        <v>338.49900000000025</v>
      </c>
      <c r="O96" s="13">
        <f>N96*VLOOKUP('Données projet'!$B$9,Paramètres!$A$1:$I$89,3,0)*VLOOKUP('Données projet'!$B$9,Paramètres!$A$1:$I$89,5,0)</f>
        <v>306.27389520000025</v>
      </c>
      <c r="P96" s="13">
        <f t="shared" si="87"/>
        <v>72.490124377904692</v>
      </c>
      <c r="Q96" s="20">
        <f t="shared" si="54"/>
        <v>659.68066743151769</v>
      </c>
      <c r="R96" s="59">
        <f t="shared" si="55"/>
        <v>953.01400076485106</v>
      </c>
      <c r="S96" s="59">
        <f ca="1">AVERAGE(OFFSET($R$3,0,0,'Données projet'!$E$9+1,1))-AVERAGE(OFFSET($H$3,0,0,'Données projet'!$E$9+1,1))</f>
        <v>581.88778927327667</v>
      </c>
      <c r="T96" s="59">
        <f t="shared" si="88"/>
        <v>269.67340993773422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36.10316475956143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36.10316475956143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1.7053025658242404E-13</v>
      </c>
      <c r="AJ96" s="13">
        <f>AI96*VLOOKUP('Données projet'!$B$10,Paramètres!$A$1:$I$89,3,0)*VLOOKUP('Données projet'!$B$10,Paramètres!$A$1:$I$89,5,0)</f>
        <v>1.1173142411280423E-13</v>
      </c>
      <c r="AK96" s="13">
        <f t="shared" si="89"/>
        <v>1.6569896290553793E-12</v>
      </c>
      <c r="AL96" s="20">
        <f t="shared" si="58"/>
        <v>3.0805225009345862E-12</v>
      </c>
      <c r="AM96" s="59">
        <f t="shared" si="59"/>
        <v>293.33333333333638</v>
      </c>
      <c r="AN96" s="59">
        <f ca="1">AVERAGE(OFFSET($AM$3,0,0,'Données projet'!$E$10+1,1))-AVERAGE(OFFSET($H$3,0,0,'Données projet'!$E$10+1,1))</f>
        <v>230.58262378842818</v>
      </c>
      <c r="AO96" s="59">
        <f t="shared" si="90"/>
        <v>235.68746142880792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52.087079107401422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52.087079107401422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306.27389520000025</v>
      </c>
      <c r="BF96" s="13">
        <f t="shared" si="91"/>
        <v>72.490124377904692</v>
      </c>
      <c r="BG96" s="20">
        <f t="shared" si="61"/>
        <v>659.68066743151769</v>
      </c>
      <c r="BH96" s="59">
        <f t="shared" si="62"/>
        <v>953.01400076485106</v>
      </c>
      <c r="BI96" s="59">
        <f ca="1">AVERAGE(OFFSET($BH$3,0,0,'Données projet'!$E$11+1,1))-AVERAGE(OFFSET($H$3,0,0,'Données projet'!$E$11+1,1))</f>
        <v>581.88778927327667</v>
      </c>
      <c r="BJ96" s="59">
        <f t="shared" si="92"/>
        <v>269.67340993773422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36.10316475956143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36.10316475956143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322.11564840000028</v>
      </c>
      <c r="CA96" s="13">
        <f t="shared" si="93"/>
        <v>75.793386490032546</v>
      </c>
      <c r="CB96" s="20">
        <f t="shared" si="64"/>
        <v>693.02490243347381</v>
      </c>
      <c r="CC96" s="59">
        <f t="shared" si="65"/>
        <v>986.35823576680718</v>
      </c>
      <c r="CD96" s="59">
        <f ca="1">AVERAGE(OFFSET($CC$3,0,0,'Données projet'!$E$12+1,1))-AVERAGE(OFFSET($H$3,0,0,'Données projet'!$E$12+1,1))</f>
        <v>609.60019207204277</v>
      </c>
      <c r="CE96" s="59">
        <f t="shared" si="94"/>
        <v>281.42238288764503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37.970569833331865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37.970569833331865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1.5999999999905867E-2</v>
      </c>
      <c r="CU96" s="17">
        <f>CT96*VLOOKUP('Données projet'!$B$13,Paramètres!$A$1:$I$89,3,0)*VLOOKUP('Données projet'!$B$13,Paramètres!$A$1:$I$89,5,0)</f>
        <v>1.2729599999925107E-2</v>
      </c>
      <c r="CV96" s="13">
        <f t="shared" si="95"/>
        <v>9.7491417338934176E-3</v>
      </c>
      <c r="CW96" s="20">
        <f t="shared" si="67"/>
        <v>3.9150475186400593E-2</v>
      </c>
      <c r="CX96" s="59">
        <f t="shared" si="68"/>
        <v>293.37248380851969</v>
      </c>
      <c r="CY96" s="59">
        <f ca="1">AVERAGE(OFFSET($CX$3,0,0,'Données projet'!$E$13+1,1))-AVERAGE(OFFSET($H$3,0,0,'Données projet'!$E$13+1,1))</f>
        <v>172.13940525084604</v>
      </c>
      <c r="CZ96" s="59">
        <f t="shared" si="96"/>
        <v>172.82328007157236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35.339123601953418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35.339123601953418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1.7053025658242404E-13</v>
      </c>
      <c r="DP96" s="17">
        <f>DO96*VLOOKUP('Données projet'!$B$14,Paramètres!$A$1:$I$89,3,0)*VLOOKUP('Données projet'!$B$14,Paramètres!$A$1:$I$89,5,0)</f>
        <v>1.250327841262333E-13</v>
      </c>
      <c r="DQ96" s="13">
        <f t="shared" si="97"/>
        <v>1.8301318724634299E-12</v>
      </c>
      <c r="DR96" s="20">
        <f t="shared" si="70"/>
        <v>3.405245110226996E-12</v>
      </c>
      <c r="DS96" s="59">
        <f t="shared" si="71"/>
        <v>293.33333333333672</v>
      </c>
      <c r="DT96" s="59">
        <f ca="1">AVERAGE(OFFSET($DS$3,0,0,'Données projet'!$E$14+1,1))-AVERAGE(OFFSET($H$3,0,0,'Données projet'!$E$14+1,1))</f>
        <v>197.34725966440715</v>
      </c>
      <c r="DU96" s="59">
        <f t="shared" si="98"/>
        <v>240.16326570529532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18.670679142819683</v>
      </c>
      <c r="EB96" s="21">
        <f>EXP(-LN(2)/25)*EB95+(1-EXP(-LN(2)/25))/(LN(2)/25)*Calculateur!DW96*Calculateur!DY96*VLOOKUP('Données projet'!$B$14,Paramètres!$A$1:$I$89,3,0)*0.475*44/12</f>
        <v>9.3489814499057875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28.019660592725472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5.6843418860808015E-14</v>
      </c>
      <c r="EK96" s="17">
        <f>EJ96*VLOOKUP('Données projet'!$B$15,Paramètres!$A$1:$I$89,3,0)*VLOOKUP('Données projet'!$B$15,Paramètres!$A$1:$I$89,5,0)</f>
        <v>4.4337866711430253E-14</v>
      </c>
      <c r="EL96" s="13">
        <f t="shared" si="99"/>
        <v>7.3222115536967035E-13</v>
      </c>
      <c r="EM96" s="20">
        <f t="shared" si="73"/>
        <v>1.3525069634579169E-12</v>
      </c>
      <c r="EN96" s="59">
        <f t="shared" si="74"/>
        <v>293.33333333333468</v>
      </c>
      <c r="EO96" s="59">
        <f ca="1">AVERAGE(OFFSET($EN$3,0,0,'Données projet'!$E$15+1,1))-AVERAGE(OFFSET($H$3,0,0,'Données projet'!$E$15+1,1))</f>
        <v>288.82868507674738</v>
      </c>
      <c r="EP96" s="59">
        <f t="shared" si="100"/>
        <v>283.48738729114024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64.157109298859282</v>
      </c>
      <c r="EW96" s="21">
        <f>EXP(-LN(2)/25)*EW95+(1-EXP(-LN(2)/25))/(LN(2)/25)*Calculateur!ER96*Calculateur!ET96*VLOOKUP('Données projet'!$B$15,Paramètres!$A$1:$I$89,3,0)*0.475*44/12</f>
        <v>26.16763039020918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90.324739689068466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>
        <f>VLOOKUP(A97,'Données projet'!$A$35:$I$55,2,0)</f>
        <v>346.79</v>
      </c>
      <c r="L97" s="12">
        <f>VLOOKUP(A97,'Données projet'!$A$35:$I$55,9,0)</f>
        <v>8.2910000000000021</v>
      </c>
      <c r="M97" s="12">
        <f t="array" ref="M97">INDEX(L:L,MIN(IF(ISNUMBER(L97:L293),ROW(L97:L293),"")))</f>
        <v>8.2910000000000021</v>
      </c>
      <c r="N97" s="13">
        <f>IF('Données projet'!$A$36&gt;35,N96+M97-V96,IF(A97&lt;'Données projet'!$A$36,$K$205^A97,IF(A97='Données projet'!$A$36,'Données projet'!$B$36,N96+M97-V96)))</f>
        <v>346.79000000000025</v>
      </c>
      <c r="O97" s="13">
        <f>N97*VLOOKUP('Données projet'!$B$9,Paramètres!$A$1:$I$89,3,0)*VLOOKUP('Données projet'!$B$9,Paramètres!$A$1:$I$89,5,0)</f>
        <v>313.77559200000019</v>
      </c>
      <c r="P97" s="13">
        <f t="shared" si="87"/>
        <v>74.056767657464533</v>
      </c>
      <c r="Q97" s="20">
        <f t="shared" si="54"/>
        <v>675.47469307008441</v>
      </c>
      <c r="R97" s="59">
        <f t="shared" si="55"/>
        <v>968.80802640341767</v>
      </c>
      <c r="S97" s="59">
        <f ca="1">AVERAGE(OFFSET($R$3,0,0,'Données projet'!$E$9+1,1))-AVERAGE(OFFSET($H$3,0,0,'Données projet'!$E$9+1,1))</f>
        <v>581.88778927327667</v>
      </c>
      <c r="T97" s="59">
        <f t="shared" si="88"/>
        <v>269.67340993773422</v>
      </c>
      <c r="U97" s="15">
        <f>IF(ISNA(VLOOKUP(A97,'Données projet'!$A$35:$I$55,3,0)),0,VLOOKUP(A97,'Données projet'!$A$35:$I$55,3,0))</f>
        <v>7</v>
      </c>
      <c r="V97" s="15">
        <f>IF(ISNA(VLOOKUP(A97,'Données projet'!$A$35:$I$55,4,0)),0,VLOOKUP(A97,'Données projet'!$A$35:$I$55,4,0))</f>
        <v>61.85</v>
      </c>
      <c r="W97" s="16">
        <f>IF(ISNA(VLOOKUP(A97,'Données projet'!$A$35:$I$55,5,0)),0%,VLOOKUP(A97,'Données projet'!$A$35:$I$55,5,0)*VLOOKUP('Données projet'!$B$9,Paramètres!$A$1:$I$89,7,0))</f>
        <v>0.25800000000000001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51.356167505910733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51.356167505910733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1.7053025658242404E-13</v>
      </c>
      <c r="AJ97" s="13">
        <f>AI97*VLOOKUP('Données projet'!$B$10,Paramètres!$A$1:$I$89,3,0)*VLOOKUP('Données projet'!$B$10,Paramètres!$A$1:$I$89,5,0)</f>
        <v>1.1173142411280423E-13</v>
      </c>
      <c r="AK97" s="13">
        <f t="shared" si="89"/>
        <v>1.6569896290553793E-12</v>
      </c>
      <c r="AL97" s="20">
        <f t="shared" si="58"/>
        <v>3.0805225009345862E-12</v>
      </c>
      <c r="AM97" s="59">
        <f t="shared" si="59"/>
        <v>293.33333333333638</v>
      </c>
      <c r="AN97" s="59">
        <f ca="1">AVERAGE(OFFSET($AM$3,0,0,'Données projet'!$E$10+1,1))-AVERAGE(OFFSET($H$3,0,0,'Données projet'!$E$10+1,1))</f>
        <v>230.58262378842818</v>
      </c>
      <c r="AO97" s="59">
        <f t="shared" si="90"/>
        <v>235.68746142880792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51.065683256086508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51.065683256086508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313.77559200000019</v>
      </c>
      <c r="BF97" s="13">
        <f t="shared" si="91"/>
        <v>74.056767657464533</v>
      </c>
      <c r="BG97" s="20">
        <f t="shared" si="61"/>
        <v>675.47469307008441</v>
      </c>
      <c r="BH97" s="59">
        <f t="shared" si="62"/>
        <v>968.80802640341767</v>
      </c>
      <c r="BI97" s="59">
        <f ca="1">AVERAGE(OFFSET($BH$3,0,0,'Données projet'!$E$11+1,1))-AVERAGE(OFFSET($H$3,0,0,'Données projet'!$E$11+1,1))</f>
        <v>581.88778927327667</v>
      </c>
      <c r="BJ97" s="59">
        <f t="shared" si="92"/>
        <v>269.67340993773422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51.356167505910733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51.356167505910733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330.00536400000021</v>
      </c>
      <c r="CA97" s="13">
        <f t="shared" si="93"/>
        <v>77.43141926482366</v>
      </c>
      <c r="CB97" s="20">
        <f t="shared" si="64"/>
        <v>709.61906418623494</v>
      </c>
      <c r="CC97" s="59">
        <f t="shared" si="65"/>
        <v>1002.9523975195682</v>
      </c>
      <c r="CD97" s="59">
        <f ca="1">AVERAGE(OFFSET($CC$3,0,0,'Données projet'!$E$12+1,1))-AVERAGE(OFFSET($H$3,0,0,'Données projet'!$E$12+1,1))</f>
        <v>609.60019207204277</v>
      </c>
      <c r="CE97" s="59">
        <f t="shared" si="94"/>
        <v>281.42238288764503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54.012520997595786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54.012520997595786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1.5999999999905867E-2</v>
      </c>
      <c r="CU97" s="17">
        <f>CT97*VLOOKUP('Données projet'!$B$13,Paramètres!$A$1:$I$89,3,0)*VLOOKUP('Données projet'!$B$13,Paramètres!$A$1:$I$89,5,0)</f>
        <v>1.2729599999925107E-2</v>
      </c>
      <c r="CV97" s="13">
        <f t="shared" si="95"/>
        <v>9.7491417338934176E-3</v>
      </c>
      <c r="CW97" s="20">
        <f t="shared" si="67"/>
        <v>3.9150475186400593E-2</v>
      </c>
      <c r="CX97" s="59">
        <f t="shared" si="68"/>
        <v>293.37248380851969</v>
      </c>
      <c r="CY97" s="59">
        <f ca="1">AVERAGE(OFFSET($CX$3,0,0,'Données projet'!$E$13+1,1))-AVERAGE(OFFSET($H$3,0,0,'Données projet'!$E$13+1,1))</f>
        <v>172.13940525084604</v>
      </c>
      <c r="CZ97" s="59">
        <f t="shared" si="96"/>
        <v>172.82328007157236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34.646144942856154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34.646144942856154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1.7053025658242404E-13</v>
      </c>
      <c r="DP97" s="17">
        <f>DO97*VLOOKUP('Données projet'!$B$14,Paramètres!$A$1:$I$89,3,0)*VLOOKUP('Données projet'!$B$14,Paramètres!$A$1:$I$89,5,0)</f>
        <v>1.250327841262333E-13</v>
      </c>
      <c r="DQ97" s="13">
        <f t="shared" si="97"/>
        <v>1.8301318724634299E-12</v>
      </c>
      <c r="DR97" s="20">
        <f t="shared" si="70"/>
        <v>3.405245110226996E-12</v>
      </c>
      <c r="DS97" s="59">
        <f t="shared" si="71"/>
        <v>293.33333333333672</v>
      </c>
      <c r="DT97" s="59">
        <f ca="1">AVERAGE(OFFSET($DS$3,0,0,'Données projet'!$E$14+1,1))-AVERAGE(OFFSET($H$3,0,0,'Données projet'!$E$14+1,1))</f>
        <v>197.34725966440715</v>
      </c>
      <c r="DU97" s="59">
        <f t="shared" si="98"/>
        <v>240.16326570529532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18.304558512818794</v>
      </c>
      <c r="EB97" s="21">
        <f>EXP(-LN(2)/25)*EB96+(1-EXP(-LN(2)/25))/(LN(2)/25)*Calculateur!DW97*Calculateur!DY97*VLOOKUP('Données projet'!$B$14,Paramètres!$A$1:$I$89,3,0)*0.475*44/12</f>
        <v>9.0933330605165459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27.39789157333534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5.6843418860808015E-14</v>
      </c>
      <c r="EK97" s="17">
        <f>EJ97*VLOOKUP('Données projet'!$B$15,Paramètres!$A$1:$I$89,3,0)*VLOOKUP('Données projet'!$B$15,Paramètres!$A$1:$I$89,5,0)</f>
        <v>4.4337866711430253E-14</v>
      </c>
      <c r="EL97" s="13">
        <f t="shared" si="99"/>
        <v>7.3222115536967035E-13</v>
      </c>
      <c r="EM97" s="20">
        <f t="shared" si="73"/>
        <v>1.3525069634579169E-12</v>
      </c>
      <c r="EN97" s="59">
        <f t="shared" si="74"/>
        <v>293.33333333333468</v>
      </c>
      <c r="EO97" s="59">
        <f ca="1">AVERAGE(OFFSET($EN$3,0,0,'Données projet'!$E$15+1,1))-AVERAGE(OFFSET($H$3,0,0,'Données projet'!$E$15+1,1))</f>
        <v>288.82868507674738</v>
      </c>
      <c r="EP97" s="59">
        <f t="shared" si="100"/>
        <v>283.48738729114024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62.899027517481365</v>
      </c>
      <c r="EW97" s="21">
        <f>EXP(-LN(2)/25)*EW96+(1-EXP(-LN(2)/25))/(LN(2)/25)*Calculateur!ER97*Calculateur!ET97*VLOOKUP('Données projet'!$B$15,Paramètres!$A$1:$I$89,3,0)*0.475*44/12</f>
        <v>25.452075161093035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88.351102678574392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8.0470000000000024</v>
      </c>
      <c r="N98" s="13">
        <f>IF('Données projet'!$A$36&gt;35,N97+M98-V97,IF(A98&lt;'Données projet'!$A$36,$K$205^A98,IF(A98='Données projet'!$A$36,'Données projet'!$B$36,N97+M98-V97)))</f>
        <v>292.98700000000025</v>
      </c>
      <c r="O98" s="13">
        <f>N98*VLOOKUP('Données projet'!$B$9,Paramètres!$A$1:$I$89,3,0)*VLOOKUP('Données projet'!$B$9,Paramètres!$A$1:$I$89,5,0)</f>
        <v>265.09463760000023</v>
      </c>
      <c r="P98" s="13">
        <f t="shared" si="87"/>
        <v>63.807119294189917</v>
      </c>
      <c r="Q98" s="20">
        <f t="shared" si="54"/>
        <v>572.83722659071452</v>
      </c>
      <c r="R98" s="59">
        <f t="shared" si="55"/>
        <v>866.17055992404789</v>
      </c>
      <c r="S98" s="59">
        <f ca="1">AVERAGE(OFFSET($R$3,0,0,'Données projet'!$E$9+1,1))-AVERAGE(OFFSET($H$3,0,0,'Données projet'!$E$9+1,1))</f>
        <v>581.88778927327667</v>
      </c>
      <c r="T98" s="59">
        <f t="shared" si="88"/>
        <v>269.67340993773422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50.349104385288996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50.349104385288996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1.7053025658242404E-13</v>
      </c>
      <c r="AJ98" s="13">
        <f>AI98*VLOOKUP('Données projet'!$B$10,Paramètres!$A$1:$I$89,3,0)*VLOOKUP('Données projet'!$B$10,Paramètres!$A$1:$I$89,5,0)</f>
        <v>1.1173142411280423E-13</v>
      </c>
      <c r="AK98" s="13">
        <f t="shared" si="89"/>
        <v>1.6569896290553793E-12</v>
      </c>
      <c r="AL98" s="20">
        <f t="shared" si="58"/>
        <v>3.0805225009345862E-12</v>
      </c>
      <c r="AM98" s="59">
        <f t="shared" si="59"/>
        <v>293.33333333333638</v>
      </c>
      <c r="AN98" s="59">
        <f ca="1">AVERAGE(OFFSET($AM$3,0,0,'Données projet'!$E$10+1,1))-AVERAGE(OFFSET($H$3,0,0,'Données projet'!$E$10+1,1))</f>
        <v>230.58262378842818</v>
      </c>
      <c r="AO98" s="59">
        <f t="shared" si="90"/>
        <v>235.68746142880792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50.064316354425927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50.064316354425927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265.09463760000023</v>
      </c>
      <c r="BF98" s="13">
        <f t="shared" si="91"/>
        <v>63.807119294189917</v>
      </c>
      <c r="BG98" s="20">
        <f t="shared" si="61"/>
        <v>572.83722659071452</v>
      </c>
      <c r="BH98" s="59">
        <f t="shared" si="62"/>
        <v>866.17055992404789</v>
      </c>
      <c r="BI98" s="59">
        <f ca="1">AVERAGE(OFFSET($BH$3,0,0,'Données projet'!$E$11+1,1))-AVERAGE(OFFSET($H$3,0,0,'Données projet'!$E$11+1,1))</f>
        <v>581.88778927327667</v>
      </c>
      <c r="BJ98" s="59">
        <f t="shared" si="92"/>
        <v>269.67340993773422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50.349104385288996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50.349104385288996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278.80642920000025</v>
      </c>
      <c r="CA98" s="13">
        <f t="shared" si="93"/>
        <v>66.714710382732235</v>
      </c>
      <c r="CB98" s="20">
        <f t="shared" si="64"/>
        <v>601.78265143992576</v>
      </c>
      <c r="CC98" s="59">
        <f t="shared" si="65"/>
        <v>895.11598477325902</v>
      </c>
      <c r="CD98" s="59">
        <f ca="1">AVERAGE(OFFSET($CC$3,0,0,'Données projet'!$E$12+1,1))-AVERAGE(OFFSET($H$3,0,0,'Données projet'!$E$12+1,1))</f>
        <v>609.60019207204277</v>
      </c>
      <c r="CE98" s="59">
        <f t="shared" si="94"/>
        <v>281.42238288764503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52.953368405217752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52.953368405217752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1.5999999999905867E-2</v>
      </c>
      <c r="CU98" s="17">
        <f>CT98*VLOOKUP('Données projet'!$B$13,Paramètres!$A$1:$I$89,3,0)*VLOOKUP('Données projet'!$B$13,Paramètres!$A$1:$I$89,5,0)</f>
        <v>1.2729599999925107E-2</v>
      </c>
      <c r="CV98" s="13">
        <f t="shared" si="95"/>
        <v>9.7491417338934176E-3</v>
      </c>
      <c r="CW98" s="20">
        <f t="shared" si="67"/>
        <v>3.9150475186400593E-2</v>
      </c>
      <c r="CX98" s="59">
        <f t="shared" si="68"/>
        <v>293.37248380851969</v>
      </c>
      <c r="CY98" s="59">
        <f ca="1">AVERAGE(OFFSET($CX$3,0,0,'Données projet'!$E$13+1,1))-AVERAGE(OFFSET($H$3,0,0,'Données projet'!$E$13+1,1))</f>
        <v>172.13940525084604</v>
      </c>
      <c r="CZ98" s="59">
        <f t="shared" si="96"/>
        <v>172.82328007157236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33.966755172588542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33.966755172588542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1.7053025658242404E-13</v>
      </c>
      <c r="DP98" s="17">
        <f>DO98*VLOOKUP('Données projet'!$B$14,Paramètres!$A$1:$I$89,3,0)*VLOOKUP('Données projet'!$B$14,Paramètres!$A$1:$I$89,5,0)</f>
        <v>1.250327841262333E-13</v>
      </c>
      <c r="DQ98" s="13">
        <f t="shared" si="97"/>
        <v>1.8301318724634299E-12</v>
      </c>
      <c r="DR98" s="20">
        <f t="shared" si="70"/>
        <v>3.405245110226996E-12</v>
      </c>
      <c r="DS98" s="59">
        <f t="shared" si="71"/>
        <v>293.33333333333672</v>
      </c>
      <c r="DT98" s="59">
        <f ca="1">AVERAGE(OFFSET($DS$3,0,0,'Données projet'!$E$14+1,1))-AVERAGE(OFFSET($H$3,0,0,'Données projet'!$E$14+1,1))</f>
        <v>197.34725966440715</v>
      </c>
      <c r="DU98" s="59">
        <f t="shared" si="98"/>
        <v>240.16326570529532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17.945617285060688</v>
      </c>
      <c r="EB98" s="21">
        <f>EXP(-LN(2)/25)*EB97+(1-EXP(-LN(2)/25))/(LN(2)/25)*Calculateur!DW98*Calculateur!DY98*VLOOKUP('Données projet'!$B$14,Paramètres!$A$1:$I$89,3,0)*0.475*44/12</f>
        <v>8.8446753897791179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26.790292674839804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5.6843418860808015E-14</v>
      </c>
      <c r="EK98" s="17">
        <f>EJ98*VLOOKUP('Données projet'!$B$15,Paramètres!$A$1:$I$89,3,0)*VLOOKUP('Données projet'!$B$15,Paramètres!$A$1:$I$89,5,0)</f>
        <v>4.4337866711430253E-14</v>
      </c>
      <c r="EL98" s="13">
        <f t="shared" si="99"/>
        <v>7.3222115536967035E-13</v>
      </c>
      <c r="EM98" s="20">
        <f t="shared" si="73"/>
        <v>1.3525069634579169E-12</v>
      </c>
      <c r="EN98" s="59">
        <f t="shared" si="74"/>
        <v>293.33333333333468</v>
      </c>
      <c r="EO98" s="59">
        <f ca="1">AVERAGE(OFFSET($EN$3,0,0,'Données projet'!$E$15+1,1))-AVERAGE(OFFSET($H$3,0,0,'Données projet'!$E$15+1,1))</f>
        <v>288.82868507674738</v>
      </c>
      <c r="EP98" s="59">
        <f t="shared" si="100"/>
        <v>283.48738729114024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61.665615952482149</v>
      </c>
      <c r="EW98" s="21">
        <f>EXP(-LN(2)/25)*EW97+(1-EXP(-LN(2)/25))/(LN(2)/25)*Calculateur!ER98*Calculateur!ET98*VLOOKUP('Données projet'!$B$15,Paramètres!$A$1:$I$89,3,0)*0.475*44/12</f>
        <v>24.756086827346483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86.421702779828635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8.0470000000000024</v>
      </c>
      <c r="N99" s="13">
        <f>IF('Données projet'!$A$36&gt;35,N98+M99-V98,IF(A99&lt;'Données projet'!$A$36,$K$205^A99,IF(A99='Données projet'!$A$36,'Données projet'!$B$36,N98+M99-V98)))</f>
        <v>301.03400000000028</v>
      </c>
      <c r="O99" s="13">
        <f>N99*VLOOKUP('Données projet'!$B$9,Paramètres!$A$1:$I$89,3,0)*VLOOKUP('Données projet'!$B$9,Paramètres!$A$1:$I$89,5,0)</f>
        <v>272.37556320000027</v>
      </c>
      <c r="P99" s="13">
        <f t="shared" si="87"/>
        <v>65.35316643513535</v>
      </c>
      <c r="Q99" s="20">
        <f t="shared" ref="Q99:Q130" si="107">(O99+P99)*0.475*44/12</f>
        <v>588.21087078119456</v>
      </c>
      <c r="R99" s="59">
        <f t="shared" si="55"/>
        <v>881.54420411452793</v>
      </c>
      <c r="S99" s="59">
        <f ca="1">AVERAGE(OFFSET($R$3,0,0,'Données projet'!$E$9+1,1))-AVERAGE(OFFSET($H$3,0,0,'Données projet'!$E$9+1,1))</f>
        <v>581.88778927327667</v>
      </c>
      <c r="T99" s="59">
        <f t="shared" si="88"/>
        <v>269.67340993773422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49.361789158214798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49.361789158214798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1.7053025658242404E-13</v>
      </c>
      <c r="AJ99" s="13">
        <f>AI99*VLOOKUP('Données projet'!$B$10,Paramètres!$A$1:$I$89,3,0)*VLOOKUP('Données projet'!$B$10,Paramètres!$A$1:$I$89,5,0)</f>
        <v>1.1173142411280423E-13</v>
      </c>
      <c r="AK99" s="13">
        <f t="shared" si="89"/>
        <v>1.6569896290553793E-12</v>
      </c>
      <c r="AL99" s="20">
        <f t="shared" si="58"/>
        <v>3.0805225009345862E-12</v>
      </c>
      <c r="AM99" s="59">
        <f t="shared" si="59"/>
        <v>293.33333333333638</v>
      </c>
      <c r="AN99" s="59">
        <f ca="1">AVERAGE(OFFSET($AM$3,0,0,'Données projet'!$E$10+1,1))-AVERAGE(OFFSET($H$3,0,0,'Données projet'!$E$10+1,1))</f>
        <v>230.58262378842818</v>
      </c>
      <c r="AO99" s="59">
        <f t="shared" si="90"/>
        <v>235.68746142880792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49.08258564693341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49.08258564693341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272.37556320000027</v>
      </c>
      <c r="BF99" s="13">
        <f t="shared" si="91"/>
        <v>65.35316643513535</v>
      </c>
      <c r="BG99" s="20">
        <f t="shared" si="61"/>
        <v>588.21087078119456</v>
      </c>
      <c r="BH99" s="59">
        <f t="shared" si="62"/>
        <v>881.54420411452793</v>
      </c>
      <c r="BI99" s="59">
        <f ca="1">AVERAGE(OFFSET($BH$3,0,0,'Données projet'!$E$11+1,1))-AVERAGE(OFFSET($H$3,0,0,'Données projet'!$E$11+1,1))</f>
        <v>581.88778927327667</v>
      </c>
      <c r="BJ99" s="59">
        <f t="shared" si="92"/>
        <v>269.67340993773422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49.361789158214798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49.361789158214798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286.46395440000026</v>
      </c>
      <c r="CA99" s="13">
        <f t="shared" si="93"/>
        <v>68.331208484937235</v>
      </c>
      <c r="CB99" s="20">
        <f t="shared" si="64"/>
        <v>617.93490869126617</v>
      </c>
      <c r="CC99" s="59">
        <f t="shared" si="65"/>
        <v>911.26824202459943</v>
      </c>
      <c r="CD99" s="59">
        <f ca="1">AVERAGE(OFFSET($CC$3,0,0,'Données projet'!$E$12+1,1))-AVERAGE(OFFSET($H$3,0,0,'Données projet'!$E$12+1,1))</f>
        <v>609.60019207204277</v>
      </c>
      <c r="CE99" s="59">
        <f t="shared" si="94"/>
        <v>281.42238288764503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51.914985149156962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51.914985149156962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1.5999999999905867E-2</v>
      </c>
      <c r="CU99" s="17">
        <f>CT99*VLOOKUP('Données projet'!$B$13,Paramètres!$A$1:$I$89,3,0)*VLOOKUP('Données projet'!$B$13,Paramètres!$A$1:$I$89,5,0)</f>
        <v>1.2729599999925107E-2</v>
      </c>
      <c r="CV99" s="13">
        <f t="shared" si="95"/>
        <v>9.7491417338934176E-3</v>
      </c>
      <c r="CW99" s="20">
        <f t="shared" si="67"/>
        <v>3.9150475186400593E-2</v>
      </c>
      <c r="CX99" s="59">
        <f t="shared" si="68"/>
        <v>293.37248380851969</v>
      </c>
      <c r="CY99" s="59">
        <f ca="1">AVERAGE(OFFSET($CX$3,0,0,'Données projet'!$E$13+1,1))-AVERAGE(OFFSET($H$3,0,0,'Données projet'!$E$13+1,1))</f>
        <v>172.13940525084604</v>
      </c>
      <c r="CZ99" s="59">
        <f t="shared" si="96"/>
        <v>172.82328007157236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33.300687821329035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33.300687821329035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1.7053025658242404E-13</v>
      </c>
      <c r="DP99" s="17">
        <f>DO99*VLOOKUP('Données projet'!$B$14,Paramètres!$A$1:$I$89,3,0)*VLOOKUP('Données projet'!$B$14,Paramètres!$A$1:$I$89,5,0)</f>
        <v>1.250327841262333E-13</v>
      </c>
      <c r="DQ99" s="13">
        <f t="shared" si="97"/>
        <v>1.8301318724634299E-12</v>
      </c>
      <c r="DR99" s="20">
        <f t="shared" si="70"/>
        <v>3.405245110226996E-12</v>
      </c>
      <c r="DS99" s="59">
        <f t="shared" si="71"/>
        <v>293.33333333333672</v>
      </c>
      <c r="DT99" s="59">
        <f ca="1">AVERAGE(OFFSET($DS$3,0,0,'Données projet'!$E$14+1,1))-AVERAGE(OFFSET($H$3,0,0,'Données projet'!$E$14+1,1))</f>
        <v>197.34725966440715</v>
      </c>
      <c r="DU99" s="59">
        <f t="shared" si="98"/>
        <v>240.16326570529532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17.593714675846389</v>
      </c>
      <c r="EB99" s="21">
        <f>EXP(-LN(2)/25)*EB98+(1-EXP(-LN(2)/25))/(LN(2)/25)*Calculateur!DW99*Calculateur!DY99*VLOOKUP('Données projet'!$B$14,Paramètres!$A$1:$I$89,3,0)*0.475*44/12</f>
        <v>8.6028172761243447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26.196531951970734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5.6843418860808015E-14</v>
      </c>
      <c r="EK99" s="17">
        <f>EJ99*VLOOKUP('Données projet'!$B$15,Paramètres!$A$1:$I$89,3,0)*VLOOKUP('Données projet'!$B$15,Paramètres!$A$1:$I$89,5,0)</f>
        <v>4.4337866711430253E-14</v>
      </c>
      <c r="EL99" s="13">
        <f t="shared" si="99"/>
        <v>7.3222115536967035E-13</v>
      </c>
      <c r="EM99" s="20">
        <f t="shared" si="73"/>
        <v>1.3525069634579169E-12</v>
      </c>
      <c r="EN99" s="59">
        <f t="shared" si="74"/>
        <v>293.33333333333468</v>
      </c>
      <c r="EO99" s="59">
        <f ca="1">AVERAGE(OFFSET($EN$3,0,0,'Données projet'!$E$15+1,1))-AVERAGE(OFFSET($H$3,0,0,'Données projet'!$E$15+1,1))</f>
        <v>288.82868507674738</v>
      </c>
      <c r="EP99" s="59">
        <f t="shared" si="100"/>
        <v>283.48738729114024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60.456390835965799</v>
      </c>
      <c r="EW99" s="21">
        <f>EXP(-LN(2)/25)*EW98+(1-EXP(-LN(2)/25))/(LN(2)/25)*Calculateur!ER99*Calculateur!ET99*VLOOKUP('Données projet'!$B$15,Paramètres!$A$1:$I$89,3,0)*0.475*44/12</f>
        <v>24.079130331186668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84.535521167152467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8.0470000000000024</v>
      </c>
      <c r="N100" s="13">
        <f>IF('Données projet'!$A$36&gt;35,N99+M100-V99,IF(A100&lt;'Données projet'!$A$36,$K$205^A100,IF(A100='Données projet'!$A$36,'Données projet'!$B$36,N99+M100-V99)))</f>
        <v>309.0810000000003</v>
      </c>
      <c r="O100" s="13">
        <f>N100*VLOOKUP('Données projet'!$B$9,Paramètres!$A$1:$I$89,3,0)*VLOOKUP('Données projet'!$B$9,Paramètres!$A$1:$I$89,5,0)</f>
        <v>279.65648880000026</v>
      </c>
      <c r="P100" s="13">
        <f t="shared" si="87"/>
        <v>66.894409904113928</v>
      </c>
      <c r="Q100" s="20">
        <f t="shared" si="107"/>
        <v>603.57614857633223</v>
      </c>
      <c r="R100" s="59">
        <f t="shared" si="55"/>
        <v>896.9094819096656</v>
      </c>
      <c r="S100" s="59">
        <f ca="1">AVERAGE(OFFSET($R$3,0,0,'Données projet'!$E$9+1,1))-AVERAGE(OFFSET($H$3,0,0,'Données projet'!$E$9+1,1))</f>
        <v>581.88778927327667</v>
      </c>
      <c r="T100" s="59">
        <f t="shared" si="88"/>
        <v>269.67340993773422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48.393834580540698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48.393834580540698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1.7053025658242404E-13</v>
      </c>
      <c r="AJ100" s="13">
        <f>AI100*VLOOKUP('Données projet'!$B$10,Paramètres!$A$1:$I$89,3,0)*VLOOKUP('Données projet'!$B$10,Paramètres!$A$1:$I$89,5,0)</f>
        <v>1.1173142411280423E-13</v>
      </c>
      <c r="AK100" s="13">
        <f t="shared" si="89"/>
        <v>1.6569896290553793E-12</v>
      </c>
      <c r="AL100" s="20">
        <f t="shared" si="58"/>
        <v>3.0805225009345862E-12</v>
      </c>
      <c r="AM100" s="59">
        <f t="shared" si="59"/>
        <v>293.33333333333638</v>
      </c>
      <c r="AN100" s="59">
        <f ca="1">AVERAGE(OFFSET($AM$3,0,0,'Données projet'!$E$10+1,1))-AVERAGE(OFFSET($H$3,0,0,'Données projet'!$E$10+1,1))</f>
        <v>230.58262378842818</v>
      </c>
      <c r="AO100" s="59">
        <f t="shared" si="90"/>
        <v>235.68746142880792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48.120106079818214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48.120106079818214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279.65648880000026</v>
      </c>
      <c r="BF100" s="13">
        <f t="shared" si="91"/>
        <v>66.894409904113928</v>
      </c>
      <c r="BG100" s="20">
        <f t="shared" si="61"/>
        <v>603.57614857633223</v>
      </c>
      <c r="BH100" s="59">
        <f t="shared" si="62"/>
        <v>896.9094819096656</v>
      </c>
      <c r="BI100" s="59">
        <f ca="1">AVERAGE(OFFSET($BH$3,0,0,'Données projet'!$E$11+1,1))-AVERAGE(OFFSET($H$3,0,0,'Données projet'!$E$11+1,1))</f>
        <v>581.88778927327667</v>
      </c>
      <c r="BJ100" s="59">
        <f t="shared" si="92"/>
        <v>269.67340993773422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48.393834580540698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48.393834580540698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294.12147960000027</v>
      </c>
      <c r="CA100" s="13">
        <f t="shared" si="93"/>
        <v>69.942684019322471</v>
      </c>
      <c r="CB100" s="20">
        <f t="shared" si="64"/>
        <v>634.07841830365373</v>
      </c>
      <c r="CC100" s="59">
        <f t="shared" si="65"/>
        <v>927.41175163698699</v>
      </c>
      <c r="CD100" s="59">
        <f ca="1">AVERAGE(OFFSET($CC$3,0,0,'Données projet'!$E$12+1,1))-AVERAGE(OFFSET($H$3,0,0,'Données projet'!$E$12+1,1))</f>
        <v>609.60019207204277</v>
      </c>
      <c r="CE100" s="59">
        <f t="shared" si="94"/>
        <v>281.42238288764503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50.896963955396274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50.896963955396274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1.5999999999905867E-2</v>
      </c>
      <c r="CU100" s="17">
        <f>CT100*VLOOKUP('Données projet'!$B$13,Paramètres!$A$1:$I$89,3,0)*VLOOKUP('Données projet'!$B$13,Paramètres!$A$1:$I$89,5,0)</f>
        <v>1.2729599999925107E-2</v>
      </c>
      <c r="CV100" s="13">
        <f t="shared" si="95"/>
        <v>9.7491417338934176E-3</v>
      </c>
      <c r="CW100" s="20">
        <f t="shared" si="67"/>
        <v>3.9150475186400593E-2</v>
      </c>
      <c r="CX100" s="59">
        <f t="shared" si="68"/>
        <v>293.37248380851969</v>
      </c>
      <c r="CY100" s="59">
        <f ca="1">AVERAGE(OFFSET($CX$3,0,0,'Données projet'!$E$13+1,1))-AVERAGE(OFFSET($H$3,0,0,'Données projet'!$E$13+1,1))</f>
        <v>172.13940525084604</v>
      </c>
      <c r="CZ100" s="59">
        <f t="shared" si="96"/>
        <v>172.82328007157236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32.647681644566759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32.647681644566759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1.7053025658242404E-13</v>
      </c>
      <c r="DP100" s="17">
        <f>DO100*VLOOKUP('Données projet'!$B$14,Paramètres!$A$1:$I$89,3,0)*VLOOKUP('Données projet'!$B$14,Paramètres!$A$1:$I$89,5,0)</f>
        <v>1.250327841262333E-13</v>
      </c>
      <c r="DQ100" s="13">
        <f t="shared" si="97"/>
        <v>1.8301318724634299E-12</v>
      </c>
      <c r="DR100" s="20">
        <f t="shared" si="70"/>
        <v>3.405245110226996E-12</v>
      </c>
      <c r="DS100" s="59">
        <f t="shared" si="71"/>
        <v>293.33333333333672</v>
      </c>
      <c r="DT100" s="59">
        <f ca="1">AVERAGE(OFFSET($DS$3,0,0,'Données projet'!$E$14+1,1))-AVERAGE(OFFSET($H$3,0,0,'Données projet'!$E$14+1,1))</f>
        <v>197.34725966440715</v>
      </c>
      <c r="DU100" s="59">
        <f t="shared" si="98"/>
        <v>240.16326570529532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17.248712662159384</v>
      </c>
      <c r="EB100" s="21">
        <f>EXP(-LN(2)/25)*EB99+(1-EXP(-LN(2)/25))/(LN(2)/25)*Calculateur!DW100*Calculateur!DY100*VLOOKUP('Données projet'!$B$14,Paramètres!$A$1:$I$89,3,0)*0.475*44/12</f>
        <v>8.3675727853062263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25.616285447465611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5.6843418860808015E-14</v>
      </c>
      <c r="EK100" s="17">
        <f>EJ100*VLOOKUP('Données projet'!$B$15,Paramètres!$A$1:$I$89,3,0)*VLOOKUP('Données projet'!$B$15,Paramètres!$A$1:$I$89,5,0)</f>
        <v>4.4337866711430253E-14</v>
      </c>
      <c r="EL100" s="13">
        <f t="shared" si="99"/>
        <v>7.3222115536967035E-13</v>
      </c>
      <c r="EM100" s="20">
        <f t="shared" si="73"/>
        <v>1.3525069634579169E-12</v>
      </c>
      <c r="EN100" s="59">
        <f t="shared" si="74"/>
        <v>293.33333333333468</v>
      </c>
      <c r="EO100" s="59">
        <f ca="1">AVERAGE(OFFSET($EN$3,0,0,'Données projet'!$E$15+1,1))-AVERAGE(OFFSET($H$3,0,0,'Données projet'!$E$15+1,1))</f>
        <v>288.82868507674738</v>
      </c>
      <c r="EP100" s="59">
        <f t="shared" si="100"/>
        <v>283.48738729114024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59.270877886429837</v>
      </c>
      <c r="EW100" s="21">
        <f>EXP(-LN(2)/25)*EW99+(1-EXP(-LN(2)/25))/(LN(2)/25)*Calculateur!ER100*Calculateur!ET100*VLOOKUP('Données projet'!$B$15,Paramètres!$A$1:$I$89,3,0)*0.475*44/12</f>
        <v>23.420685246013939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82.691563132443775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8.0470000000000024</v>
      </c>
      <c r="N101" s="13">
        <f>IF('Données projet'!$A$36&gt;35,N100+M101-V100,IF(A101&lt;'Données projet'!$A$36,$K$205^A101,IF(A101='Données projet'!$A$36,'Données projet'!$B$36,N100+M101-V100)))</f>
        <v>317.12800000000033</v>
      </c>
      <c r="O101" s="13">
        <f>N101*VLOOKUP('Données projet'!$B$9,Paramètres!$A$1:$I$89,3,0)*VLOOKUP('Données projet'!$B$9,Paramètres!$A$1:$I$89,5,0)</f>
        <v>286.93741440000031</v>
      </c>
      <c r="P101" s="13">
        <f t="shared" si="87"/>
        <v>68.430989143985158</v>
      </c>
      <c r="Q101" s="20">
        <f t="shared" si="107"/>
        <v>618.93330283910791</v>
      </c>
      <c r="R101" s="59">
        <f t="shared" si="55"/>
        <v>912.26663617244117</v>
      </c>
      <c r="S101" s="59">
        <f ca="1">AVERAGE(OFFSET($R$3,0,0,'Données projet'!$E$9+1,1))-AVERAGE(OFFSET($H$3,0,0,'Données projet'!$E$9+1,1))</f>
        <v>581.88778927327667</v>
      </c>
      <c r="T101" s="59">
        <f t="shared" si="88"/>
        <v>269.67340993773422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47.444861001740797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47.444861001740797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1.7053025658242404E-13</v>
      </c>
      <c r="AJ101" s="13">
        <f>AI101*VLOOKUP('Données projet'!$B$10,Paramètres!$A$1:$I$89,3,0)*VLOOKUP('Données projet'!$B$10,Paramètres!$A$1:$I$89,5,0)</f>
        <v>1.1173142411280423E-13</v>
      </c>
      <c r="AK101" s="13">
        <f t="shared" si="89"/>
        <v>1.6569896290553793E-12</v>
      </c>
      <c r="AL101" s="20">
        <f t="shared" si="58"/>
        <v>3.0805225009345862E-12</v>
      </c>
      <c r="AM101" s="59">
        <f t="shared" si="59"/>
        <v>293.33333333333638</v>
      </c>
      <c r="AN101" s="59">
        <f ca="1">AVERAGE(OFFSET($AM$3,0,0,'Données projet'!$E$10+1,1))-AVERAGE(OFFSET($H$3,0,0,'Données projet'!$E$10+1,1))</f>
        <v>230.58262378842818</v>
      </c>
      <c r="AO101" s="59">
        <f t="shared" si="90"/>
        <v>235.68746142880792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47.17650014995958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47.17650014995958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286.93741440000031</v>
      </c>
      <c r="BF101" s="13">
        <f t="shared" si="91"/>
        <v>68.430989143985158</v>
      </c>
      <c r="BG101" s="20">
        <f t="shared" si="61"/>
        <v>618.93330283910791</v>
      </c>
      <c r="BH101" s="59">
        <f t="shared" si="62"/>
        <v>912.26663617244117</v>
      </c>
      <c r="BI101" s="59">
        <f ca="1">AVERAGE(OFFSET($BH$3,0,0,'Données projet'!$E$11+1,1))-AVERAGE(OFFSET($H$3,0,0,'Données projet'!$E$11+1,1))</f>
        <v>581.88778927327667</v>
      </c>
      <c r="BJ101" s="59">
        <f t="shared" si="92"/>
        <v>269.67340993773422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47.444861001740797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47.444861001740797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301.77900480000034</v>
      </c>
      <c r="CA101" s="13">
        <f t="shared" si="93"/>
        <v>71.549282782941361</v>
      </c>
      <c r="CB101" s="20">
        <f t="shared" si="64"/>
        <v>650.21343420695678</v>
      </c>
      <c r="CC101" s="59">
        <f t="shared" si="65"/>
        <v>943.54676754029015</v>
      </c>
      <c r="CD101" s="59">
        <f ca="1">AVERAGE(OFFSET($CC$3,0,0,'Données projet'!$E$12+1,1))-AVERAGE(OFFSET($H$3,0,0,'Données projet'!$E$12+1,1))</f>
        <v>609.60019207204277</v>
      </c>
      <c r="CE101" s="59">
        <f t="shared" si="94"/>
        <v>281.42238288764503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49.89890553631362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49.89890553631362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1.5999999999905867E-2</v>
      </c>
      <c r="CU101" s="17">
        <f>CT101*VLOOKUP('Données projet'!$B$13,Paramètres!$A$1:$I$89,3,0)*VLOOKUP('Données projet'!$B$13,Paramètres!$A$1:$I$89,5,0)</f>
        <v>1.2729599999925107E-2</v>
      </c>
      <c r="CV101" s="13">
        <f t="shared" si="95"/>
        <v>9.7491417338934176E-3</v>
      </c>
      <c r="CW101" s="20">
        <f t="shared" si="67"/>
        <v>3.9150475186400593E-2</v>
      </c>
      <c r="CX101" s="59">
        <f t="shared" si="68"/>
        <v>293.37248380851969</v>
      </c>
      <c r="CY101" s="59">
        <f ca="1">AVERAGE(OFFSET($CX$3,0,0,'Données projet'!$E$13+1,1))-AVERAGE(OFFSET($H$3,0,0,'Données projet'!$E$13+1,1))</f>
        <v>172.13940525084604</v>
      </c>
      <c r="CZ101" s="59">
        <f t="shared" si="96"/>
        <v>172.82328007157236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32.007480520636349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32.007480520636349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1.7053025658242404E-13</v>
      </c>
      <c r="DP101" s="17">
        <f>DO101*VLOOKUP('Données projet'!$B$14,Paramètres!$A$1:$I$89,3,0)*VLOOKUP('Données projet'!$B$14,Paramètres!$A$1:$I$89,5,0)</f>
        <v>1.250327841262333E-13</v>
      </c>
      <c r="DQ101" s="13">
        <f t="shared" si="97"/>
        <v>1.8301318724634299E-12</v>
      </c>
      <c r="DR101" s="20">
        <f t="shared" si="70"/>
        <v>3.405245110226996E-12</v>
      </c>
      <c r="DS101" s="59">
        <f t="shared" si="71"/>
        <v>293.33333333333672</v>
      </c>
      <c r="DT101" s="59">
        <f ca="1">AVERAGE(OFFSET($DS$3,0,0,'Données projet'!$E$14+1,1))-AVERAGE(OFFSET($H$3,0,0,'Données projet'!$E$14+1,1))</f>
        <v>197.34725966440715</v>
      </c>
      <c r="DU101" s="59">
        <f t="shared" si="98"/>
        <v>240.16326570529532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16.910475927530332</v>
      </c>
      <c r="EB101" s="21">
        <f>EXP(-LN(2)/25)*EB100+(1-EXP(-LN(2)/25))/(LN(2)/25)*Calculateur!DW101*Calculateur!DY101*VLOOKUP('Données projet'!$B$14,Paramètres!$A$1:$I$89,3,0)*0.475*44/12</f>
        <v>8.1387610674604982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25.049236994990828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5.6843418860808015E-14</v>
      </c>
      <c r="EK101" s="17">
        <f>EJ101*VLOOKUP('Données projet'!$B$15,Paramètres!$A$1:$I$89,3,0)*VLOOKUP('Données projet'!$B$15,Paramètres!$A$1:$I$89,5,0)</f>
        <v>4.4337866711430253E-14</v>
      </c>
      <c r="EL101" s="13">
        <f t="shared" si="99"/>
        <v>7.3222115536967035E-13</v>
      </c>
      <c r="EM101" s="20">
        <f t="shared" si="73"/>
        <v>1.3525069634579169E-12</v>
      </c>
      <c r="EN101" s="59">
        <f t="shared" si="74"/>
        <v>293.33333333333468</v>
      </c>
      <c r="EO101" s="59">
        <f ca="1">AVERAGE(OFFSET($EN$3,0,0,'Données projet'!$E$15+1,1))-AVERAGE(OFFSET($H$3,0,0,'Données projet'!$E$15+1,1))</f>
        <v>288.82868507674738</v>
      </c>
      <c r="EP101" s="59">
        <f t="shared" si="100"/>
        <v>283.48738729114024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58.108612122742777</v>
      </c>
      <c r="EW101" s="21">
        <f>EXP(-LN(2)/25)*EW100+(1-EXP(-LN(2)/25))/(LN(2)/25)*Calculateur!ER101*Calculateur!ET101*VLOOKUP('Données projet'!$B$15,Paramètres!$A$1:$I$89,3,0)*0.475*44/12</f>
        <v>22.780245376321378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80.888857499064159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8.0470000000000024</v>
      </c>
      <c r="N102" s="13">
        <f>IF('Données projet'!$A$36&gt;35,N101+M102-V101,IF(A102&lt;'Données projet'!$A$36,$K$205^A102,IF(A102='Données projet'!$A$36,'Données projet'!$B$36,N101+M102-V101)))</f>
        <v>325.17500000000035</v>
      </c>
      <c r="O102" s="13">
        <f>N102*VLOOKUP('Données projet'!$B$9,Paramètres!$A$1:$I$89,3,0)*VLOOKUP('Données projet'!$B$9,Paramètres!$A$1:$I$89,5,0)</f>
        <v>294.2183400000003</v>
      </c>
      <c r="P102" s="13">
        <f t="shared" si="87"/>
        <v>69.963036117759913</v>
      </c>
      <c r="Q102" s="20">
        <f t="shared" si="107"/>
        <v>634.28256340509904</v>
      </c>
      <c r="R102" s="59">
        <f t="shared" si="55"/>
        <v>927.61589673843241</v>
      </c>
      <c r="S102" s="59">
        <f ca="1">AVERAGE(OFFSET($R$3,0,0,'Données projet'!$E$9+1,1))-AVERAGE(OFFSET($H$3,0,0,'Données projet'!$E$9+1,1))</f>
        <v>581.88778927327667</v>
      </c>
      <c r="T102" s="59">
        <f t="shared" si="88"/>
        <v>269.67340993773422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46.514496216004432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46.514496216004432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1.7053025658242404E-13</v>
      </c>
      <c r="AJ102" s="13">
        <f>AI102*VLOOKUP('Données projet'!$B$10,Paramètres!$A$1:$I$89,3,0)*VLOOKUP('Données projet'!$B$10,Paramètres!$A$1:$I$89,5,0)</f>
        <v>1.1173142411280423E-13</v>
      </c>
      <c r="AK102" s="13">
        <f t="shared" si="89"/>
        <v>1.6569896290553793E-12</v>
      </c>
      <c r="AL102" s="20">
        <f t="shared" si="58"/>
        <v>3.0805225009345862E-12</v>
      </c>
      <c r="AM102" s="59">
        <f t="shared" si="59"/>
        <v>293.33333333333638</v>
      </c>
      <c r="AN102" s="59">
        <f ca="1">AVERAGE(OFFSET($AM$3,0,0,'Données projet'!$E$10+1,1))-AVERAGE(OFFSET($H$3,0,0,'Données projet'!$E$10+1,1))</f>
        <v>230.58262378842818</v>
      </c>
      <c r="AO102" s="59">
        <f t="shared" si="90"/>
        <v>235.68746142880792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46.251397756842685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46.251397756842685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294.2183400000003</v>
      </c>
      <c r="BF102" s="13">
        <f t="shared" si="91"/>
        <v>69.963036117759913</v>
      </c>
      <c r="BG102" s="20">
        <f t="shared" si="61"/>
        <v>634.28256340509904</v>
      </c>
      <c r="BH102" s="59">
        <f t="shared" si="62"/>
        <v>927.61589673843241</v>
      </c>
      <c r="BI102" s="59">
        <f ca="1">AVERAGE(OFFSET($BH$3,0,0,'Données projet'!$E$11+1,1))-AVERAGE(OFFSET($H$3,0,0,'Données projet'!$E$11+1,1))</f>
        <v>581.88778927327667</v>
      </c>
      <c r="BJ102" s="59">
        <f t="shared" si="92"/>
        <v>269.67340993773422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46.514496216004432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46.514496216004432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309.43653000000035</v>
      </c>
      <c r="CA102" s="13">
        <f t="shared" si="93"/>
        <v>73.151142752153717</v>
      </c>
      <c r="CB102" s="20">
        <f t="shared" si="64"/>
        <v>666.34019671000158</v>
      </c>
      <c r="CC102" s="59">
        <f t="shared" si="65"/>
        <v>959.67353004333495</v>
      </c>
      <c r="CD102" s="59">
        <f ca="1">AVERAGE(OFFSET($CC$3,0,0,'Données projet'!$E$12+1,1))-AVERAGE(OFFSET($H$3,0,0,'Données projet'!$E$12+1,1))</f>
        <v>609.60019207204277</v>
      </c>
      <c r="CE102" s="59">
        <f t="shared" si="94"/>
        <v>281.42238288764503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48.920418434073646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48.920418434073646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1.5999999999905867E-2</v>
      </c>
      <c r="CU102" s="17">
        <f>CT102*VLOOKUP('Données projet'!$B$13,Paramètres!$A$1:$I$89,3,0)*VLOOKUP('Données projet'!$B$13,Paramètres!$A$1:$I$89,5,0)</f>
        <v>1.2729599999925107E-2</v>
      </c>
      <c r="CV102" s="13">
        <f t="shared" si="95"/>
        <v>9.7491417338934176E-3</v>
      </c>
      <c r="CW102" s="20">
        <f t="shared" si="67"/>
        <v>3.9150475186400593E-2</v>
      </c>
      <c r="CX102" s="59">
        <f t="shared" si="68"/>
        <v>293.37248380851969</v>
      </c>
      <c r="CY102" s="59">
        <f ca="1">AVERAGE(OFFSET($CX$3,0,0,'Données projet'!$E$13+1,1))-AVERAGE(OFFSET($H$3,0,0,'Données projet'!$E$13+1,1))</f>
        <v>172.13940525084604</v>
      </c>
      <c r="CZ102" s="59">
        <f t="shared" si="96"/>
        <v>172.82328007157236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31.379833350262089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31.379833350262089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1.7053025658242404E-13</v>
      </c>
      <c r="DP102" s="17">
        <f>DO102*VLOOKUP('Données projet'!$B$14,Paramètres!$A$1:$I$89,3,0)*VLOOKUP('Données projet'!$B$14,Paramètres!$A$1:$I$89,5,0)</f>
        <v>1.250327841262333E-13</v>
      </c>
      <c r="DQ102" s="13">
        <f t="shared" si="97"/>
        <v>1.8301318724634299E-12</v>
      </c>
      <c r="DR102" s="20">
        <f t="shared" si="70"/>
        <v>3.405245110226996E-12</v>
      </c>
      <c r="DS102" s="59">
        <f t="shared" si="71"/>
        <v>293.33333333333672</v>
      </c>
      <c r="DT102" s="59">
        <f ca="1">AVERAGE(OFFSET($DS$3,0,0,'Données projet'!$E$14+1,1))-AVERAGE(OFFSET($H$3,0,0,'Données projet'!$E$14+1,1))</f>
        <v>197.34725966440715</v>
      </c>
      <c r="DU102" s="59">
        <f t="shared" si="98"/>
        <v>240.16326570529532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16.578871808963317</v>
      </c>
      <c r="EB102" s="21">
        <f>EXP(-LN(2)/25)*EB101+(1-EXP(-LN(2)/25))/(LN(2)/25)*Calculateur!DW102*Calculateur!DY102*VLOOKUP('Données projet'!$B$14,Paramètres!$A$1:$I$89,3,0)*0.475*44/12</f>
        <v>7.9162062180719479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24.495078027035266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5.6843418860808015E-14</v>
      </c>
      <c r="EK102" s="17">
        <f>EJ102*VLOOKUP('Données projet'!$B$15,Paramètres!$A$1:$I$89,3,0)*VLOOKUP('Données projet'!$B$15,Paramètres!$A$1:$I$89,5,0)</f>
        <v>4.4337866711430253E-14</v>
      </c>
      <c r="EL102" s="13">
        <f t="shared" si="99"/>
        <v>7.3222115536967035E-13</v>
      </c>
      <c r="EM102" s="20">
        <f t="shared" si="73"/>
        <v>1.3525069634579169E-12</v>
      </c>
      <c r="EN102" s="59">
        <f t="shared" si="74"/>
        <v>293.33333333333468</v>
      </c>
      <c r="EO102" s="59">
        <f ca="1">AVERAGE(OFFSET($EN$3,0,0,'Données projet'!$E$15+1,1))-AVERAGE(OFFSET($H$3,0,0,'Données projet'!$E$15+1,1))</f>
        <v>288.82868507674738</v>
      </c>
      <c r="EP102" s="59">
        <f t="shared" si="100"/>
        <v>283.48738729114024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56.969137681769503</v>
      </c>
      <c r="EW102" s="21">
        <f>EXP(-LN(2)/25)*EW101+(1-EXP(-LN(2)/25))/(LN(2)/25)*Calculateur!ER102*Calculateur!ET102*VLOOKUP('Données projet'!$B$15,Paramètres!$A$1:$I$89,3,0)*0.475*44/12</f>
        <v>22.157318368544832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79.126456050314331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8.0470000000000024</v>
      </c>
      <c r="N103" s="13">
        <f>IF('Données projet'!$A$36&gt;35,N102+M103-V102,IF(A103&lt;'Données projet'!$A$36,$K$205^A103,IF(A103='Données projet'!$A$36,'Données projet'!$B$36,N102+M103-V102)))</f>
        <v>333.22200000000038</v>
      </c>
      <c r="O103" s="13">
        <f>N103*VLOOKUP('Données projet'!$B$9,Paramètres!$A$1:$I$89,3,0)*VLOOKUP('Données projet'!$B$9,Paramètres!$A$1:$I$89,5,0)</f>
        <v>301.49926560000034</v>
      </c>
      <c r="P103" s="13">
        <f t="shared" si="87"/>
        <v>71.490675884857296</v>
      </c>
      <c r="Q103" s="20">
        <f t="shared" si="107"/>
        <v>649.62414808612709</v>
      </c>
      <c r="R103" s="59">
        <f t="shared" si="55"/>
        <v>942.95748141946046</v>
      </c>
      <c r="S103" s="59">
        <f ca="1">AVERAGE(OFFSET($R$3,0,0,'Données projet'!$E$9+1,1))-AVERAGE(OFFSET($H$3,0,0,'Données projet'!$E$9+1,1))</f>
        <v>581.88778927327667</v>
      </c>
      <c r="T103" s="59">
        <f t="shared" si="88"/>
        <v>269.67340993773422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45.602375316249869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45.602375316249869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1.7053025658242404E-13</v>
      </c>
      <c r="AJ103" s="13">
        <f>AI103*VLOOKUP('Données projet'!$B$10,Paramètres!$A$1:$I$89,3,0)*VLOOKUP('Données projet'!$B$10,Paramètres!$A$1:$I$89,5,0)</f>
        <v>1.1173142411280423E-13</v>
      </c>
      <c r="AK103" s="13">
        <f t="shared" si="89"/>
        <v>1.6569896290553793E-12</v>
      </c>
      <c r="AL103" s="20">
        <f t="shared" si="58"/>
        <v>3.0805225009345862E-12</v>
      </c>
      <c r="AM103" s="59">
        <f t="shared" si="59"/>
        <v>293.33333333333638</v>
      </c>
      <c r="AN103" s="59">
        <f ca="1">AVERAGE(OFFSET($AM$3,0,0,'Données projet'!$E$10+1,1))-AVERAGE(OFFSET($H$3,0,0,'Données projet'!$E$10+1,1))</f>
        <v>230.58262378842818</v>
      </c>
      <c r="AO103" s="59">
        <f t="shared" si="90"/>
        <v>235.68746142880792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45.34443605739807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45.34443605739807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301.49926560000034</v>
      </c>
      <c r="BF103" s="13">
        <f t="shared" si="91"/>
        <v>71.490675884857296</v>
      </c>
      <c r="BG103" s="20">
        <f t="shared" si="61"/>
        <v>649.62414808612709</v>
      </c>
      <c r="BH103" s="59">
        <f t="shared" si="62"/>
        <v>942.95748141946046</v>
      </c>
      <c r="BI103" s="59">
        <f ca="1">AVERAGE(OFFSET($BH$3,0,0,'Données projet'!$E$11+1,1))-AVERAGE(OFFSET($H$3,0,0,'Données projet'!$E$11+1,1))</f>
        <v>581.88778927327667</v>
      </c>
      <c r="BJ103" s="59">
        <f t="shared" si="92"/>
        <v>269.67340993773422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45.602375316249869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45.602375316249869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317.09405520000035</v>
      </c>
      <c r="CA103" s="13">
        <f t="shared" si="93"/>
        <v>74.748394685141804</v>
      </c>
      <c r="CB103" s="20">
        <f t="shared" si="64"/>
        <v>682.45893354995599</v>
      </c>
      <c r="CC103" s="59">
        <f t="shared" si="65"/>
        <v>975.79226688328936</v>
      </c>
      <c r="CD103" s="59">
        <f ca="1">AVERAGE(OFFSET($CC$3,0,0,'Données projet'!$E$12+1,1))-AVERAGE(OFFSET($H$3,0,0,'Données projet'!$E$12+1,1))</f>
        <v>609.60019207204277</v>
      </c>
      <c r="CE103" s="59">
        <f t="shared" si="94"/>
        <v>281.42238288764503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47.961118867090399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47.961118867090399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1.5999999999905867E-2</v>
      </c>
      <c r="CU103" s="17">
        <f>CT103*VLOOKUP('Données projet'!$B$13,Paramètres!$A$1:$I$89,3,0)*VLOOKUP('Données projet'!$B$13,Paramètres!$A$1:$I$89,5,0)</f>
        <v>1.2729599999925107E-2</v>
      </c>
      <c r="CV103" s="13">
        <f t="shared" si="95"/>
        <v>9.7491417338934176E-3</v>
      </c>
      <c r="CW103" s="20">
        <f t="shared" si="67"/>
        <v>3.9150475186400593E-2</v>
      </c>
      <c r="CX103" s="59">
        <f t="shared" si="68"/>
        <v>293.37248380851969</v>
      </c>
      <c r="CY103" s="59">
        <f ca="1">AVERAGE(OFFSET($CX$3,0,0,'Données projet'!$E$13+1,1))-AVERAGE(OFFSET($H$3,0,0,'Données projet'!$E$13+1,1))</f>
        <v>172.13940525084604</v>
      </c>
      <c r="CZ103" s="59">
        <f t="shared" si="96"/>
        <v>172.82328007157236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30.764493958071895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30.764493958071895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1.7053025658242404E-13</v>
      </c>
      <c r="DP103" s="17">
        <f>DO103*VLOOKUP('Données projet'!$B$14,Paramètres!$A$1:$I$89,3,0)*VLOOKUP('Données projet'!$B$14,Paramètres!$A$1:$I$89,5,0)</f>
        <v>1.250327841262333E-13</v>
      </c>
      <c r="DQ103" s="13">
        <f t="shared" si="97"/>
        <v>1.8301318724634299E-12</v>
      </c>
      <c r="DR103" s="20">
        <f t="shared" si="70"/>
        <v>3.405245110226996E-12</v>
      </c>
      <c r="DS103" s="59">
        <f t="shared" si="71"/>
        <v>293.33333333333672</v>
      </c>
      <c r="DT103" s="59">
        <f ca="1">AVERAGE(OFFSET($DS$3,0,0,'Données projet'!$E$14+1,1))-AVERAGE(OFFSET($H$3,0,0,'Données projet'!$E$14+1,1))</f>
        <v>197.34725966440715</v>
      </c>
      <c r="DU103" s="59">
        <f t="shared" si="98"/>
        <v>240.16326570529532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16.25377024490286</v>
      </c>
      <c r="EB103" s="21">
        <f>EXP(-LN(2)/25)*EB102+(1-EXP(-LN(2)/25))/(LN(2)/25)*Calculateur!DW103*Calculateur!DY103*VLOOKUP('Données projet'!$B$14,Paramètres!$A$1:$I$89,3,0)*0.475*44/12</f>
        <v>7.6997371427435786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23.953507387646439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5.6843418860808015E-14</v>
      </c>
      <c r="EK103" s="17">
        <f>EJ103*VLOOKUP('Données projet'!$B$15,Paramètres!$A$1:$I$89,3,0)*VLOOKUP('Données projet'!$B$15,Paramètres!$A$1:$I$89,5,0)</f>
        <v>4.4337866711430253E-14</v>
      </c>
      <c r="EL103" s="13">
        <f t="shared" si="99"/>
        <v>7.3222115536967035E-13</v>
      </c>
      <c r="EM103" s="20">
        <f t="shared" si="73"/>
        <v>1.3525069634579169E-12</v>
      </c>
      <c r="EN103" s="59">
        <f t="shared" si="74"/>
        <v>293.33333333333468</v>
      </c>
      <c r="EO103" s="59">
        <f ca="1">AVERAGE(OFFSET($EN$3,0,0,'Données projet'!$E$15+1,1))-AVERAGE(OFFSET($H$3,0,0,'Données projet'!$E$15+1,1))</f>
        <v>288.82868507674738</v>
      </c>
      <c r="EP103" s="59">
        <f t="shared" si="100"/>
        <v>283.48738729114024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55.852007639572932</v>
      </c>
      <c r="EW103" s="21">
        <f>EXP(-LN(2)/25)*EW102+(1-EXP(-LN(2)/25))/(LN(2)/25)*Calculateur!ER103*Calculateur!ET103*VLOOKUP('Données projet'!$B$15,Paramètres!$A$1:$I$89,3,0)*0.475*44/12</f>
        <v>21.551425332554242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77.403432972127177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8.0470000000000024</v>
      </c>
      <c r="N104" s="13">
        <f>IF('Données projet'!$A$36&gt;35,N103+M104-V103,IF(A104&lt;'Données projet'!$A$36,$K$205^A104,IF(A104='Données projet'!$A$36,'Données projet'!$B$36,N103+M104-V103)))</f>
        <v>341.2690000000004</v>
      </c>
      <c r="O104" s="13">
        <f>N104*VLOOKUP('Données projet'!$B$9,Paramètres!$A$1:$I$89,3,0)*VLOOKUP('Données projet'!$B$9,Paramètres!$A$1:$I$89,5,0)</f>
        <v>308.78019120000033</v>
      </c>
      <c r="P104" s="13">
        <f t="shared" si="87"/>
        <v>73.014027120130123</v>
      </c>
      <c r="Q104" s="20">
        <f t="shared" si="107"/>
        <v>664.95826357422709</v>
      </c>
      <c r="R104" s="59">
        <f t="shared" si="55"/>
        <v>958.29159690756046</v>
      </c>
      <c r="S104" s="59">
        <f ca="1">AVERAGE(OFFSET($R$3,0,0,'Données projet'!$E$9+1,1))-AVERAGE(OFFSET($H$3,0,0,'Données projet'!$E$9+1,1))</f>
        <v>581.88778927327667</v>
      </c>
      <c r="T104" s="59">
        <f t="shared" si="88"/>
        <v>269.67340993773422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44.708140551000682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44.708140551000682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1.7053025658242404E-13</v>
      </c>
      <c r="AJ104" s="13">
        <f>AI104*VLOOKUP('Données projet'!$B$10,Paramètres!$A$1:$I$89,3,0)*VLOOKUP('Données projet'!$B$10,Paramètres!$A$1:$I$89,5,0)</f>
        <v>1.1173142411280423E-13</v>
      </c>
      <c r="AK104" s="13">
        <f t="shared" si="89"/>
        <v>1.6569896290553793E-12</v>
      </c>
      <c r="AL104" s="20">
        <f t="shared" si="58"/>
        <v>3.0805225009345862E-12</v>
      </c>
      <c r="AM104" s="59">
        <f t="shared" si="59"/>
        <v>293.33333333333638</v>
      </c>
      <c r="AN104" s="59">
        <f ca="1">AVERAGE(OFFSET($AM$3,0,0,'Données projet'!$E$10+1,1))-AVERAGE(OFFSET($H$3,0,0,'Données projet'!$E$10+1,1))</f>
        <v>230.58262378842818</v>
      </c>
      <c r="AO104" s="59">
        <f t="shared" si="90"/>
        <v>235.68746142880792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44.45525932368755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44.45525932368755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308.78019120000033</v>
      </c>
      <c r="BF104" s="13">
        <f t="shared" si="91"/>
        <v>73.014027120130123</v>
      </c>
      <c r="BG104" s="20">
        <f t="shared" si="61"/>
        <v>664.95826357422709</v>
      </c>
      <c r="BH104" s="59">
        <f t="shared" si="62"/>
        <v>958.29159690756046</v>
      </c>
      <c r="BI104" s="59">
        <f ca="1">AVERAGE(OFFSET($BH$3,0,0,'Données projet'!$E$11+1,1))-AVERAGE(OFFSET($H$3,0,0,'Données projet'!$E$11+1,1))</f>
        <v>581.88778927327667</v>
      </c>
      <c r="BJ104" s="59">
        <f t="shared" si="92"/>
        <v>269.67340993773422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44.708140551000682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44.708140551000682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324.75158040000036</v>
      </c>
      <c r="CA104" s="13">
        <f t="shared" si="93"/>
        <v>76.341162664586662</v>
      </c>
      <c r="CB104" s="20">
        <f t="shared" si="64"/>
        <v>698.56986083748905</v>
      </c>
      <c r="CC104" s="59">
        <f t="shared" si="65"/>
        <v>991.90319417082242</v>
      </c>
      <c r="CD104" s="59">
        <f ca="1">AVERAGE(OFFSET($CC$3,0,0,'Données projet'!$E$12+1,1))-AVERAGE(OFFSET($H$3,0,0,'Données projet'!$E$12+1,1))</f>
        <v>609.60019207204277</v>
      </c>
      <c r="CE104" s="59">
        <f t="shared" si="94"/>
        <v>281.42238288764503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47.020630579500732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47.020630579500732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1.5999999999905867E-2</v>
      </c>
      <c r="CU104" s="17">
        <f>CT104*VLOOKUP('Données projet'!$B$13,Paramètres!$A$1:$I$89,3,0)*VLOOKUP('Données projet'!$B$13,Paramètres!$A$1:$I$89,5,0)</f>
        <v>1.2729599999925107E-2</v>
      </c>
      <c r="CV104" s="13">
        <f t="shared" si="95"/>
        <v>9.7491417338934176E-3</v>
      </c>
      <c r="CW104" s="20">
        <f t="shared" si="67"/>
        <v>3.9150475186400593E-2</v>
      </c>
      <c r="CX104" s="59">
        <f t="shared" si="68"/>
        <v>293.37248380851969</v>
      </c>
      <c r="CY104" s="59">
        <f ca="1">AVERAGE(OFFSET($CX$3,0,0,'Données projet'!$E$13+1,1))-AVERAGE(OFFSET($H$3,0,0,'Données projet'!$E$13+1,1))</f>
        <v>172.13940525084604</v>
      </c>
      <c r="CZ104" s="59">
        <f t="shared" si="96"/>
        <v>172.82328007157236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30.16122099604258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30.16122099604258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1.7053025658242404E-13</v>
      </c>
      <c r="DP104" s="17">
        <f>DO104*VLOOKUP('Données projet'!$B$14,Paramètres!$A$1:$I$89,3,0)*VLOOKUP('Données projet'!$B$14,Paramètres!$A$1:$I$89,5,0)</f>
        <v>1.250327841262333E-13</v>
      </c>
      <c r="DQ104" s="13">
        <f t="shared" si="97"/>
        <v>1.8301318724634299E-12</v>
      </c>
      <c r="DR104" s="20">
        <f t="shared" si="70"/>
        <v>3.405245110226996E-12</v>
      </c>
      <c r="DS104" s="59">
        <f t="shared" si="71"/>
        <v>293.33333333333672</v>
      </c>
      <c r="DT104" s="59">
        <f ca="1">AVERAGE(OFFSET($DS$3,0,0,'Données projet'!$E$14+1,1))-AVERAGE(OFFSET($H$3,0,0,'Données projet'!$E$14+1,1))</f>
        <v>197.34725966440715</v>
      </c>
      <c r="DU104" s="59">
        <f t="shared" si="98"/>
        <v>240.16326570529532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15.935043724221256</v>
      </c>
      <c r="EB104" s="21">
        <f>EXP(-LN(2)/25)*EB103+(1-EXP(-LN(2)/25))/(LN(2)/25)*Calculateur!DW104*Calculateur!DY104*VLOOKUP('Données projet'!$B$14,Paramètres!$A$1:$I$89,3,0)*0.475*44/12</f>
        <v>7.489187425663677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23.424231149884932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5.6843418860808015E-14</v>
      </c>
      <c r="EK104" s="17">
        <f>EJ104*VLOOKUP('Données projet'!$B$15,Paramètres!$A$1:$I$89,3,0)*VLOOKUP('Données projet'!$B$15,Paramètres!$A$1:$I$89,5,0)</f>
        <v>4.4337866711430253E-14</v>
      </c>
      <c r="EL104" s="13">
        <f t="shared" si="99"/>
        <v>7.3222115536967035E-13</v>
      </c>
      <c r="EM104" s="20">
        <f t="shared" si="73"/>
        <v>1.3525069634579169E-12</v>
      </c>
      <c r="EN104" s="59">
        <f t="shared" si="74"/>
        <v>293.33333333333468</v>
      </c>
      <c r="EO104" s="59">
        <f ca="1">AVERAGE(OFFSET($EN$3,0,0,'Données projet'!$E$15+1,1))-AVERAGE(OFFSET($H$3,0,0,'Données projet'!$E$15+1,1))</f>
        <v>288.82868507674738</v>
      </c>
      <c r="EP104" s="59">
        <f t="shared" si="100"/>
        <v>283.48738729114024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54.756783836121791</v>
      </c>
      <c r="EW104" s="21">
        <f>EXP(-LN(2)/25)*EW103+(1-EXP(-LN(2)/25))/(LN(2)/25)*Calculateur!ER104*Calculateur!ET104*VLOOKUP('Données projet'!$B$15,Paramètres!$A$1:$I$89,3,0)*0.475*44/12</f>
        <v>20.962100473495344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75.718884309617138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8.0470000000000024</v>
      </c>
      <c r="N105" s="13">
        <f>IF('Données projet'!$A$36&gt;35,N104+M105-V104,IF(A105&lt;'Données projet'!$A$36,$K$205^A105,IF(A105='Données projet'!$A$36,'Données projet'!$B$36,N104+M105-V104)))</f>
        <v>349.31600000000043</v>
      </c>
      <c r="O105" s="13">
        <f>N105*VLOOKUP('Données projet'!$B$9,Paramètres!$A$1:$I$89,3,0)*VLOOKUP('Données projet'!$B$9,Paramètres!$A$1:$I$89,5,0)</f>
        <v>316.06111680000038</v>
      </c>
      <c r="P105" s="13">
        <f t="shared" si="87"/>
        <v>74.533202582557081</v>
      </c>
      <c r="Q105" s="20">
        <f t="shared" si="107"/>
        <v>680.28510625795423</v>
      </c>
      <c r="R105" s="59">
        <f t="shared" si="55"/>
        <v>973.6184395912876</v>
      </c>
      <c r="S105" s="59">
        <f ca="1">AVERAGE(OFFSET($R$3,0,0,'Données projet'!$E$9+1,1))-AVERAGE(OFFSET($H$3,0,0,'Données projet'!$E$9+1,1))</f>
        <v>581.88778927327667</v>
      </c>
      <c r="T105" s="59">
        <f t="shared" si="88"/>
        <v>269.67340993773422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43.83144118406868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43.83144118406868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1.7053025658242404E-13</v>
      </c>
      <c r="AJ105" s="13">
        <f>AI105*VLOOKUP('Données projet'!$B$10,Paramètres!$A$1:$I$89,3,0)*VLOOKUP('Données projet'!$B$10,Paramètres!$A$1:$I$89,5,0)</f>
        <v>1.1173142411280423E-13</v>
      </c>
      <c r="AK105" s="13">
        <f t="shared" si="89"/>
        <v>1.6569896290553793E-12</v>
      </c>
      <c r="AL105" s="20">
        <f t="shared" si="58"/>
        <v>3.0805225009345862E-12</v>
      </c>
      <c r="AM105" s="59">
        <f t="shared" si="59"/>
        <v>293.33333333333638</v>
      </c>
      <c r="AN105" s="59">
        <f ca="1">AVERAGE(OFFSET($AM$3,0,0,'Données projet'!$E$10+1,1))-AVERAGE(OFFSET($H$3,0,0,'Données projet'!$E$10+1,1))</f>
        <v>230.58262378842818</v>
      </c>
      <c r="AO105" s="59">
        <f t="shared" si="90"/>
        <v>235.68746142880792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43.583518803380841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43.583518803380841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316.06111680000038</v>
      </c>
      <c r="BF105" s="13">
        <f t="shared" si="91"/>
        <v>74.533202582557081</v>
      </c>
      <c r="BG105" s="20">
        <f t="shared" si="61"/>
        <v>680.28510625795423</v>
      </c>
      <c r="BH105" s="59">
        <f t="shared" si="62"/>
        <v>973.6184395912876</v>
      </c>
      <c r="BI105" s="59">
        <f ca="1">AVERAGE(OFFSET($BH$3,0,0,'Données projet'!$E$11+1,1))-AVERAGE(OFFSET($H$3,0,0,'Données projet'!$E$11+1,1))</f>
        <v>581.88778927327667</v>
      </c>
      <c r="BJ105" s="59">
        <f t="shared" si="92"/>
        <v>269.67340993773422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43.83144118406868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43.83144118406868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332.40910560000043</v>
      </c>
      <c r="CA105" s="13">
        <f t="shared" si="93"/>
        <v>77.92956458771809</v>
      </c>
      <c r="CB105" s="20">
        <f t="shared" si="64"/>
        <v>714.67318391027641</v>
      </c>
      <c r="CC105" s="59">
        <f t="shared" si="65"/>
        <v>1008.0065172436098</v>
      </c>
      <c r="CD105" s="59">
        <f ca="1">AVERAGE(OFFSET($CC$3,0,0,'Données projet'!$E$12+1,1))-AVERAGE(OFFSET($H$3,0,0,'Données projet'!$E$12+1,1))</f>
        <v>609.60019207204277</v>
      </c>
      <c r="CE105" s="59">
        <f t="shared" si="94"/>
        <v>281.42238288764503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46.098584693589487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46.098584693589487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1.5999999999905867E-2</v>
      </c>
      <c r="CU105" s="17">
        <f>CT105*VLOOKUP('Données projet'!$B$13,Paramètres!$A$1:$I$89,3,0)*VLOOKUP('Données projet'!$B$13,Paramètres!$A$1:$I$89,5,0)</f>
        <v>1.2729599999925107E-2</v>
      </c>
      <c r="CV105" s="13">
        <f t="shared" si="95"/>
        <v>9.7491417338934176E-3</v>
      </c>
      <c r="CW105" s="20">
        <f t="shared" si="67"/>
        <v>3.9150475186400593E-2</v>
      </c>
      <c r="CX105" s="59">
        <f t="shared" si="68"/>
        <v>293.37248380851969</v>
      </c>
      <c r="CY105" s="59">
        <f ca="1">AVERAGE(OFFSET($CX$3,0,0,'Données projet'!$E$13+1,1))-AVERAGE(OFFSET($H$3,0,0,'Données projet'!$E$13+1,1))</f>
        <v>172.13940525084604</v>
      </c>
      <c r="CZ105" s="59">
        <f t="shared" si="96"/>
        <v>172.82328007157236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29.569777848838488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29.569777848838488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1.7053025658242404E-13</v>
      </c>
      <c r="DP105" s="17">
        <f>DO105*VLOOKUP('Données projet'!$B$14,Paramètres!$A$1:$I$89,3,0)*VLOOKUP('Données projet'!$B$14,Paramètres!$A$1:$I$89,5,0)</f>
        <v>1.250327841262333E-13</v>
      </c>
      <c r="DQ105" s="13">
        <f t="shared" si="97"/>
        <v>1.8301318724634299E-12</v>
      </c>
      <c r="DR105" s="20">
        <f t="shared" si="70"/>
        <v>3.405245110226996E-12</v>
      </c>
      <c r="DS105" s="59">
        <f t="shared" si="71"/>
        <v>293.33333333333672</v>
      </c>
      <c r="DT105" s="59">
        <f ca="1">AVERAGE(OFFSET($DS$3,0,0,'Données projet'!$E$14+1,1))-AVERAGE(OFFSET($H$3,0,0,'Données projet'!$E$14+1,1))</f>
        <v>197.34725966440715</v>
      </c>
      <c r="DU105" s="59">
        <f t="shared" si="98"/>
        <v>240.16326570529532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15.622567236206235</v>
      </c>
      <c r="EB105" s="21">
        <f>EXP(-LN(2)/25)*EB104+(1-EXP(-LN(2)/25))/(LN(2)/25)*Calculateur!DW105*Calculateur!DY105*VLOOKUP('Données projet'!$B$14,Paramètres!$A$1:$I$89,3,0)*0.475*44/12</f>
        <v>7.2843952016696534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22.90696243787589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5.6843418860808015E-14</v>
      </c>
      <c r="EK105" s="17">
        <f>EJ105*VLOOKUP('Données projet'!$B$15,Paramètres!$A$1:$I$89,3,0)*VLOOKUP('Données projet'!$B$15,Paramètres!$A$1:$I$89,5,0)</f>
        <v>4.4337866711430253E-14</v>
      </c>
      <c r="EL105" s="13">
        <f t="shared" si="99"/>
        <v>7.3222115536967035E-13</v>
      </c>
      <c r="EM105" s="20">
        <f t="shared" si="73"/>
        <v>1.3525069634579169E-12</v>
      </c>
      <c r="EN105" s="59">
        <f t="shared" si="74"/>
        <v>293.33333333333468</v>
      </c>
      <c r="EO105" s="59">
        <f ca="1">AVERAGE(OFFSET($EN$3,0,0,'Données projet'!$E$15+1,1))-AVERAGE(OFFSET($H$3,0,0,'Données projet'!$E$15+1,1))</f>
        <v>288.82868507674738</v>
      </c>
      <c r="EP105" s="59">
        <f t="shared" si="100"/>
        <v>283.48738729114024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53.683036703435768</v>
      </c>
      <c r="EW105" s="21">
        <f>EXP(-LN(2)/25)*EW104+(1-EXP(-LN(2)/25))/(LN(2)/25)*Calculateur!ER105*Calculateur!ET105*VLOOKUP('Données projet'!$B$15,Paramètres!$A$1:$I$89,3,0)*0.475*44/12</f>
        <v>20.388890733698659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74.071927437134434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8.0470000000000024</v>
      </c>
      <c r="N106" s="13">
        <f>IF('Données projet'!$A$36&gt;35,N105+M106-V105,IF(A106&lt;'Données projet'!$A$36,$K$205^A106,IF(A106='Données projet'!$A$36,'Données projet'!$B$36,N105+M106-V105)))</f>
        <v>357.36300000000045</v>
      </c>
      <c r="O106" s="13">
        <f>N106*VLOOKUP('Données projet'!$B$9,Paramètres!$A$1:$I$89,3,0)*VLOOKUP('Données projet'!$B$9,Paramètres!$A$1:$I$89,5,0)</f>
        <v>323.34204240000037</v>
      </c>
      <c r="P106" s="13">
        <f t="shared" si="87"/>
        <v>76.048309539529996</v>
      </c>
      <c r="Q106" s="20">
        <f t="shared" si="107"/>
        <v>695.60486296134877</v>
      </c>
      <c r="R106" s="59">
        <f t="shared" si="55"/>
        <v>988.93819629468203</v>
      </c>
      <c r="S106" s="59">
        <f ca="1">AVERAGE(OFFSET($R$3,0,0,'Données projet'!$E$9+1,1))-AVERAGE(OFFSET($H$3,0,0,'Données projet'!$E$9+1,1))</f>
        <v>581.88778927327667</v>
      </c>
      <c r="T106" s="59">
        <f t="shared" si="88"/>
        <v>269.67340993773422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42.971933356988401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42.971933356988401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1.7053025658242404E-13</v>
      </c>
      <c r="AJ106" s="13">
        <f>AI106*VLOOKUP('Données projet'!$B$10,Paramètres!$A$1:$I$89,3,0)*VLOOKUP('Données projet'!$B$10,Paramètres!$A$1:$I$89,5,0)</f>
        <v>1.1173142411280423E-13</v>
      </c>
      <c r="AK106" s="13">
        <f t="shared" si="89"/>
        <v>1.6569896290553793E-12</v>
      </c>
      <c r="AL106" s="20">
        <f t="shared" si="58"/>
        <v>3.0805225009345862E-12</v>
      </c>
      <c r="AM106" s="59">
        <f t="shared" si="59"/>
        <v>293.33333333333638</v>
      </c>
      <c r="AN106" s="59">
        <f ca="1">AVERAGE(OFFSET($AM$3,0,0,'Données projet'!$E$10+1,1))-AVERAGE(OFFSET($H$3,0,0,'Données projet'!$E$10+1,1))</f>
        <v>230.58262378842818</v>
      </c>
      <c r="AO106" s="59">
        <f t="shared" si="90"/>
        <v>235.68746142880792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42.72887258296813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42.72887258296813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323.34204240000037</v>
      </c>
      <c r="BF106" s="13">
        <f t="shared" si="91"/>
        <v>76.048309539529996</v>
      </c>
      <c r="BG106" s="20">
        <f t="shared" si="61"/>
        <v>695.60486296134877</v>
      </c>
      <c r="BH106" s="59">
        <f t="shared" si="62"/>
        <v>988.93819629468203</v>
      </c>
      <c r="BI106" s="59">
        <f ca="1">AVERAGE(OFFSET($BH$3,0,0,'Données projet'!$E$11+1,1))-AVERAGE(OFFSET($H$3,0,0,'Données projet'!$E$11+1,1))</f>
        <v>581.88778927327667</v>
      </c>
      <c r="BJ106" s="59">
        <f t="shared" si="92"/>
        <v>269.67340993773422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42.971933356988401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42.971933356988401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340.06663080000044</v>
      </c>
      <c r="CA106" s="13">
        <f t="shared" si="93"/>
        <v>79.513712609935965</v>
      </c>
      <c r="CB106" s="20">
        <f t="shared" si="64"/>
        <v>730.76909810563927</v>
      </c>
      <c r="CC106" s="59">
        <f t="shared" si="65"/>
        <v>1024.1024314389726</v>
      </c>
      <c r="CD106" s="59">
        <f ca="1">AVERAGE(OFFSET($CC$3,0,0,'Données projet'!$E$12+1,1))-AVERAGE(OFFSET($H$3,0,0,'Données projet'!$E$12+1,1))</f>
        <v>609.60019207204277</v>
      </c>
      <c r="CE106" s="59">
        <f t="shared" si="94"/>
        <v>281.42238288764503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45.194619565108503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45.194619565108503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1.5999999999905867E-2</v>
      </c>
      <c r="CU106" s="17">
        <f>CT106*VLOOKUP('Données projet'!$B$13,Paramètres!$A$1:$I$89,3,0)*VLOOKUP('Données projet'!$B$13,Paramètres!$A$1:$I$89,5,0)</f>
        <v>1.2729599999925107E-2</v>
      </c>
      <c r="CV106" s="13">
        <f t="shared" si="95"/>
        <v>9.7491417338934176E-3</v>
      </c>
      <c r="CW106" s="20">
        <f t="shared" si="67"/>
        <v>3.9150475186400593E-2</v>
      </c>
      <c r="CX106" s="59">
        <f t="shared" si="68"/>
        <v>293.37248380851969</v>
      </c>
      <c r="CY106" s="59">
        <f ca="1">AVERAGE(OFFSET($CX$3,0,0,'Données projet'!$E$13+1,1))-AVERAGE(OFFSET($H$3,0,0,'Données projet'!$E$13+1,1))</f>
        <v>172.13940525084604</v>
      </c>
      <c r="CZ106" s="59">
        <f t="shared" si="96"/>
        <v>172.82328007157236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28.989932541006368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28.989932541006368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1.7053025658242404E-13</v>
      </c>
      <c r="DP106" s="17">
        <f>DO106*VLOOKUP('Données projet'!$B$14,Paramètres!$A$1:$I$89,3,0)*VLOOKUP('Données projet'!$B$14,Paramètres!$A$1:$I$89,5,0)</f>
        <v>1.250327841262333E-13</v>
      </c>
      <c r="DQ106" s="13">
        <f t="shared" si="97"/>
        <v>1.8301318724634299E-12</v>
      </c>
      <c r="DR106" s="20">
        <f t="shared" si="70"/>
        <v>3.405245110226996E-12</v>
      </c>
      <c r="DS106" s="59">
        <f t="shared" si="71"/>
        <v>293.33333333333672</v>
      </c>
      <c r="DT106" s="59">
        <f ca="1">AVERAGE(OFFSET($DS$3,0,0,'Données projet'!$E$14+1,1))-AVERAGE(OFFSET($H$3,0,0,'Données projet'!$E$14+1,1))</f>
        <v>197.34725966440715</v>
      </c>
      <c r="DU106" s="59">
        <f t="shared" si="98"/>
        <v>240.16326570529532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15.316218221529352</v>
      </c>
      <c r="EB106" s="21">
        <f>EXP(-LN(2)/25)*EB105+(1-EXP(-LN(2)/25))/(LN(2)/25)*Calculateur!DW106*Calculateur!DY106*VLOOKUP('Données projet'!$B$14,Paramètres!$A$1:$I$89,3,0)*0.475*44/12</f>
        <v>7.0852030318103019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22.401421253339656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5.6843418860808015E-14</v>
      </c>
      <c r="EK106" s="17">
        <f>EJ106*VLOOKUP('Données projet'!$B$15,Paramètres!$A$1:$I$89,3,0)*VLOOKUP('Données projet'!$B$15,Paramètres!$A$1:$I$89,5,0)</f>
        <v>4.4337866711430253E-14</v>
      </c>
      <c r="EL106" s="13">
        <f t="shared" si="99"/>
        <v>7.3222115536967035E-13</v>
      </c>
      <c r="EM106" s="20">
        <f t="shared" si="73"/>
        <v>1.3525069634579169E-12</v>
      </c>
      <c r="EN106" s="59">
        <f t="shared" si="74"/>
        <v>293.33333333333468</v>
      </c>
      <c r="EO106" s="59">
        <f ca="1">AVERAGE(OFFSET($EN$3,0,0,'Données projet'!$E$15+1,1))-AVERAGE(OFFSET($H$3,0,0,'Données projet'!$E$15+1,1))</f>
        <v>288.82868507674738</v>
      </c>
      <c r="EP106" s="59">
        <f t="shared" si="100"/>
        <v>283.48738729114024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52.630345097100637</v>
      </c>
      <c r="EW106" s="21">
        <f>EXP(-LN(2)/25)*EW105+(1-EXP(-LN(2)/25))/(LN(2)/25)*Calculateur!ER106*Calculateur!ET106*VLOOKUP('Données projet'!$B$15,Paramètres!$A$1:$I$89,3,0)*0.475*44/12</f>
        <v>19.831355444380506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72.46170054148115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>
        <f>VLOOKUP(A107,'Données projet'!$A$35:$I$55,2,0)</f>
        <v>365.41</v>
      </c>
      <c r="L107" s="12">
        <f>VLOOKUP(A107,'Données projet'!$A$35:$I$55,9,0)</f>
        <v>8.0470000000000024</v>
      </c>
      <c r="M107" s="12">
        <f t="array" ref="M107">INDEX(L:L,MIN(IF(ISNUMBER(L107:L303),ROW(L107:L303),"")))</f>
        <v>8.0470000000000024</v>
      </c>
      <c r="N107" s="13">
        <f>IF('Données projet'!$A$36&gt;35,N106+M107-V106,IF(A107&lt;'Données projet'!$A$36,$K$205^A107,IF(A107='Données projet'!$A$36,'Données projet'!$B$36,N106+M107-V106)))</f>
        <v>365.41000000000048</v>
      </c>
      <c r="O107" s="13">
        <f>N107*VLOOKUP('Données projet'!$B$9,Paramètres!$A$1:$I$89,3,0)*VLOOKUP('Données projet'!$B$9,Paramètres!$A$1:$I$89,5,0)</f>
        <v>330.62296800000041</v>
      </c>
      <c r="P107" s="13">
        <f t="shared" si="87"/>
        <v>77.559450151847827</v>
      </c>
      <c r="Q107" s="20">
        <f t="shared" si="107"/>
        <v>710.91771161446911</v>
      </c>
      <c r="R107" s="59">
        <f t="shared" si="55"/>
        <v>1004.2510449478025</v>
      </c>
      <c r="S107" s="59">
        <f ca="1">AVERAGE(OFFSET($R$3,0,0,'Données projet'!$E$9+1,1))-AVERAGE(OFFSET($H$3,0,0,'Données projet'!$E$9+1,1))</f>
        <v>581.88778927327667</v>
      </c>
      <c r="T107" s="59">
        <f t="shared" si="88"/>
        <v>269.67340993773422</v>
      </c>
      <c r="U107" s="15">
        <f>IF(ISNA(VLOOKUP(A107,'Données projet'!$A$35:$I$55,3,0)),0,VLOOKUP(A107,'Données projet'!$A$35:$I$55,3,0))</f>
        <v>8</v>
      </c>
      <c r="V107" s="15">
        <f>IF(ISNA(VLOOKUP(A107,'Données projet'!$A$35:$I$55,4,0)),0,VLOOKUP(A107,'Données projet'!$A$35:$I$55,4,0))</f>
        <v>60.19</v>
      </c>
      <c r="W107" s="16">
        <f>IF(ISNA(VLOOKUP(A107,'Données projet'!$A$35:$I$55,5,0)),0%,VLOOKUP(A107,'Données projet'!$A$35:$I$55,5,0)*VLOOKUP('Données projet'!$B$9,Paramètres!$A$1:$I$89,7,0))</f>
        <v>0.25800000000000001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57.661865407845688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57.661865407845688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1.7053025658242404E-13</v>
      </c>
      <c r="AJ107" s="13">
        <f>AI107*VLOOKUP('Données projet'!$B$10,Paramètres!$A$1:$I$89,3,0)*VLOOKUP('Données projet'!$B$10,Paramètres!$A$1:$I$89,5,0)</f>
        <v>1.1173142411280423E-13</v>
      </c>
      <c r="AK107" s="13">
        <f t="shared" si="89"/>
        <v>1.6569896290553793E-12</v>
      </c>
      <c r="AL107" s="20">
        <f t="shared" si="58"/>
        <v>3.0805225009345862E-12</v>
      </c>
      <c r="AM107" s="59">
        <f t="shared" si="59"/>
        <v>293.33333333333638</v>
      </c>
      <c r="AN107" s="59">
        <f ca="1">AVERAGE(OFFSET($AM$3,0,0,'Données projet'!$E$10+1,1))-AVERAGE(OFFSET($H$3,0,0,'Données projet'!$E$10+1,1))</f>
        <v>230.58262378842818</v>
      </c>
      <c r="AO107" s="59">
        <f t="shared" si="90"/>
        <v>235.68746142880792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41.890985453654984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41.890985453654984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330.62296800000041</v>
      </c>
      <c r="BF107" s="13">
        <f t="shared" si="91"/>
        <v>77.559450151847827</v>
      </c>
      <c r="BG107" s="20">
        <f t="shared" si="61"/>
        <v>710.91771161446911</v>
      </c>
      <c r="BH107" s="59">
        <f t="shared" si="62"/>
        <v>1004.2510449478025</v>
      </c>
      <c r="BI107" s="59">
        <f ca="1">AVERAGE(OFFSET($BH$3,0,0,'Données projet'!$E$11+1,1))-AVERAGE(OFFSET($H$3,0,0,'Données projet'!$E$11+1,1))</f>
        <v>581.88778927327667</v>
      </c>
      <c r="BJ107" s="59">
        <f t="shared" si="92"/>
        <v>269.67340993773422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57.661865407845688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57.661865407845688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347.72415600000045</v>
      </c>
      <c r="CA107" s="13">
        <f t="shared" si="93"/>
        <v>81.093713547347789</v>
      </c>
      <c r="CB107" s="20">
        <f t="shared" si="64"/>
        <v>746.85778946163146</v>
      </c>
      <c r="CC107" s="59">
        <f t="shared" si="65"/>
        <v>1040.1911227949647</v>
      </c>
      <c r="CD107" s="59">
        <f ca="1">AVERAGE(OFFSET($CC$3,0,0,'Données projet'!$E$12+1,1))-AVERAGE(OFFSET($H$3,0,0,'Données projet'!$E$12+1,1))</f>
        <v>609.60019207204277</v>
      </c>
      <c r="CE107" s="59">
        <f t="shared" si="94"/>
        <v>281.42238288764503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60.644375687561855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60.644375687561855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1.5999999999905867E-2</v>
      </c>
      <c r="CU107" s="17">
        <f>CT107*VLOOKUP('Données projet'!$B$13,Paramètres!$A$1:$I$89,3,0)*VLOOKUP('Données projet'!$B$13,Paramètres!$A$1:$I$89,5,0)</f>
        <v>1.2729599999925107E-2</v>
      </c>
      <c r="CV107" s="13">
        <f t="shared" si="95"/>
        <v>9.7491417338934176E-3</v>
      </c>
      <c r="CW107" s="20">
        <f t="shared" si="67"/>
        <v>3.9150475186400593E-2</v>
      </c>
      <c r="CX107" s="59">
        <f t="shared" si="68"/>
        <v>293.37248380851969</v>
      </c>
      <c r="CY107" s="59">
        <f ca="1">AVERAGE(OFFSET($CX$3,0,0,'Données projet'!$E$13+1,1))-AVERAGE(OFFSET($H$3,0,0,'Données projet'!$E$13+1,1))</f>
        <v>172.13940525084604</v>
      </c>
      <c r="CZ107" s="59">
        <f t="shared" si="96"/>
        <v>172.82328007157236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28.42145764599012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28.42145764599012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1.7053025658242404E-13</v>
      </c>
      <c r="DP107" s="17">
        <f>DO107*VLOOKUP('Données projet'!$B$14,Paramètres!$A$1:$I$89,3,0)*VLOOKUP('Données projet'!$B$14,Paramètres!$A$1:$I$89,5,0)</f>
        <v>1.250327841262333E-13</v>
      </c>
      <c r="DQ107" s="13">
        <f t="shared" si="97"/>
        <v>1.8301318724634299E-12</v>
      </c>
      <c r="DR107" s="20">
        <f t="shared" si="70"/>
        <v>3.405245110226996E-12</v>
      </c>
      <c r="DS107" s="59">
        <f t="shared" si="71"/>
        <v>293.33333333333672</v>
      </c>
      <c r="DT107" s="59">
        <f ca="1">AVERAGE(OFFSET($DS$3,0,0,'Données projet'!$E$14+1,1))-AVERAGE(OFFSET($H$3,0,0,'Données projet'!$E$14+1,1))</f>
        <v>197.34725966440715</v>
      </c>
      <c r="DU107" s="59">
        <f t="shared" si="98"/>
        <v>240.16326570529532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15.015876524175834</v>
      </c>
      <c r="EB107" s="21">
        <f>EXP(-LN(2)/25)*EB106+(1-EXP(-LN(2)/25))/(LN(2)/25)*Calculateur!DW107*Calculateur!DY107*VLOOKUP('Données projet'!$B$14,Paramètres!$A$1:$I$89,3,0)*0.475*44/12</f>
        <v>6.8914577823108152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21.90733430648665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5.6843418860808015E-14</v>
      </c>
      <c r="EK107" s="17">
        <f>EJ107*VLOOKUP('Données projet'!$B$15,Paramètres!$A$1:$I$89,3,0)*VLOOKUP('Données projet'!$B$15,Paramètres!$A$1:$I$89,5,0)</f>
        <v>4.4337866711430253E-14</v>
      </c>
      <c r="EL107" s="13">
        <f t="shared" si="99"/>
        <v>7.3222115536967035E-13</v>
      </c>
      <c r="EM107" s="20">
        <f t="shared" si="73"/>
        <v>1.3525069634579169E-12</v>
      </c>
      <c r="EN107" s="59">
        <f t="shared" si="74"/>
        <v>293.33333333333468</v>
      </c>
      <c r="EO107" s="59">
        <f ca="1">AVERAGE(OFFSET($EN$3,0,0,'Données projet'!$E$15+1,1))-AVERAGE(OFFSET($H$3,0,0,'Données projet'!$E$15+1,1))</f>
        <v>288.82868507674738</v>
      </c>
      <c r="EP107" s="59">
        <f t="shared" si="100"/>
        <v>283.48738729114024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51.59829613108726</v>
      </c>
      <c r="EW107" s="21">
        <f>EXP(-LN(2)/25)*EW106+(1-EXP(-LN(2)/25))/(LN(2)/25)*Calculateur!ER107*Calculateur!ET107*VLOOKUP('Données projet'!$B$15,Paramètres!$A$1:$I$89,3,0)*0.475*44/12</f>
        <v>19.289065986868263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70.887362117955519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7.9349999999999969</v>
      </c>
      <c r="N108" s="13">
        <f>IF('Données projet'!$A$36&gt;35,N107+M108-V107,IF(A108&lt;'Données projet'!$A$36,$K$205^A108,IF(A108='Données projet'!$A$36,'Données projet'!$B$36,N107+M108-V107)))</f>
        <v>313.15500000000048</v>
      </c>
      <c r="O108" s="13">
        <f>N108*VLOOKUP('Données projet'!$B$9,Paramètres!$A$1:$I$89,3,0)*VLOOKUP('Données projet'!$B$9,Paramètres!$A$1:$I$89,5,0)</f>
        <v>283.34264400000046</v>
      </c>
      <c r="P108" s="13">
        <f t="shared" si="87"/>
        <v>67.672917015543916</v>
      </c>
      <c r="Q108" s="20">
        <f t="shared" si="107"/>
        <v>611.3521021020731</v>
      </c>
      <c r="R108" s="59">
        <f t="shared" si="55"/>
        <v>904.68543543540636</v>
      </c>
      <c r="S108" s="59">
        <f ca="1">AVERAGE(OFFSET($R$3,0,0,'Données projet'!$E$9+1,1))-AVERAGE(OFFSET($H$3,0,0,'Données projet'!$E$9+1,1))</f>
        <v>581.88778927327667</v>
      </c>
      <c r="T108" s="59">
        <f t="shared" si="88"/>
        <v>269.67340993773422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56.531151397462956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56.531151397462956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1.7053025658242404E-13</v>
      </c>
      <c r="AJ108" s="13">
        <f>AI108*VLOOKUP('Données projet'!$B$10,Paramètres!$A$1:$I$89,3,0)*VLOOKUP('Données projet'!$B$10,Paramètres!$A$1:$I$89,5,0)</f>
        <v>1.1173142411280423E-13</v>
      </c>
      <c r="AK108" s="13">
        <f t="shared" si="89"/>
        <v>1.6569896290553793E-12</v>
      </c>
      <c r="AL108" s="20">
        <f t="shared" si="58"/>
        <v>3.0805225009345862E-12</v>
      </c>
      <c r="AM108" s="59">
        <f t="shared" si="59"/>
        <v>293.33333333333638</v>
      </c>
      <c r="AN108" s="59">
        <f ca="1">AVERAGE(OFFSET($AM$3,0,0,'Données projet'!$E$10+1,1))-AVERAGE(OFFSET($H$3,0,0,'Données projet'!$E$10+1,1))</f>
        <v>230.58262378842818</v>
      </c>
      <c r="AO108" s="59">
        <f t="shared" si="90"/>
        <v>235.68746142880792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41.069528779886987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41.069528779886987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283.34264400000046</v>
      </c>
      <c r="BF108" s="13">
        <f t="shared" si="91"/>
        <v>67.672917015543916</v>
      </c>
      <c r="BG108" s="20">
        <f t="shared" si="61"/>
        <v>611.3521021020731</v>
      </c>
      <c r="BH108" s="59">
        <f t="shared" si="62"/>
        <v>904.68543543540636</v>
      </c>
      <c r="BI108" s="59">
        <f ca="1">AVERAGE(OFFSET($BH$3,0,0,'Données projet'!$E$11+1,1))-AVERAGE(OFFSET($H$3,0,0,'Données projet'!$E$11+1,1))</f>
        <v>581.88778927327667</v>
      </c>
      <c r="BJ108" s="59">
        <f t="shared" si="92"/>
        <v>269.67340993773422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56.531151397462956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56.531151397462956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297.99829800000049</v>
      </c>
      <c r="CA108" s="13">
        <f t="shared" si="93"/>
        <v>70.756666487806527</v>
      </c>
      <c r="CB108" s="20">
        <f t="shared" si="64"/>
        <v>642.24822981626392</v>
      </c>
      <c r="CC108" s="59">
        <f t="shared" si="65"/>
        <v>935.58156314959729</v>
      </c>
      <c r="CD108" s="59">
        <f ca="1">AVERAGE(OFFSET($CC$3,0,0,'Données projet'!$E$12+1,1))-AVERAGE(OFFSET($H$3,0,0,'Données projet'!$E$12+1,1))</f>
        <v>609.60019207204277</v>
      </c>
      <c r="CE108" s="59">
        <f t="shared" si="94"/>
        <v>281.42238288764503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59.455176469745531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59.455176469745531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1.5999999999905867E-2</v>
      </c>
      <c r="CU108" s="17">
        <f>CT108*VLOOKUP('Données projet'!$B$13,Paramètres!$A$1:$I$89,3,0)*VLOOKUP('Données projet'!$B$13,Paramètres!$A$1:$I$89,5,0)</f>
        <v>1.2729599999925107E-2</v>
      </c>
      <c r="CV108" s="13">
        <f t="shared" si="95"/>
        <v>9.7491417338934176E-3</v>
      </c>
      <c r="CW108" s="20">
        <f t="shared" si="67"/>
        <v>3.9150475186400593E-2</v>
      </c>
      <c r="CX108" s="59">
        <f t="shared" si="68"/>
        <v>293.37248380851969</v>
      </c>
      <c r="CY108" s="59">
        <f ca="1">AVERAGE(OFFSET($CX$3,0,0,'Données projet'!$E$13+1,1))-AVERAGE(OFFSET($H$3,0,0,'Données projet'!$E$13+1,1))</f>
        <v>172.13940525084604</v>
      </c>
      <c r="CZ108" s="59">
        <f t="shared" si="96"/>
        <v>172.82328007157236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27.864130196929693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27.864130196929693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1.7053025658242404E-13</v>
      </c>
      <c r="DP108" s="17">
        <f>DO108*VLOOKUP('Données projet'!$B$14,Paramètres!$A$1:$I$89,3,0)*VLOOKUP('Données projet'!$B$14,Paramètres!$A$1:$I$89,5,0)</f>
        <v>1.250327841262333E-13</v>
      </c>
      <c r="DQ108" s="13">
        <f t="shared" si="97"/>
        <v>1.8301318724634299E-12</v>
      </c>
      <c r="DR108" s="20">
        <f t="shared" si="70"/>
        <v>3.405245110226996E-12</v>
      </c>
      <c r="DS108" s="59">
        <f t="shared" si="71"/>
        <v>293.33333333333672</v>
      </c>
      <c r="DT108" s="59">
        <f ca="1">AVERAGE(OFFSET($DS$3,0,0,'Données projet'!$E$14+1,1))-AVERAGE(OFFSET($H$3,0,0,'Données projet'!$E$14+1,1))</f>
        <v>197.34725966440715</v>
      </c>
      <c r="DU108" s="59">
        <f t="shared" si="98"/>
        <v>240.16326570529532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14.721424344317072</v>
      </c>
      <c r="EB108" s="21">
        <f>EXP(-LN(2)/25)*EB107+(1-EXP(-LN(2)/25))/(LN(2)/25)*Calculateur!DW108*Calculateur!DY108*VLOOKUP('Données projet'!$B$14,Paramètres!$A$1:$I$89,3,0)*0.475*44/12</f>
        <v>6.7030105068475114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21.424434851164584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5.6843418860808015E-14</v>
      </c>
      <c r="EK108" s="17">
        <f>EJ108*VLOOKUP('Données projet'!$B$15,Paramètres!$A$1:$I$89,3,0)*VLOOKUP('Données projet'!$B$15,Paramètres!$A$1:$I$89,5,0)</f>
        <v>4.4337866711430253E-14</v>
      </c>
      <c r="EL108" s="13">
        <f t="shared" si="99"/>
        <v>7.3222115536967035E-13</v>
      </c>
      <c r="EM108" s="20">
        <f t="shared" si="73"/>
        <v>1.3525069634579169E-12</v>
      </c>
      <c r="EN108" s="59">
        <f t="shared" si="74"/>
        <v>293.33333333333468</v>
      </c>
      <c r="EO108" s="59">
        <f ca="1">AVERAGE(OFFSET($EN$3,0,0,'Données projet'!$E$15+1,1))-AVERAGE(OFFSET($H$3,0,0,'Données projet'!$E$15+1,1))</f>
        <v>288.82868507674738</v>
      </c>
      <c r="EP108" s="59">
        <f t="shared" si="100"/>
        <v>283.48738729114024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50.586485015809693</v>
      </c>
      <c r="EW108" s="21">
        <f>EXP(-LN(2)/25)*EW107+(1-EXP(-LN(2)/25))/(LN(2)/25)*Calculateur!ER108*Calculateur!ET108*VLOOKUP('Données projet'!$B$15,Paramètres!$A$1:$I$89,3,0)*0.475*44/12</f>
        <v>18.761605463089456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69.348090478899152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7.9349999999999969</v>
      </c>
      <c r="N109" s="13">
        <f>IF('Données projet'!$A$36&gt;35,N108+M109-V108,IF(A109&lt;'Données projet'!$A$36,$K$205^A109,IF(A109='Données projet'!$A$36,'Données projet'!$B$36,N108+M109-V108)))</f>
        <v>321.09000000000049</v>
      </c>
      <c r="O109" s="13">
        <f>N109*VLOOKUP('Données projet'!$B$9,Paramètres!$A$1:$I$89,3,0)*VLOOKUP('Données projet'!$B$9,Paramètres!$A$1:$I$89,5,0)</f>
        <v>290.52223200000043</v>
      </c>
      <c r="P109" s="13">
        <f t="shared" si="87"/>
        <v>69.185862279978352</v>
      </c>
      <c r="Q109" s="20">
        <f t="shared" si="107"/>
        <v>626.49159753762979</v>
      </c>
      <c r="R109" s="59">
        <f t="shared" si="55"/>
        <v>919.82493087096304</v>
      </c>
      <c r="S109" s="59">
        <f ca="1">AVERAGE(OFFSET($R$3,0,0,'Données projet'!$E$9+1,1))-AVERAGE(OFFSET($H$3,0,0,'Données projet'!$E$9+1,1))</f>
        <v>581.88778927327667</v>
      </c>
      <c r="T109" s="59">
        <f t="shared" si="88"/>
        <v>269.67340993773422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55.422609999156386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55.422609999156386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1.7053025658242404E-13</v>
      </c>
      <c r="AJ109" s="13">
        <f>AI109*VLOOKUP('Données projet'!$B$10,Paramètres!$A$1:$I$89,3,0)*VLOOKUP('Données projet'!$B$10,Paramètres!$A$1:$I$89,5,0)</f>
        <v>1.1173142411280423E-13</v>
      </c>
      <c r="AK109" s="13">
        <f t="shared" si="89"/>
        <v>1.6569896290553793E-12</v>
      </c>
      <c r="AL109" s="20">
        <f t="shared" si="58"/>
        <v>3.0805225009345862E-12</v>
      </c>
      <c r="AM109" s="59">
        <f t="shared" si="59"/>
        <v>293.33333333333638</v>
      </c>
      <c r="AN109" s="59">
        <f ca="1">AVERAGE(OFFSET($AM$3,0,0,'Données projet'!$E$10+1,1))-AVERAGE(OFFSET($H$3,0,0,'Données projet'!$E$10+1,1))</f>
        <v>230.58262378842818</v>
      </c>
      <c r="AO109" s="59">
        <f t="shared" si="90"/>
        <v>235.68746142880792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40.264180370452486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40.264180370452486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290.52223200000043</v>
      </c>
      <c r="BF109" s="13">
        <f t="shared" si="91"/>
        <v>69.185862279978352</v>
      </c>
      <c r="BG109" s="20">
        <f t="shared" si="61"/>
        <v>626.49159753762979</v>
      </c>
      <c r="BH109" s="59">
        <f t="shared" si="62"/>
        <v>919.82493087096304</v>
      </c>
      <c r="BI109" s="59">
        <f ca="1">AVERAGE(OFFSET($BH$3,0,0,'Données projet'!$E$11+1,1))-AVERAGE(OFFSET($H$3,0,0,'Données projet'!$E$11+1,1))</f>
        <v>581.88778927327667</v>
      </c>
      <c r="BJ109" s="59">
        <f t="shared" si="92"/>
        <v>269.67340993773422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55.422609999156386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55.422609999156386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305.54924400000044</v>
      </c>
      <c r="CA109" s="13">
        <f t="shared" si="93"/>
        <v>72.338554312522433</v>
      </c>
      <c r="CB109" s="20">
        <f t="shared" si="64"/>
        <v>658.1545820609773</v>
      </c>
      <c r="CC109" s="59">
        <f t="shared" si="65"/>
        <v>951.48791539431068</v>
      </c>
      <c r="CD109" s="59">
        <f ca="1">AVERAGE(OFFSET($CC$3,0,0,'Données projet'!$E$12+1,1))-AVERAGE(OFFSET($H$3,0,0,'Données projet'!$E$12+1,1))</f>
        <v>609.60019207204277</v>
      </c>
      <c r="CE109" s="59">
        <f t="shared" si="94"/>
        <v>281.42238288764503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58.289296723250686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58.289296723250686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1.5999999999905867E-2</v>
      </c>
      <c r="CU109" s="17">
        <f>CT109*VLOOKUP('Données projet'!$B$13,Paramètres!$A$1:$I$89,3,0)*VLOOKUP('Données projet'!$B$13,Paramètres!$A$1:$I$89,5,0)</f>
        <v>1.2729599999925107E-2</v>
      </c>
      <c r="CV109" s="13">
        <f t="shared" si="95"/>
        <v>9.7491417338934176E-3</v>
      </c>
      <c r="CW109" s="20">
        <f t="shared" si="67"/>
        <v>3.9150475186400593E-2</v>
      </c>
      <c r="CX109" s="59">
        <f t="shared" si="68"/>
        <v>293.37248380851969</v>
      </c>
      <c r="CY109" s="59">
        <f ca="1">AVERAGE(OFFSET($CX$3,0,0,'Données projet'!$E$13+1,1))-AVERAGE(OFFSET($H$3,0,0,'Données projet'!$E$13+1,1))</f>
        <v>172.13940525084604</v>
      </c>
      <c r="CZ109" s="59">
        <f t="shared" si="96"/>
        <v>172.82328007157236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27.317731599209161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27.317731599209161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1.7053025658242404E-13</v>
      </c>
      <c r="DP109" s="17">
        <f>DO109*VLOOKUP('Données projet'!$B$14,Paramètres!$A$1:$I$89,3,0)*VLOOKUP('Données projet'!$B$14,Paramètres!$A$1:$I$89,5,0)</f>
        <v>1.250327841262333E-13</v>
      </c>
      <c r="DQ109" s="13">
        <f t="shared" si="97"/>
        <v>1.8301318724634299E-12</v>
      </c>
      <c r="DR109" s="20">
        <f t="shared" si="70"/>
        <v>3.405245110226996E-12</v>
      </c>
      <c r="DS109" s="59">
        <f t="shared" si="71"/>
        <v>293.33333333333672</v>
      </c>
      <c r="DT109" s="59">
        <f ca="1">AVERAGE(OFFSET($DS$3,0,0,'Données projet'!$E$14+1,1))-AVERAGE(OFFSET($H$3,0,0,'Données projet'!$E$14+1,1))</f>
        <v>197.34725966440715</v>
      </c>
      <c r="DU109" s="59">
        <f t="shared" si="98"/>
        <v>240.16326570529532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14.432746192107244</v>
      </c>
      <c r="EB109" s="21">
        <f>EXP(-LN(2)/25)*EB108+(1-EXP(-LN(2)/25))/(LN(2)/25)*Calculateur!DW109*Calculateur!DY109*VLOOKUP('Données projet'!$B$14,Paramètres!$A$1:$I$89,3,0)*0.475*44/12</f>
        <v>6.5197163320417637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20.952462524149006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5.6843418860808015E-14</v>
      </c>
      <c r="EK109" s="17">
        <f>EJ109*VLOOKUP('Données projet'!$B$15,Paramètres!$A$1:$I$89,3,0)*VLOOKUP('Données projet'!$B$15,Paramètres!$A$1:$I$89,5,0)</f>
        <v>4.4337866711430253E-14</v>
      </c>
      <c r="EL109" s="13">
        <f t="shared" si="99"/>
        <v>7.3222115536967035E-13</v>
      </c>
      <c r="EM109" s="20">
        <f t="shared" si="73"/>
        <v>1.3525069634579169E-12</v>
      </c>
      <c r="EN109" s="59">
        <f t="shared" si="74"/>
        <v>293.33333333333468</v>
      </c>
      <c r="EO109" s="59">
        <f ca="1">AVERAGE(OFFSET($EN$3,0,0,'Données projet'!$E$15+1,1))-AVERAGE(OFFSET($H$3,0,0,'Données projet'!$E$15+1,1))</f>
        <v>288.82868507674738</v>
      </c>
      <c r="EP109" s="59">
        <f t="shared" si="100"/>
        <v>283.48738729114024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49.594514899358877</v>
      </c>
      <c r="EW109" s="21">
        <f>EXP(-LN(2)/25)*EW108+(1-EXP(-LN(2)/25))/(LN(2)/25)*Calculateur!ER109*Calculateur!ET109*VLOOKUP('Données projet'!$B$15,Paramètres!$A$1:$I$89,3,0)*0.475*44/12</f>
        <v>18.248568375071322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67.843083274430199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7.9349999999999969</v>
      </c>
      <c r="N110" s="13">
        <f>IF('Données projet'!$A$36&gt;35,N109+M110-V109,IF(A110&lt;'Données projet'!$A$36,$K$205^A110,IF(A110='Données projet'!$A$36,'Données projet'!$B$36,N109+M110-V109)))</f>
        <v>329.02500000000049</v>
      </c>
      <c r="O110" s="13">
        <f>N110*VLOOKUP('Données projet'!$B$9,Paramètres!$A$1:$I$89,3,0)*VLOOKUP('Données projet'!$B$9,Paramètres!$A$1:$I$89,5,0)</f>
        <v>297.70182000000045</v>
      </c>
      <c r="P110" s="13">
        <f t="shared" si="87"/>
        <v>70.69446125561177</v>
      </c>
      <c r="Q110" s="20">
        <f t="shared" si="107"/>
        <v>641.62352318685794</v>
      </c>
      <c r="R110" s="59">
        <f t="shared" si="55"/>
        <v>934.9568565201912</v>
      </c>
      <c r="S110" s="59">
        <f ca="1">AVERAGE(OFFSET($R$3,0,0,'Données projet'!$E$9+1,1))-AVERAGE(OFFSET($H$3,0,0,'Données projet'!$E$9+1,1))</f>
        <v>581.88778927327667</v>
      </c>
      <c r="T110" s="59">
        <f t="shared" si="88"/>
        <v>269.67340993773422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54.335806421527117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54.335806421527117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1.7053025658242404E-13</v>
      </c>
      <c r="AJ110" s="13">
        <f>AI110*VLOOKUP('Données projet'!$B$10,Paramètres!$A$1:$I$89,3,0)*VLOOKUP('Données projet'!$B$10,Paramètres!$A$1:$I$89,5,0)</f>
        <v>1.1173142411280423E-13</v>
      </c>
      <c r="AK110" s="13">
        <f t="shared" si="89"/>
        <v>1.6569896290553793E-12</v>
      </c>
      <c r="AL110" s="20">
        <f t="shared" si="58"/>
        <v>3.0805225009345862E-12</v>
      </c>
      <c r="AM110" s="59">
        <f t="shared" si="59"/>
        <v>293.33333333333638</v>
      </c>
      <c r="AN110" s="59">
        <f ca="1">AVERAGE(OFFSET($AM$3,0,0,'Données projet'!$E$10+1,1))-AVERAGE(OFFSET($H$3,0,0,'Données projet'!$E$10+1,1))</f>
        <v>230.58262378842818</v>
      </c>
      <c r="AO110" s="59">
        <f t="shared" si="90"/>
        <v>235.68746142880792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39.474624352112968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39.474624352112968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297.70182000000045</v>
      </c>
      <c r="BF110" s="13">
        <f t="shared" si="91"/>
        <v>70.69446125561177</v>
      </c>
      <c r="BG110" s="20">
        <f t="shared" si="61"/>
        <v>641.62352318685794</v>
      </c>
      <c r="BH110" s="59">
        <f t="shared" si="62"/>
        <v>934.9568565201912</v>
      </c>
      <c r="BI110" s="59">
        <f ca="1">AVERAGE(OFFSET($BH$3,0,0,'Données projet'!$E$11+1,1))-AVERAGE(OFFSET($H$3,0,0,'Données projet'!$E$11+1,1))</f>
        <v>581.88778927327667</v>
      </c>
      <c r="BJ110" s="59">
        <f t="shared" si="92"/>
        <v>269.67340993773422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54.335806421527117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54.335806421527117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313.10019000000045</v>
      </c>
      <c r="CA110" s="13">
        <f t="shared" si="93"/>
        <v>73.915897794823138</v>
      </c>
      <c r="CB110" s="20">
        <f t="shared" si="64"/>
        <v>674.05301957598442</v>
      </c>
      <c r="CC110" s="59">
        <f t="shared" si="65"/>
        <v>967.38635290931779</v>
      </c>
      <c r="CD110" s="59">
        <f ca="1">AVERAGE(OFFSET($CC$3,0,0,'Données projet'!$E$12+1,1))-AVERAGE(OFFSET($H$3,0,0,'Données projet'!$E$12+1,1))</f>
        <v>609.60019207204277</v>
      </c>
      <c r="CE110" s="59">
        <f t="shared" si="94"/>
        <v>281.42238288764503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57.14627916746818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57.14627916746818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1.5999999999905867E-2</v>
      </c>
      <c r="CU110" s="17">
        <f>CT110*VLOOKUP('Données projet'!$B$13,Paramètres!$A$1:$I$89,3,0)*VLOOKUP('Données projet'!$B$13,Paramètres!$A$1:$I$89,5,0)</f>
        <v>1.2729599999925107E-2</v>
      </c>
      <c r="CV110" s="13">
        <f t="shared" si="95"/>
        <v>9.7491417338934176E-3</v>
      </c>
      <c r="CW110" s="20">
        <f t="shared" si="67"/>
        <v>3.9150475186400593E-2</v>
      </c>
      <c r="CX110" s="59">
        <f t="shared" si="68"/>
        <v>293.37248380851969</v>
      </c>
      <c r="CY110" s="59">
        <f ca="1">AVERAGE(OFFSET($CX$3,0,0,'Données projet'!$E$13+1,1))-AVERAGE(OFFSET($H$3,0,0,'Données projet'!$E$13+1,1))</f>
        <v>172.13940525084604</v>
      </c>
      <c r="CZ110" s="59">
        <f t="shared" si="96"/>
        <v>172.82328007157236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26.782047544719692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26.782047544719692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1.7053025658242404E-13</v>
      </c>
      <c r="DP110" s="17">
        <f>DO110*VLOOKUP('Données projet'!$B$14,Paramètres!$A$1:$I$89,3,0)*VLOOKUP('Données projet'!$B$14,Paramètres!$A$1:$I$89,5,0)</f>
        <v>1.250327841262333E-13</v>
      </c>
      <c r="DQ110" s="13">
        <f t="shared" si="97"/>
        <v>1.8301318724634299E-12</v>
      </c>
      <c r="DR110" s="20">
        <f t="shared" si="70"/>
        <v>3.405245110226996E-12</v>
      </c>
      <c r="DS110" s="59">
        <f t="shared" si="71"/>
        <v>293.33333333333672</v>
      </c>
      <c r="DT110" s="59">
        <f ca="1">AVERAGE(OFFSET($DS$3,0,0,'Données projet'!$E$14+1,1))-AVERAGE(OFFSET($H$3,0,0,'Données projet'!$E$14+1,1))</f>
        <v>197.34725966440715</v>
      </c>
      <c r="DU110" s="59">
        <f t="shared" si="98"/>
        <v>240.16326570529532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14.149728842385963</v>
      </c>
      <c r="EB110" s="21">
        <f>EXP(-LN(2)/25)*EB109+(1-EXP(-LN(2)/25))/(LN(2)/25)*Calculateur!DW110*Calculateur!DY110*VLOOKUP('Données projet'!$B$14,Paramètres!$A$1:$I$89,3,0)*0.475*44/12</f>
        <v>6.3414343460851006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20.491163188471063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5.6843418860808015E-14</v>
      </c>
      <c r="EK110" s="17">
        <f>EJ110*VLOOKUP('Données projet'!$B$15,Paramètres!$A$1:$I$89,3,0)*VLOOKUP('Données projet'!$B$15,Paramètres!$A$1:$I$89,5,0)</f>
        <v>4.4337866711430253E-14</v>
      </c>
      <c r="EL110" s="13">
        <f t="shared" si="99"/>
        <v>7.3222115536967035E-13</v>
      </c>
      <c r="EM110" s="20">
        <f t="shared" si="73"/>
        <v>1.3525069634579169E-12</v>
      </c>
      <c r="EN110" s="59">
        <f t="shared" si="74"/>
        <v>293.33333333333468</v>
      </c>
      <c r="EO110" s="59">
        <f ca="1">AVERAGE(OFFSET($EN$3,0,0,'Données projet'!$E$15+1,1))-AVERAGE(OFFSET($H$3,0,0,'Données projet'!$E$15+1,1))</f>
        <v>288.82868507674738</v>
      </c>
      <c r="EP110" s="59">
        <f t="shared" si="100"/>
        <v>283.48738729114024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48.621996711849633</v>
      </c>
      <c r="EW110" s="21">
        <f>EXP(-LN(2)/25)*EW109+(1-EXP(-LN(2)/25))/(LN(2)/25)*Calculateur!ER110*Calculateur!ET110*VLOOKUP('Données projet'!$B$15,Paramètres!$A$1:$I$89,3,0)*0.475*44/12</f>
        <v>17.749560313204494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66.37155702505413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7.9349999999999969</v>
      </c>
      <c r="N111" s="13">
        <f>IF('Données projet'!$A$36&gt;35,N110+M111-V110,IF(A111&lt;'Données projet'!$A$36,$K$205^A111,IF(A111='Données projet'!$A$36,'Données projet'!$B$36,N110+M111-V110)))</f>
        <v>336.96000000000049</v>
      </c>
      <c r="O111" s="13">
        <f>N111*VLOOKUP('Données projet'!$B$9,Paramètres!$A$1:$I$89,3,0)*VLOOKUP('Données projet'!$B$9,Paramètres!$A$1:$I$89,5,0)</f>
        <v>304.88140800000042</v>
      </c>
      <c r="P111" s="13">
        <f t="shared" si="87"/>
        <v>72.198830820277394</v>
      </c>
      <c r="Q111" s="20">
        <f t="shared" si="107"/>
        <v>656.74808261198393</v>
      </c>
      <c r="R111" s="59">
        <f t="shared" si="55"/>
        <v>950.0814159453173</v>
      </c>
      <c r="S111" s="59">
        <f ca="1">AVERAGE(OFFSET($R$3,0,0,'Données projet'!$E$9+1,1))-AVERAGE(OFFSET($H$3,0,0,'Données projet'!$E$9+1,1))</f>
        <v>581.88778927327667</v>
      </c>
      <c r="T111" s="59">
        <f t="shared" si="88"/>
        <v>269.67340993773422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53.270314399170431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53.270314399170431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1.7053025658242404E-13</v>
      </c>
      <c r="AJ111" s="13">
        <f>AI111*VLOOKUP('Données projet'!$B$10,Paramètres!$A$1:$I$89,3,0)*VLOOKUP('Données projet'!$B$10,Paramètres!$A$1:$I$89,5,0)</f>
        <v>1.1173142411280423E-13</v>
      </c>
      <c r="AK111" s="13">
        <f t="shared" si="89"/>
        <v>1.6569896290553793E-12</v>
      </c>
      <c r="AL111" s="20">
        <f t="shared" si="58"/>
        <v>3.0805225009345862E-12</v>
      </c>
      <c r="AM111" s="59">
        <f t="shared" si="59"/>
        <v>293.33333333333638</v>
      </c>
      <c r="AN111" s="59">
        <f ca="1">AVERAGE(OFFSET($AM$3,0,0,'Données projet'!$E$10+1,1))-AVERAGE(OFFSET($H$3,0,0,'Données projet'!$E$10+1,1))</f>
        <v>230.58262378842818</v>
      </c>
      <c r="AO111" s="59">
        <f t="shared" si="90"/>
        <v>235.68746142880792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38.700551045711471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38.700551045711471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304.88140800000042</v>
      </c>
      <c r="BF111" s="13">
        <f t="shared" si="91"/>
        <v>72.198830820277394</v>
      </c>
      <c r="BG111" s="20">
        <f t="shared" si="61"/>
        <v>656.74808261198393</v>
      </c>
      <c r="BH111" s="59">
        <f t="shared" si="62"/>
        <v>950.0814159453173</v>
      </c>
      <c r="BI111" s="59">
        <f ca="1">AVERAGE(OFFSET($BH$3,0,0,'Données projet'!$E$11+1,1))-AVERAGE(OFFSET($H$3,0,0,'Données projet'!$E$11+1,1))</f>
        <v>581.88778927327667</v>
      </c>
      <c r="BJ111" s="59">
        <f t="shared" si="92"/>
        <v>269.67340993773422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53.270314399170431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53.270314399170431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320.65113600000046</v>
      </c>
      <c r="CA111" s="13">
        <f t="shared" si="93"/>
        <v>75.48881913848264</v>
      </c>
      <c r="CB111" s="20">
        <f t="shared" si="64"/>
        <v>689.94375519952473</v>
      </c>
      <c r="CC111" s="59">
        <f t="shared" si="65"/>
        <v>983.27708853285799</v>
      </c>
      <c r="CD111" s="59">
        <f ca="1">AVERAGE(OFFSET($CC$3,0,0,'Données projet'!$E$12+1,1))-AVERAGE(OFFSET($H$3,0,0,'Données projet'!$E$12+1,1))</f>
        <v>609.60019207204277</v>
      </c>
      <c r="CE111" s="59">
        <f t="shared" si="94"/>
        <v>281.42238288764503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56.025675488782696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56.025675488782696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1.5999999999905867E-2</v>
      </c>
      <c r="CU111" s="17">
        <f>CT111*VLOOKUP('Données projet'!$B$13,Paramètres!$A$1:$I$89,3,0)*VLOOKUP('Données projet'!$B$13,Paramètres!$A$1:$I$89,5,0)</f>
        <v>1.2729599999925107E-2</v>
      </c>
      <c r="CV111" s="13">
        <f t="shared" si="95"/>
        <v>9.7491417338934176E-3</v>
      </c>
      <c r="CW111" s="20">
        <f t="shared" si="67"/>
        <v>3.9150475186400593E-2</v>
      </c>
      <c r="CX111" s="59">
        <f t="shared" si="68"/>
        <v>293.37248380851969</v>
      </c>
      <c r="CY111" s="59">
        <f ca="1">AVERAGE(OFFSET($CX$3,0,0,'Données projet'!$E$13+1,1))-AVERAGE(OFFSET($H$3,0,0,'Données projet'!$E$13+1,1))</f>
        <v>172.13940525084604</v>
      </c>
      <c r="CZ111" s="59">
        <f t="shared" si="96"/>
        <v>172.82328007157236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26.25686792780375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26.25686792780375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1.7053025658242404E-13</v>
      </c>
      <c r="DP111" s="17">
        <f>DO111*VLOOKUP('Données projet'!$B$14,Paramètres!$A$1:$I$89,3,0)*VLOOKUP('Données projet'!$B$14,Paramètres!$A$1:$I$89,5,0)</f>
        <v>1.250327841262333E-13</v>
      </c>
      <c r="DQ111" s="13">
        <f t="shared" si="97"/>
        <v>1.8301318724634299E-12</v>
      </c>
      <c r="DR111" s="20">
        <f t="shared" si="70"/>
        <v>3.405245110226996E-12</v>
      </c>
      <c r="DS111" s="59">
        <f t="shared" si="71"/>
        <v>293.33333333333672</v>
      </c>
      <c r="DT111" s="59">
        <f ca="1">AVERAGE(OFFSET($DS$3,0,0,'Données projet'!$E$14+1,1))-AVERAGE(OFFSET($H$3,0,0,'Données projet'!$E$14+1,1))</f>
        <v>197.34725966440715</v>
      </c>
      <c r="DU111" s="59">
        <f t="shared" si="98"/>
        <v>240.16326570529532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13.872261290269179</v>
      </c>
      <c r="EB111" s="21">
        <f>EXP(-LN(2)/25)*EB110+(1-EXP(-LN(2)/25))/(LN(2)/25)*Calculateur!DW111*Calculateur!DY111*VLOOKUP('Données projet'!$B$14,Paramètres!$A$1:$I$89,3,0)*0.475*44/12</f>
        <v>6.1680274904098651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20.040288780679045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5.6843418860808015E-14</v>
      </c>
      <c r="EK111" s="17">
        <f>EJ111*VLOOKUP('Données projet'!$B$15,Paramètres!$A$1:$I$89,3,0)*VLOOKUP('Données projet'!$B$15,Paramètres!$A$1:$I$89,5,0)</f>
        <v>4.4337866711430253E-14</v>
      </c>
      <c r="EL111" s="13">
        <f t="shared" si="99"/>
        <v>7.3222115536967035E-13</v>
      </c>
      <c r="EM111" s="20">
        <f t="shared" si="73"/>
        <v>1.3525069634579169E-12</v>
      </c>
      <c r="EN111" s="59">
        <f t="shared" si="74"/>
        <v>293.33333333333468</v>
      </c>
      <c r="EO111" s="59">
        <f ca="1">AVERAGE(OFFSET($EN$3,0,0,'Données projet'!$E$15+1,1))-AVERAGE(OFFSET($H$3,0,0,'Données projet'!$E$15+1,1))</f>
        <v>288.82868507674738</v>
      </c>
      <c r="EP111" s="59">
        <f t="shared" si="100"/>
        <v>283.48738729114024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47.668549012819923</v>
      </c>
      <c r="EW111" s="21">
        <f>EXP(-LN(2)/25)*EW110+(1-EXP(-LN(2)/25))/(LN(2)/25)*Calculateur!ER111*Calculateur!ET111*VLOOKUP('Données projet'!$B$15,Paramètres!$A$1:$I$89,3,0)*0.475*44/12</f>
        <v>17.264197653031108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64.932746665851028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7.9349999999999969</v>
      </c>
      <c r="N112" s="13">
        <f>IF('Données projet'!$A$36&gt;35,N111+M112-V111,IF(A112&lt;'Données projet'!$A$36,$K$205^A112,IF(A112='Données projet'!$A$36,'Données projet'!$B$36,N111+M112-V111)))</f>
        <v>344.89500000000049</v>
      </c>
      <c r="O112" s="13">
        <f>N112*VLOOKUP('Données projet'!$B$9,Paramètres!$A$1:$I$89,3,0)*VLOOKUP('Données projet'!$B$9,Paramètres!$A$1:$I$89,5,0)</f>
        <v>312.06099600000044</v>
      </c>
      <c r="P112" s="13">
        <f t="shared" si="87"/>
        <v>73.699082033131035</v>
      </c>
      <c r="Q112" s="20">
        <f t="shared" si="107"/>
        <v>671.86546924103743</v>
      </c>
      <c r="R112" s="59">
        <f t="shared" si="55"/>
        <v>965.1988025743708</v>
      </c>
      <c r="S112" s="59">
        <f ca="1">AVERAGE(OFFSET($R$3,0,0,'Données projet'!$E$9+1,1))-AVERAGE(OFFSET($H$3,0,0,'Données projet'!$E$9+1,1))</f>
        <v>581.88778927327667</v>
      </c>
      <c r="T112" s="59">
        <f t="shared" si="88"/>
        <v>269.67340993773422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52.225716025486193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52.225716025486193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1.7053025658242404E-13</v>
      </c>
      <c r="AJ112" s="13">
        <f>AI112*VLOOKUP('Données projet'!$B$10,Paramètres!$A$1:$I$89,3,0)*VLOOKUP('Données projet'!$B$10,Paramètres!$A$1:$I$89,5,0)</f>
        <v>1.1173142411280423E-13</v>
      </c>
      <c r="AK112" s="13">
        <f t="shared" si="89"/>
        <v>1.6569896290553793E-12</v>
      </c>
      <c r="AL112" s="20">
        <f t="shared" si="58"/>
        <v>3.0805225009345862E-12</v>
      </c>
      <c r="AM112" s="59">
        <f t="shared" si="59"/>
        <v>293.33333333333638</v>
      </c>
      <c r="AN112" s="59">
        <f ca="1">AVERAGE(OFFSET($AM$3,0,0,'Données projet'!$E$10+1,1))-AVERAGE(OFFSET($H$3,0,0,'Données projet'!$E$10+1,1))</f>
        <v>230.58262378842818</v>
      </c>
      <c r="AO112" s="59">
        <f t="shared" si="90"/>
        <v>235.68746142880792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37.941656844710408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37.941656844710408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312.06099600000044</v>
      </c>
      <c r="BF112" s="13">
        <f t="shared" si="91"/>
        <v>73.699082033131035</v>
      </c>
      <c r="BG112" s="20">
        <f t="shared" si="61"/>
        <v>671.86546924103743</v>
      </c>
      <c r="BH112" s="59">
        <f t="shared" si="62"/>
        <v>965.1988025743708</v>
      </c>
      <c r="BI112" s="59">
        <f ca="1">AVERAGE(OFFSET($BH$3,0,0,'Données projet'!$E$11+1,1))-AVERAGE(OFFSET($H$3,0,0,'Données projet'!$E$11+1,1))</f>
        <v>581.88778927327667</v>
      </c>
      <c r="BJ112" s="59">
        <f t="shared" si="92"/>
        <v>269.67340993773422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52.225716025486193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52.225716025486193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328.20208200000047</v>
      </c>
      <c r="CA112" s="13">
        <f t="shared" si="93"/>
        <v>77.057434463449852</v>
      </c>
      <c r="CB112" s="20">
        <f t="shared" si="64"/>
        <v>705.82699117384254</v>
      </c>
      <c r="CC112" s="59">
        <f t="shared" si="65"/>
        <v>999.1603245071758</v>
      </c>
      <c r="CD112" s="59">
        <f ca="1">AVERAGE(OFFSET($CC$3,0,0,'Données projet'!$E$12+1,1))-AVERAGE(OFFSET($H$3,0,0,'Données projet'!$E$12+1,1))</f>
        <v>609.60019207204277</v>
      </c>
      <c r="CE112" s="59">
        <f t="shared" si="94"/>
        <v>281.42238288764503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54.927046164735479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54.927046164735479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1.5999999999905867E-2</v>
      </c>
      <c r="CU112" s="17">
        <f>CT112*VLOOKUP('Données projet'!$B$13,Paramètres!$A$1:$I$89,3,0)*VLOOKUP('Données projet'!$B$13,Paramètres!$A$1:$I$89,5,0)</f>
        <v>1.2729599999925107E-2</v>
      </c>
      <c r="CV112" s="13">
        <f t="shared" si="95"/>
        <v>9.7491417338934176E-3</v>
      </c>
      <c r="CW112" s="20">
        <f t="shared" si="67"/>
        <v>3.9150475186400593E-2</v>
      </c>
      <c r="CX112" s="59">
        <f t="shared" si="68"/>
        <v>293.37248380851969</v>
      </c>
      <c r="CY112" s="59">
        <f ca="1">AVERAGE(OFFSET($CX$3,0,0,'Données projet'!$E$13+1,1))-AVERAGE(OFFSET($H$3,0,0,'Données projet'!$E$13+1,1))</f>
        <v>172.13940525084604</v>
      </c>
      <c r="CZ112" s="59">
        <f t="shared" si="96"/>
        <v>172.82328007157236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25.741986762847596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25.741986762847596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1.7053025658242404E-13</v>
      </c>
      <c r="DP112" s="17">
        <f>DO112*VLOOKUP('Données projet'!$B$14,Paramètres!$A$1:$I$89,3,0)*VLOOKUP('Données projet'!$B$14,Paramètres!$A$1:$I$89,5,0)</f>
        <v>1.250327841262333E-13</v>
      </c>
      <c r="DQ112" s="13">
        <f t="shared" si="97"/>
        <v>1.8301318724634299E-12</v>
      </c>
      <c r="DR112" s="20">
        <f t="shared" si="70"/>
        <v>3.405245110226996E-12</v>
      </c>
      <c r="DS112" s="59">
        <f t="shared" si="71"/>
        <v>293.33333333333672</v>
      </c>
      <c r="DT112" s="59">
        <f ca="1">AVERAGE(OFFSET($DS$3,0,0,'Données projet'!$E$14+1,1))-AVERAGE(OFFSET($H$3,0,0,'Données projet'!$E$14+1,1))</f>
        <v>197.34725966440715</v>
      </c>
      <c r="DU112" s="59">
        <f t="shared" si="98"/>
        <v>240.16326570529532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13.600234707610909</v>
      </c>
      <c r="EB112" s="21">
        <f>EXP(-LN(2)/25)*EB111+(1-EXP(-LN(2)/25))/(LN(2)/25)*Calculateur!DW112*Calculateur!DY112*VLOOKUP('Données projet'!$B$14,Paramètres!$A$1:$I$89,3,0)*0.475*44/12</f>
        <v>5.9993624543221387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19.599597161933048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5.6843418860808015E-14</v>
      </c>
      <c r="EK112" s="17">
        <f>EJ112*VLOOKUP('Données projet'!$B$15,Paramètres!$A$1:$I$89,3,0)*VLOOKUP('Données projet'!$B$15,Paramètres!$A$1:$I$89,5,0)</f>
        <v>4.4337866711430253E-14</v>
      </c>
      <c r="EL112" s="13">
        <f t="shared" si="99"/>
        <v>7.3222115536967035E-13</v>
      </c>
      <c r="EM112" s="20">
        <f t="shared" si="73"/>
        <v>1.3525069634579169E-12</v>
      </c>
      <c r="EN112" s="59">
        <f t="shared" si="74"/>
        <v>293.33333333333468</v>
      </c>
      <c r="EO112" s="59">
        <f ca="1">AVERAGE(OFFSET($EN$3,0,0,'Données projet'!$E$15+1,1))-AVERAGE(OFFSET($H$3,0,0,'Données projet'!$E$15+1,1))</f>
        <v>288.82868507674738</v>
      </c>
      <c r="EP112" s="59">
        <f t="shared" si="100"/>
        <v>283.48738729114024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46.733797841622511</v>
      </c>
      <c r="EW112" s="21">
        <f>EXP(-LN(2)/25)*EW111+(1-EXP(-LN(2)/25))/(LN(2)/25)*Calculateur!ER112*Calculateur!ET112*VLOOKUP('Données projet'!$B$15,Paramètres!$A$1:$I$89,3,0)*0.475*44/12</f>
        <v>16.792107260324276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63.52590510194679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7.9349999999999969</v>
      </c>
      <c r="N113" s="13">
        <f>IF('Données projet'!$A$36&gt;35,N112+M113-V112,IF(A113&lt;'Données projet'!$A$36,$K$205^A113,IF(A113='Données projet'!$A$36,'Données projet'!$B$36,N112+M113-V112)))</f>
        <v>352.8300000000005</v>
      </c>
      <c r="O113" s="13">
        <f>N113*VLOOKUP('Données projet'!$B$9,Paramètres!$A$1:$I$89,3,0)*VLOOKUP('Données projet'!$B$9,Paramètres!$A$1:$I$89,5,0)</f>
        <v>319.24058400000041</v>
      </c>
      <c r="P113" s="13">
        <f t="shared" si="87"/>
        <v>75.195320551435159</v>
      </c>
      <c r="Q113" s="20">
        <f t="shared" si="107"/>
        <v>686.97586709375025</v>
      </c>
      <c r="R113" s="59">
        <f t="shared" si="55"/>
        <v>980.30920042708362</v>
      </c>
      <c r="S113" s="59">
        <f ca="1">AVERAGE(OFFSET($R$3,0,0,'Données projet'!$E$9+1,1))-AVERAGE(OFFSET($H$3,0,0,'Données projet'!$E$9+1,1))</f>
        <v>581.88778927327667</v>
      </c>
      <c r="T113" s="59">
        <f t="shared" si="88"/>
        <v>269.67340993773422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51.201601588767808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51.201601588767808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1.7053025658242404E-13</v>
      </c>
      <c r="AJ113" s="13">
        <f>AI113*VLOOKUP('Données projet'!$B$10,Paramètres!$A$1:$I$89,3,0)*VLOOKUP('Données projet'!$B$10,Paramètres!$A$1:$I$89,5,0)</f>
        <v>1.1173142411280423E-13</v>
      </c>
      <c r="AK113" s="13">
        <f t="shared" si="89"/>
        <v>1.6569896290553793E-12</v>
      </c>
      <c r="AL113" s="20">
        <f t="shared" si="58"/>
        <v>3.0805225009345862E-12</v>
      </c>
      <c r="AM113" s="59">
        <f t="shared" si="59"/>
        <v>293.33333333333638</v>
      </c>
      <c r="AN113" s="59">
        <f ca="1">AVERAGE(OFFSET($AM$3,0,0,'Données projet'!$E$10+1,1))-AVERAGE(OFFSET($H$3,0,0,'Données projet'!$E$10+1,1))</f>
        <v>230.58262378842818</v>
      </c>
      <c r="AO113" s="59">
        <f t="shared" si="90"/>
        <v>235.68746142880792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37.197644096111219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37.197644096111219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319.24058400000041</v>
      </c>
      <c r="BF113" s="13">
        <f t="shared" si="91"/>
        <v>75.195320551435159</v>
      </c>
      <c r="BG113" s="20">
        <f t="shared" si="61"/>
        <v>686.97586709375025</v>
      </c>
      <c r="BH113" s="59">
        <f t="shared" si="62"/>
        <v>980.30920042708362</v>
      </c>
      <c r="BI113" s="59">
        <f ca="1">AVERAGE(OFFSET($BH$3,0,0,'Données projet'!$E$11+1,1))-AVERAGE(OFFSET($H$3,0,0,'Données projet'!$E$11+1,1))</f>
        <v>581.88778927327667</v>
      </c>
      <c r="BJ113" s="59">
        <f t="shared" si="92"/>
        <v>269.67340993773422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51.201601588767808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51.201601588767808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335.75302800000048</v>
      </c>
      <c r="CA113" s="13">
        <f t="shared" si="93"/>
        <v>78.62185424162395</v>
      </c>
      <c r="CB113" s="20">
        <f t="shared" si="64"/>
        <v>721.70291990416251</v>
      </c>
      <c r="CC113" s="59">
        <f t="shared" si="65"/>
        <v>1015.0362532374959</v>
      </c>
      <c r="CD113" s="59">
        <f ca="1">AVERAGE(OFFSET($CC$3,0,0,'Données projet'!$E$12+1,1))-AVERAGE(OFFSET($H$3,0,0,'Données projet'!$E$12+1,1))</f>
        <v>609.60019207204277</v>
      </c>
      <c r="CE113" s="59">
        <f t="shared" si="94"/>
        <v>281.42238288764503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53.849960291635114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53.849960291635114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1.5999999999905867E-2</v>
      </c>
      <c r="CU113" s="17">
        <f>CT113*VLOOKUP('Données projet'!$B$13,Paramètres!$A$1:$I$89,3,0)*VLOOKUP('Données projet'!$B$13,Paramètres!$A$1:$I$89,5,0)</f>
        <v>1.2729599999925107E-2</v>
      </c>
      <c r="CV113" s="13">
        <f t="shared" si="95"/>
        <v>9.7491417338934176E-3</v>
      </c>
      <c r="CW113" s="20">
        <f t="shared" si="67"/>
        <v>3.9150475186400593E-2</v>
      </c>
      <c r="CX113" s="59">
        <f t="shared" si="68"/>
        <v>293.37248380851969</v>
      </c>
      <c r="CY113" s="59">
        <f ca="1">AVERAGE(OFFSET($CX$3,0,0,'Données projet'!$E$13+1,1))-AVERAGE(OFFSET($H$3,0,0,'Données projet'!$E$13+1,1))</f>
        <v>172.13940525084604</v>
      </c>
      <c r="CZ113" s="59">
        <f t="shared" si="96"/>
        <v>172.82328007157236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25.237202103489729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25.237202103489729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1.7053025658242404E-13</v>
      </c>
      <c r="DP113" s="17">
        <f>DO113*VLOOKUP('Données projet'!$B$14,Paramètres!$A$1:$I$89,3,0)*VLOOKUP('Données projet'!$B$14,Paramètres!$A$1:$I$89,5,0)</f>
        <v>1.250327841262333E-13</v>
      </c>
      <c r="DQ113" s="13">
        <f t="shared" si="97"/>
        <v>1.8301318724634299E-12</v>
      </c>
      <c r="DR113" s="20">
        <f t="shared" si="70"/>
        <v>3.405245110226996E-12</v>
      </c>
      <c r="DS113" s="59">
        <f t="shared" si="71"/>
        <v>293.33333333333672</v>
      </c>
      <c r="DT113" s="59">
        <f ca="1">AVERAGE(OFFSET($DS$3,0,0,'Données projet'!$E$14+1,1))-AVERAGE(OFFSET($H$3,0,0,'Données projet'!$E$14+1,1))</f>
        <v>197.34725966440715</v>
      </c>
      <c r="DU113" s="59">
        <f t="shared" si="98"/>
        <v>240.16326570529532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13.333542400318736</v>
      </c>
      <c r="EB113" s="21">
        <f>EXP(-LN(2)/25)*EB112+(1-EXP(-LN(2)/25))/(LN(2)/25)*Calculateur!DW113*Calculateur!DY113*VLOOKUP('Données projet'!$B$14,Paramètres!$A$1:$I$89,3,0)*0.475*44/12</f>
        <v>5.8353095725159401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19.168851972834677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5.6843418860808015E-14</v>
      </c>
      <c r="EK113" s="17">
        <f>EJ113*VLOOKUP('Données projet'!$B$15,Paramètres!$A$1:$I$89,3,0)*VLOOKUP('Données projet'!$B$15,Paramètres!$A$1:$I$89,5,0)</f>
        <v>4.4337866711430253E-14</v>
      </c>
      <c r="EL113" s="13">
        <f t="shared" si="99"/>
        <v>7.3222115536967035E-13</v>
      </c>
      <c r="EM113" s="20">
        <f t="shared" si="73"/>
        <v>1.3525069634579169E-12</v>
      </c>
      <c r="EN113" s="59">
        <f t="shared" si="74"/>
        <v>293.33333333333468</v>
      </c>
      <c r="EO113" s="59">
        <f ca="1">AVERAGE(OFFSET($EN$3,0,0,'Données projet'!$E$15+1,1))-AVERAGE(OFFSET($H$3,0,0,'Données projet'!$E$15+1,1))</f>
        <v>288.82868507674738</v>
      </c>
      <c r="EP113" s="59">
        <f t="shared" si="100"/>
        <v>283.48738729114024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45.817376570750362</v>
      </c>
      <c r="EW113" s="21">
        <f>EXP(-LN(2)/25)*EW112+(1-EXP(-LN(2)/25))/(LN(2)/25)*Calculateur!ER113*Calculateur!ET113*VLOOKUP('Données projet'!$B$15,Paramètres!$A$1:$I$89,3,0)*0.475*44/12</f>
        <v>16.332926204232166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62.150302774982528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7.9349999999999969</v>
      </c>
      <c r="N114" s="13">
        <f>IF('Données projet'!$A$36&gt;35,N113+M114-V113,IF(A114&lt;'Données projet'!$A$36,$K$205^A114,IF(A114='Données projet'!$A$36,'Données projet'!$B$36,N113+M114-V113)))</f>
        <v>360.7650000000005</v>
      </c>
      <c r="O114" s="13">
        <f>N114*VLOOKUP('Données projet'!$B$9,Paramètres!$A$1:$I$89,3,0)*VLOOKUP('Données projet'!$B$9,Paramètres!$A$1:$I$89,5,0)</f>
        <v>326.42017200000043</v>
      </c>
      <c r="P114" s="13">
        <f t="shared" si="87"/>
        <v>76.687647008791089</v>
      </c>
      <c r="Q114" s="20">
        <f t="shared" si="107"/>
        <v>702.07945144031191</v>
      </c>
      <c r="R114" s="59">
        <f t="shared" si="55"/>
        <v>995.41278477364517</v>
      </c>
      <c r="S114" s="59">
        <f ca="1">AVERAGE(OFFSET($R$3,0,0,'Données projet'!$E$9+1,1))-AVERAGE(OFFSET($H$3,0,0,'Données projet'!$E$9+1,1))</f>
        <v>581.88778927327667</v>
      </c>
      <c r="T114" s="59">
        <f t="shared" si="88"/>
        <v>269.67340993773422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50.197569411505341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50.197569411505341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1.7053025658242404E-13</v>
      </c>
      <c r="AJ114" s="13">
        <f>AI114*VLOOKUP('Données projet'!$B$10,Paramètres!$A$1:$I$89,3,0)*VLOOKUP('Données projet'!$B$10,Paramètres!$A$1:$I$89,5,0)</f>
        <v>1.1173142411280423E-13</v>
      </c>
      <c r="AK114" s="13">
        <f t="shared" si="89"/>
        <v>1.6569896290553793E-12</v>
      </c>
      <c r="AL114" s="20">
        <f t="shared" si="58"/>
        <v>3.0805225009345862E-12</v>
      </c>
      <c r="AM114" s="59">
        <f t="shared" si="59"/>
        <v>293.33333333333638</v>
      </c>
      <c r="AN114" s="59">
        <f ca="1">AVERAGE(OFFSET($AM$3,0,0,'Données projet'!$E$10+1,1))-AVERAGE(OFFSET($H$3,0,0,'Données projet'!$E$10+1,1))</f>
        <v>230.58262378842818</v>
      </c>
      <c r="AO114" s="59">
        <f t="shared" si="90"/>
        <v>235.68746142880792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36.468220983709088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36.468220983709088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326.42017200000043</v>
      </c>
      <c r="BF114" s="13">
        <f t="shared" si="91"/>
        <v>76.687647008791089</v>
      </c>
      <c r="BG114" s="20">
        <f t="shared" si="61"/>
        <v>702.07945144031191</v>
      </c>
      <c r="BH114" s="59">
        <f t="shared" si="62"/>
        <v>995.41278477364517</v>
      </c>
      <c r="BI114" s="59">
        <f ca="1">AVERAGE(OFFSET($BH$3,0,0,'Données projet'!$E$11+1,1))-AVERAGE(OFFSET($H$3,0,0,'Données projet'!$E$11+1,1))</f>
        <v>581.88778927327667</v>
      </c>
      <c r="BJ114" s="59">
        <f t="shared" si="92"/>
        <v>269.67340993773422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50.197569411505341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50.197569411505341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343.30397400000049</v>
      </c>
      <c r="CA114" s="13">
        <f t="shared" si="93"/>
        <v>80.182183692322951</v>
      </c>
      <c r="CB114" s="20">
        <f t="shared" si="64"/>
        <v>737.57172464746327</v>
      </c>
      <c r="CC114" s="59">
        <f t="shared" si="65"/>
        <v>1030.9050579807965</v>
      </c>
      <c r="CD114" s="59">
        <f ca="1">AVERAGE(OFFSET($CC$3,0,0,'Données projet'!$E$12+1,1))-AVERAGE(OFFSET($H$3,0,0,'Données projet'!$E$12+1,1))</f>
        <v>609.60019207204277</v>
      </c>
      <c r="CE114" s="59">
        <f t="shared" si="94"/>
        <v>281.42238288764503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52.793995415548729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52.793995415548729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1.5999999999905867E-2</v>
      </c>
      <c r="CU114" s="17">
        <f>CT114*VLOOKUP('Données projet'!$B$13,Paramètres!$A$1:$I$89,3,0)*VLOOKUP('Données projet'!$B$13,Paramètres!$A$1:$I$89,5,0)</f>
        <v>1.2729599999925107E-2</v>
      </c>
      <c r="CV114" s="13">
        <f t="shared" si="95"/>
        <v>9.7491417338934176E-3</v>
      </c>
      <c r="CW114" s="20">
        <f t="shared" si="67"/>
        <v>3.9150475186400593E-2</v>
      </c>
      <c r="CX114" s="59">
        <f t="shared" si="68"/>
        <v>293.37248380851969</v>
      </c>
      <c r="CY114" s="59">
        <f ca="1">AVERAGE(OFFSET($CX$3,0,0,'Données projet'!$E$13+1,1))-AVERAGE(OFFSET($H$3,0,0,'Données projet'!$E$13+1,1))</f>
        <v>172.13940525084604</v>
      </c>
      <c r="CZ114" s="59">
        <f t="shared" si="96"/>
        <v>172.82328007157236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24.742315963413628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24.742315963413628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1.7053025658242404E-13</v>
      </c>
      <c r="DP114" s="17">
        <f>DO114*VLOOKUP('Données projet'!$B$14,Paramètres!$A$1:$I$89,3,0)*VLOOKUP('Données projet'!$B$14,Paramètres!$A$1:$I$89,5,0)</f>
        <v>1.250327841262333E-13</v>
      </c>
      <c r="DQ114" s="13">
        <f t="shared" si="97"/>
        <v>1.8301318724634299E-12</v>
      </c>
      <c r="DR114" s="20">
        <f t="shared" si="70"/>
        <v>3.405245110226996E-12</v>
      </c>
      <c r="DS114" s="59">
        <f t="shared" si="71"/>
        <v>293.33333333333672</v>
      </c>
      <c r="DT114" s="59">
        <f ca="1">AVERAGE(OFFSET($DS$3,0,0,'Données projet'!$E$14+1,1))-AVERAGE(OFFSET($H$3,0,0,'Données projet'!$E$14+1,1))</f>
        <v>197.34725966440715</v>
      </c>
      <c r="DU114" s="59">
        <f t="shared" si="98"/>
        <v>240.16326570529532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13.072079766506317</v>
      </c>
      <c r="EB114" s="21">
        <f>EXP(-LN(2)/25)*EB113+(1-EXP(-LN(2)/25))/(LN(2)/25)*Calculateur!DW114*Calculateur!DY114*VLOOKUP('Données projet'!$B$14,Paramètres!$A$1:$I$89,3,0)*0.475*44/12</f>
        <v>5.675742725389898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18.747822491896216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5.6843418860808015E-14</v>
      </c>
      <c r="EK114" s="17">
        <f>EJ114*VLOOKUP('Données projet'!$B$15,Paramètres!$A$1:$I$89,3,0)*VLOOKUP('Données projet'!$B$15,Paramètres!$A$1:$I$89,5,0)</f>
        <v>4.4337866711430253E-14</v>
      </c>
      <c r="EL114" s="13">
        <f t="shared" si="99"/>
        <v>7.3222115536967035E-13</v>
      </c>
      <c r="EM114" s="20">
        <f t="shared" si="73"/>
        <v>1.3525069634579169E-12</v>
      </c>
      <c r="EN114" s="59">
        <f t="shared" si="74"/>
        <v>293.33333333333468</v>
      </c>
      <c r="EO114" s="59">
        <f ca="1">AVERAGE(OFFSET($EN$3,0,0,'Données projet'!$E$15+1,1))-AVERAGE(OFFSET($H$3,0,0,'Données projet'!$E$15+1,1))</f>
        <v>288.82868507674738</v>
      </c>
      <c r="EP114" s="59">
        <f t="shared" si="100"/>
        <v>283.48738729114024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44.918925762038235</v>
      </c>
      <c r="EW114" s="21">
        <f>EXP(-LN(2)/25)*EW113+(1-EXP(-LN(2)/25))/(LN(2)/25)*Calculateur!ER114*Calculateur!ET114*VLOOKUP('Données projet'!$B$15,Paramètres!$A$1:$I$89,3,0)*0.475*44/12</f>
        <v>15.886301478266178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60.805227240304411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7.9349999999999969</v>
      </c>
      <c r="N115" s="13">
        <f>IF('Données projet'!$A$36&gt;35,N114+M115-V114,IF(A115&lt;'Données projet'!$A$36,$K$205^A115,IF(A115='Données projet'!$A$36,'Données projet'!$B$36,N114+M115-V114)))</f>
        <v>368.7000000000005</v>
      </c>
      <c r="O115" s="13">
        <f>N115*VLOOKUP('Données projet'!$B$9,Paramètres!$A$1:$I$89,3,0)*VLOOKUP('Données projet'!$B$9,Paramètres!$A$1:$I$89,5,0)</f>
        <v>333.59976000000046</v>
      </c>
      <c r="P115" s="13">
        <f t="shared" si="87"/>
        <v>78.17615735915706</v>
      </c>
      <c r="Q115" s="20">
        <f t="shared" si="107"/>
        <v>717.17638940053257</v>
      </c>
      <c r="R115" s="59">
        <f t="shared" si="55"/>
        <v>1010.5097227338658</v>
      </c>
      <c r="S115" s="59">
        <f ca="1">AVERAGE(OFFSET($R$3,0,0,'Données projet'!$E$9+1,1))-AVERAGE(OFFSET($H$3,0,0,'Données projet'!$E$9+1,1))</f>
        <v>581.88778927327667</v>
      </c>
      <c r="T115" s="59">
        <f t="shared" si="88"/>
        <v>269.67340993773422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49.213225692839835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49.213225692839835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1.7053025658242404E-13</v>
      </c>
      <c r="AJ115" s="13">
        <f>AI115*VLOOKUP('Données projet'!$B$10,Paramètres!$A$1:$I$89,3,0)*VLOOKUP('Données projet'!$B$10,Paramètres!$A$1:$I$89,5,0)</f>
        <v>1.1173142411280423E-13</v>
      </c>
      <c r="AK115" s="13">
        <f t="shared" si="89"/>
        <v>1.6569896290553793E-12</v>
      </c>
      <c r="AL115" s="20">
        <f t="shared" si="58"/>
        <v>3.0805225009345862E-12</v>
      </c>
      <c r="AM115" s="59">
        <f t="shared" si="59"/>
        <v>293.33333333333638</v>
      </c>
      <c r="AN115" s="59">
        <f ca="1">AVERAGE(OFFSET($AM$3,0,0,'Données projet'!$E$10+1,1))-AVERAGE(OFFSET($H$3,0,0,'Données projet'!$E$10+1,1))</f>
        <v>230.58262378842818</v>
      </c>
      <c r="AO115" s="59">
        <f t="shared" si="90"/>
        <v>235.68746142880792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35.753101413636998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35.753101413636998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333.59976000000046</v>
      </c>
      <c r="BF115" s="13">
        <f t="shared" si="91"/>
        <v>78.17615735915706</v>
      </c>
      <c r="BG115" s="20">
        <f t="shared" si="61"/>
        <v>717.17638940053257</v>
      </c>
      <c r="BH115" s="59">
        <f t="shared" si="62"/>
        <v>1010.5097227338658</v>
      </c>
      <c r="BI115" s="59">
        <f ca="1">AVERAGE(OFFSET($BH$3,0,0,'Données projet'!$E$11+1,1))-AVERAGE(OFFSET($H$3,0,0,'Données projet'!$E$11+1,1))</f>
        <v>581.88778927327667</v>
      </c>
      <c r="BJ115" s="59">
        <f t="shared" si="92"/>
        <v>269.67340993773422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49.213225692839835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49.213225692839835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350.85492000000045</v>
      </c>
      <c r="CA115" s="13">
        <f t="shared" si="93"/>
        <v>81.738523141977637</v>
      </c>
      <c r="CB115" s="20">
        <f t="shared" si="64"/>
        <v>753.4335801389451</v>
      </c>
      <c r="CC115" s="59">
        <f t="shared" si="65"/>
        <v>1046.7669134722785</v>
      </c>
      <c r="CD115" s="59">
        <f ca="1">AVERAGE(OFFSET($CC$3,0,0,'Données projet'!$E$12+1,1))-AVERAGE(OFFSET($H$3,0,0,'Données projet'!$E$12+1,1))</f>
        <v>609.60019207204277</v>
      </c>
      <c r="CE115" s="59">
        <f t="shared" si="94"/>
        <v>281.42238288764503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51.75873736660742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51.75873736660742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1.5999999999905867E-2</v>
      </c>
      <c r="CU115" s="17">
        <f>CT115*VLOOKUP('Données projet'!$B$13,Paramètres!$A$1:$I$89,3,0)*VLOOKUP('Données projet'!$B$13,Paramètres!$A$1:$I$89,5,0)</f>
        <v>1.2729599999925107E-2</v>
      </c>
      <c r="CV115" s="13">
        <f t="shared" si="95"/>
        <v>9.7491417338934176E-3</v>
      </c>
      <c r="CW115" s="20">
        <f t="shared" si="67"/>
        <v>3.9150475186400593E-2</v>
      </c>
      <c r="CX115" s="59">
        <f t="shared" si="68"/>
        <v>293.37248380851969</v>
      </c>
      <c r="CY115" s="59">
        <f ca="1">AVERAGE(OFFSET($CX$3,0,0,'Données projet'!$E$13+1,1))-AVERAGE(OFFSET($H$3,0,0,'Données projet'!$E$13+1,1))</f>
        <v>172.13940525084604</v>
      </c>
      <c r="CZ115" s="59">
        <f t="shared" si="96"/>
        <v>172.82328007157236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24.257134238693681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24.257134238693681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1.7053025658242404E-13</v>
      </c>
      <c r="DP115" s="17">
        <f>DO115*VLOOKUP('Données projet'!$B$14,Paramètres!$A$1:$I$89,3,0)*VLOOKUP('Données projet'!$B$14,Paramètres!$A$1:$I$89,5,0)</f>
        <v>1.250327841262333E-13</v>
      </c>
      <c r="DQ115" s="13">
        <f t="shared" si="97"/>
        <v>1.8301318724634299E-12</v>
      </c>
      <c r="DR115" s="20">
        <f t="shared" si="70"/>
        <v>3.405245110226996E-12</v>
      </c>
      <c r="DS115" s="59">
        <f t="shared" si="71"/>
        <v>293.33333333333672</v>
      </c>
      <c r="DT115" s="59">
        <f ca="1">AVERAGE(OFFSET($DS$3,0,0,'Données projet'!$E$14+1,1))-AVERAGE(OFFSET($H$3,0,0,'Données projet'!$E$14+1,1))</f>
        <v>197.34725966440715</v>
      </c>
      <c r="DU115" s="59">
        <f t="shared" si="98"/>
        <v>240.16326570529532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12.815744255466498</v>
      </c>
      <c r="EB115" s="21">
        <f>EXP(-LN(2)/25)*EB114+(1-EXP(-LN(2)/25))/(LN(2)/25)*Calculateur!DW115*Calculateur!DY115*VLOOKUP('Données projet'!$B$14,Paramètres!$A$1:$I$89,3,0)*0.475*44/12</f>
        <v>5.5205392420897734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18.336283497556273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5.6843418860808015E-14</v>
      </c>
      <c r="EK115" s="17">
        <f>EJ115*VLOOKUP('Données projet'!$B$15,Paramètres!$A$1:$I$89,3,0)*VLOOKUP('Données projet'!$B$15,Paramètres!$A$1:$I$89,5,0)</f>
        <v>4.4337866711430253E-14</v>
      </c>
      <c r="EL115" s="13">
        <f t="shared" si="99"/>
        <v>7.3222115536967035E-13</v>
      </c>
      <c r="EM115" s="20">
        <f t="shared" si="73"/>
        <v>1.3525069634579169E-12</v>
      </c>
      <c r="EN115" s="59">
        <f t="shared" si="74"/>
        <v>293.33333333333468</v>
      </c>
      <c r="EO115" s="59">
        <f ca="1">AVERAGE(OFFSET($EN$3,0,0,'Données projet'!$E$15+1,1))-AVERAGE(OFFSET($H$3,0,0,'Données projet'!$E$15+1,1))</f>
        <v>288.82868507674738</v>
      </c>
      <c r="EP115" s="59">
        <f t="shared" si="100"/>
        <v>283.48738729114024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44.03809302568407</v>
      </c>
      <c r="EW115" s="21">
        <f>EXP(-LN(2)/25)*EW114+(1-EXP(-LN(2)/25))/(LN(2)/25)*Calculateur!ER115*Calculateur!ET115*VLOOKUP('Données projet'!$B$15,Paramètres!$A$1:$I$89,3,0)*0.475*44/12</f>
        <v>15.451889728918703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59.489982754602771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7.9349999999999969</v>
      </c>
      <c r="N116" s="13">
        <f>IF('Données projet'!$A$36&gt;35,N115+M116-V115,IF(A116&lt;'Données projet'!$A$36,$K$205^A116,IF(A116='Données projet'!$A$36,'Données projet'!$B$36,N115+M116-V115)))</f>
        <v>376.6350000000005</v>
      </c>
      <c r="O116" s="13">
        <f>N116*VLOOKUP('Données projet'!$B$9,Paramètres!$A$1:$I$89,3,0)*VLOOKUP('Données projet'!$B$9,Paramètres!$A$1:$I$89,5,0)</f>
        <v>340.77934800000043</v>
      </c>
      <c r="P116" s="13">
        <f t="shared" si="87"/>
        <v>79.660943190415296</v>
      </c>
      <c r="Q116" s="20">
        <f t="shared" si="107"/>
        <v>732.26684048997402</v>
      </c>
      <c r="R116" s="59">
        <f t="shared" si="55"/>
        <v>1025.6001738233074</v>
      </c>
      <c r="S116" s="59">
        <f ca="1">AVERAGE(OFFSET($R$3,0,0,'Données projet'!$E$9+1,1))-AVERAGE(OFFSET($H$3,0,0,'Données projet'!$E$9+1,1))</f>
        <v>581.88778927327667</v>
      </c>
      <c r="T116" s="59">
        <f t="shared" si="88"/>
        <v>269.67340993773422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48.248184354106975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48.248184354106975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1.7053025658242404E-13</v>
      </c>
      <c r="AJ116" s="13">
        <f>AI116*VLOOKUP('Données projet'!$B$10,Paramètres!$A$1:$I$89,3,0)*VLOOKUP('Données projet'!$B$10,Paramètres!$A$1:$I$89,5,0)</f>
        <v>1.1173142411280423E-13</v>
      </c>
      <c r="AK116" s="13">
        <f t="shared" si="89"/>
        <v>1.6569896290553793E-12</v>
      </c>
      <c r="AL116" s="20">
        <f t="shared" si="58"/>
        <v>3.0805225009345862E-12</v>
      </c>
      <c r="AM116" s="59">
        <f t="shared" si="59"/>
        <v>293.33333333333638</v>
      </c>
      <c r="AN116" s="59">
        <f ca="1">AVERAGE(OFFSET($AM$3,0,0,'Données projet'!$E$10+1,1))-AVERAGE(OFFSET($H$3,0,0,'Données projet'!$E$10+1,1))</f>
        <v>230.58262378842818</v>
      </c>
      <c r="AO116" s="59">
        <f t="shared" si="90"/>
        <v>235.68746142880792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35.052004902154152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35.052004902154152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340.77934800000043</v>
      </c>
      <c r="BF116" s="13">
        <f t="shared" si="91"/>
        <v>79.660943190415296</v>
      </c>
      <c r="BG116" s="20">
        <f t="shared" si="61"/>
        <v>732.26684048997402</v>
      </c>
      <c r="BH116" s="59">
        <f t="shared" si="62"/>
        <v>1025.6001738233074</v>
      </c>
      <c r="BI116" s="59">
        <f ca="1">AVERAGE(OFFSET($BH$3,0,0,'Données projet'!$E$11+1,1))-AVERAGE(OFFSET($H$3,0,0,'Données projet'!$E$11+1,1))</f>
        <v>581.88778927327667</v>
      </c>
      <c r="BJ116" s="59">
        <f t="shared" si="92"/>
        <v>269.67340993773422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48.248184354106975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48.248184354106975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358.40586600000046</v>
      </c>
      <c r="CA116" s="13">
        <f t="shared" si="93"/>
        <v>83.290968351987175</v>
      </c>
      <c r="CB116" s="20">
        <f t="shared" si="64"/>
        <v>769.28865316304507</v>
      </c>
      <c r="CC116" s="59">
        <f t="shared" si="65"/>
        <v>1062.6219864963784</v>
      </c>
      <c r="CD116" s="59">
        <f ca="1">AVERAGE(OFFSET($CC$3,0,0,'Données projet'!$E$12+1,1))-AVERAGE(OFFSET($H$3,0,0,'Données projet'!$E$12+1,1))</f>
        <v>609.60019207204277</v>
      </c>
      <c r="CE116" s="59">
        <f t="shared" si="94"/>
        <v>281.42238288764503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50.743780096560791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50.743780096560791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1.5999999999905867E-2</v>
      </c>
      <c r="CU116" s="17">
        <f>CT116*VLOOKUP('Données projet'!$B$13,Paramètres!$A$1:$I$89,3,0)*VLOOKUP('Données projet'!$B$13,Paramètres!$A$1:$I$89,5,0)</f>
        <v>1.2729599999925107E-2</v>
      </c>
      <c r="CV116" s="13">
        <f t="shared" si="95"/>
        <v>9.7491417338934176E-3</v>
      </c>
      <c r="CW116" s="20">
        <f t="shared" si="67"/>
        <v>3.9150475186400593E-2</v>
      </c>
      <c r="CX116" s="59">
        <f t="shared" si="68"/>
        <v>293.37248380851969</v>
      </c>
      <c r="CY116" s="59">
        <f ca="1">AVERAGE(OFFSET($CX$3,0,0,'Données projet'!$E$13+1,1))-AVERAGE(OFFSET($H$3,0,0,'Données projet'!$E$13+1,1))</f>
        <v>172.13940525084604</v>
      </c>
      <c r="CZ116" s="59">
        <f t="shared" si="96"/>
        <v>172.82328007157236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23.781466631663861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23.781466631663861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1.7053025658242404E-13</v>
      </c>
      <c r="DP116" s="17">
        <f>DO116*VLOOKUP('Données projet'!$B$14,Paramètres!$A$1:$I$89,3,0)*VLOOKUP('Données projet'!$B$14,Paramètres!$A$1:$I$89,5,0)</f>
        <v>1.250327841262333E-13</v>
      </c>
      <c r="DQ116" s="13">
        <f t="shared" si="97"/>
        <v>1.8301318724634299E-12</v>
      </c>
      <c r="DR116" s="20">
        <f t="shared" si="70"/>
        <v>3.405245110226996E-12</v>
      </c>
      <c r="DS116" s="59">
        <f t="shared" si="71"/>
        <v>293.33333333333672</v>
      </c>
      <c r="DT116" s="59">
        <f ca="1">AVERAGE(OFFSET($DS$3,0,0,'Données projet'!$E$14+1,1))-AVERAGE(OFFSET($H$3,0,0,'Données projet'!$E$14+1,1))</f>
        <v>197.34725966440715</v>
      </c>
      <c r="DU116" s="59">
        <f t="shared" si="98"/>
        <v>240.16326570529532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12.564435327448948</v>
      </c>
      <c r="EB116" s="21">
        <f>EXP(-LN(2)/25)*EB115+(1-EXP(-LN(2)/25))/(LN(2)/25)*Calculateur!DW116*Calculateur!DY116*VLOOKUP('Données projet'!$B$14,Paramètres!$A$1:$I$89,3,0)*0.475*44/12</f>
        <v>5.369579806202287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17.934015133651236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5.6843418860808015E-14</v>
      </c>
      <c r="EK116" s="17">
        <f>EJ116*VLOOKUP('Données projet'!$B$15,Paramètres!$A$1:$I$89,3,0)*VLOOKUP('Données projet'!$B$15,Paramètres!$A$1:$I$89,5,0)</f>
        <v>4.4337866711430253E-14</v>
      </c>
      <c r="EL116" s="13">
        <f t="shared" si="99"/>
        <v>7.3222115536967035E-13</v>
      </c>
      <c r="EM116" s="20">
        <f t="shared" si="73"/>
        <v>1.3525069634579169E-12</v>
      </c>
      <c r="EN116" s="59">
        <f t="shared" si="74"/>
        <v>293.33333333333468</v>
      </c>
      <c r="EO116" s="59">
        <f ca="1">AVERAGE(OFFSET($EN$3,0,0,'Données projet'!$E$15+1,1))-AVERAGE(OFFSET($H$3,0,0,'Données projet'!$E$15+1,1))</f>
        <v>288.82868507674738</v>
      </c>
      <c r="EP116" s="59">
        <f t="shared" si="100"/>
        <v>283.48738729114024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43.174532882034889</v>
      </c>
      <c r="EW116" s="21">
        <f>EXP(-LN(2)/25)*EW115+(1-EXP(-LN(2)/25))/(LN(2)/25)*Calculateur!ER116*Calculateur!ET116*VLOOKUP('Données projet'!$B$15,Paramètres!$A$1:$I$89,3,0)*0.475*44/12</f>
        <v>15.029356991701857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58.203889873736742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>
        <f>VLOOKUP(A117,'Données projet'!$A$35:$I$55,2,0)</f>
        <v>384.57</v>
      </c>
      <c r="L117" s="12">
        <f>VLOOKUP(A117,'Données projet'!$A$35:$I$55,9,0)</f>
        <v>7.9349999999999969</v>
      </c>
      <c r="M117" s="12">
        <f t="array" ref="M117">INDEX(L:L,MIN(IF(ISNUMBER(L117:L313),ROW(L117:L313),"")))</f>
        <v>7.9349999999999969</v>
      </c>
      <c r="N117" s="13">
        <f>IF('Données projet'!$A$36&gt;35,N116+M117-V116,IF(A117&lt;'Données projet'!$A$36,$K$205^A117,IF(A117='Données projet'!$A$36,'Données projet'!$B$36,N116+M117-V116)))</f>
        <v>384.5700000000005</v>
      </c>
      <c r="O117" s="13">
        <f>N117*VLOOKUP('Données projet'!$B$9,Paramètres!$A$1:$I$89,3,0)*VLOOKUP('Données projet'!$B$9,Paramètres!$A$1:$I$89,5,0)</f>
        <v>347.95893600000045</v>
      </c>
      <c r="P117" s="13">
        <f t="shared" si="87"/>
        <v>81.142092010767954</v>
      </c>
      <c r="Q117" s="20">
        <f t="shared" si="107"/>
        <v>747.35095711875499</v>
      </c>
      <c r="R117" s="59">
        <f t="shared" si="55"/>
        <v>1040.6842904520884</v>
      </c>
      <c r="S117" s="59">
        <f ca="1">AVERAGE(OFFSET($R$3,0,0,'Données projet'!$E$9+1,1))-AVERAGE(OFFSET($H$3,0,0,'Données projet'!$E$9+1,1))</f>
        <v>581.88778927327667</v>
      </c>
      <c r="T117" s="59">
        <f t="shared" si="88"/>
        <v>269.67340993773422</v>
      </c>
      <c r="U117" s="15">
        <f>IF(ISNA(VLOOKUP(A117,'Données projet'!$A$35:$I$55,3,0)),0,VLOOKUP(A117,'Données projet'!$A$35:$I$55,3,0))</f>
        <v>9</v>
      </c>
      <c r="V117" s="15">
        <f>IF(ISNA(VLOOKUP(A117,'Données projet'!$A$35:$I$55,4,0)),0,VLOOKUP(A117,'Données projet'!$A$35:$I$55,4,0))</f>
        <v>56.07</v>
      </c>
      <c r="W117" s="16">
        <f>IF(ISNA(VLOOKUP(A117,'Données projet'!$A$35:$I$55,5,0)),0%,VLOOKUP(A117,'Données projet'!$A$35:$I$55,5,0)*VLOOKUP('Données projet'!$B$9,Paramètres!$A$1:$I$89,7,0))</f>
        <v>0.25800000000000001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61.771448286126386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61.771448286126386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1.7053025658242404E-13</v>
      </c>
      <c r="AJ117" s="13">
        <f>AI117*VLOOKUP('Données projet'!$B$10,Paramètres!$A$1:$I$89,3,0)*VLOOKUP('Données projet'!$B$10,Paramètres!$A$1:$I$89,5,0)</f>
        <v>1.1173142411280423E-13</v>
      </c>
      <c r="AK117" s="13">
        <f t="shared" si="89"/>
        <v>1.6569896290553793E-12</v>
      </c>
      <c r="AL117" s="20">
        <f t="shared" si="58"/>
        <v>3.0805225009345862E-12</v>
      </c>
      <c r="AM117" s="59">
        <f t="shared" si="59"/>
        <v>293.33333333333638</v>
      </c>
      <c r="AN117" s="59">
        <f ca="1">AVERAGE(OFFSET($AM$3,0,0,'Données projet'!$E$10+1,1))-AVERAGE(OFFSET($H$3,0,0,'Données projet'!$E$10+1,1))</f>
        <v>230.58262378842818</v>
      </c>
      <c r="AO117" s="59">
        <f t="shared" si="90"/>
        <v>235.68746142880792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34.364656465634837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34.364656465634837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347.95893600000045</v>
      </c>
      <c r="BF117" s="13">
        <f t="shared" si="91"/>
        <v>81.142092010767954</v>
      </c>
      <c r="BG117" s="20">
        <f t="shared" si="61"/>
        <v>747.35095711875499</v>
      </c>
      <c r="BH117" s="59">
        <f t="shared" si="62"/>
        <v>1040.6842904520884</v>
      </c>
      <c r="BI117" s="59">
        <f ca="1">AVERAGE(OFFSET($BH$3,0,0,'Données projet'!$E$11+1,1))-AVERAGE(OFFSET($H$3,0,0,'Données projet'!$E$11+1,1))</f>
        <v>581.88778927327667</v>
      </c>
      <c r="BJ117" s="59">
        <f t="shared" si="92"/>
        <v>269.67340993773422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61.771448286126386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61.771448286126386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365.95681200000047</v>
      </c>
      <c r="CA117" s="13">
        <f t="shared" si="93"/>
        <v>84.839610818166577</v>
      </c>
      <c r="CB117" s="20">
        <f t="shared" si="64"/>
        <v>785.13710307497422</v>
      </c>
      <c r="CC117" s="59">
        <f t="shared" si="65"/>
        <v>1078.4704364083075</v>
      </c>
      <c r="CD117" s="59">
        <f ca="1">AVERAGE(OFFSET($CC$3,0,0,'Données projet'!$E$12+1,1))-AVERAGE(OFFSET($H$3,0,0,'Données projet'!$E$12+1,1))</f>
        <v>609.60019207204277</v>
      </c>
      <c r="CE117" s="59">
        <f t="shared" si="94"/>
        <v>281.42238288764503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64.966523197477756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64.966523197477756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1.5999999999905867E-2</v>
      </c>
      <c r="CU117" s="17">
        <f>CT117*VLOOKUP('Données projet'!$B$13,Paramètres!$A$1:$I$89,3,0)*VLOOKUP('Données projet'!$B$13,Paramètres!$A$1:$I$89,5,0)</f>
        <v>1.2729599999925107E-2</v>
      </c>
      <c r="CV117" s="13">
        <f t="shared" si="95"/>
        <v>9.7491417338934176E-3</v>
      </c>
      <c r="CW117" s="20">
        <f t="shared" si="67"/>
        <v>3.9150475186400593E-2</v>
      </c>
      <c r="CX117" s="59">
        <f t="shared" si="68"/>
        <v>293.37248380851969</v>
      </c>
      <c r="CY117" s="59">
        <f ca="1">AVERAGE(OFFSET($CX$3,0,0,'Données projet'!$E$13+1,1))-AVERAGE(OFFSET($H$3,0,0,'Données projet'!$E$13+1,1))</f>
        <v>172.13940525084604</v>
      </c>
      <c r="CZ117" s="59">
        <f t="shared" si="96"/>
        <v>172.82328007157236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23.315126576279301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23.315126576279301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1.7053025658242404E-13</v>
      </c>
      <c r="DP117" s="17">
        <f>DO117*VLOOKUP('Données projet'!$B$14,Paramètres!$A$1:$I$89,3,0)*VLOOKUP('Données projet'!$B$14,Paramètres!$A$1:$I$89,5,0)</f>
        <v>1.250327841262333E-13</v>
      </c>
      <c r="DQ117" s="13">
        <f t="shared" si="97"/>
        <v>1.8301318724634299E-12</v>
      </c>
      <c r="DR117" s="20">
        <f t="shared" si="70"/>
        <v>3.405245110226996E-12</v>
      </c>
      <c r="DS117" s="59">
        <f t="shared" si="71"/>
        <v>293.33333333333672</v>
      </c>
      <c r="DT117" s="59">
        <f ca="1">AVERAGE(OFFSET($DS$3,0,0,'Données projet'!$E$14+1,1))-AVERAGE(OFFSET($H$3,0,0,'Données projet'!$E$14+1,1))</f>
        <v>197.34725966440715</v>
      </c>
      <c r="DU117" s="59">
        <f t="shared" si="98"/>
        <v>240.16326570529532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12.318054414226511</v>
      </c>
      <c r="EB117" s="21">
        <f>EXP(-LN(2)/25)*EB116+(1-EXP(-LN(2)/25))/(LN(2)/25)*Calculateur!DW117*Calculateur!DY117*VLOOKUP('Données projet'!$B$14,Paramètres!$A$1:$I$89,3,0)*0.475*44/12</f>
        <v>5.2227483640277557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17.540802778254267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5.6843418860808015E-14</v>
      </c>
      <c r="EK117" s="17">
        <f>EJ117*VLOOKUP('Données projet'!$B$15,Paramètres!$A$1:$I$89,3,0)*VLOOKUP('Données projet'!$B$15,Paramètres!$A$1:$I$89,5,0)</f>
        <v>4.4337866711430253E-14</v>
      </c>
      <c r="EL117" s="13">
        <f t="shared" si="99"/>
        <v>7.3222115536967035E-13</v>
      </c>
      <c r="EM117" s="20">
        <f t="shared" si="73"/>
        <v>1.3525069634579169E-12</v>
      </c>
      <c r="EN117" s="59">
        <f t="shared" si="74"/>
        <v>293.33333333333468</v>
      </c>
      <c r="EO117" s="59">
        <f ca="1">AVERAGE(OFFSET($EN$3,0,0,'Données projet'!$E$15+1,1))-AVERAGE(OFFSET($H$3,0,0,'Données projet'!$E$15+1,1))</f>
        <v>288.82868507674738</v>
      </c>
      <c r="EP117" s="59">
        <f t="shared" si="100"/>
        <v>283.48738729114024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42.327906626082992</v>
      </c>
      <c r="EW117" s="21">
        <f>EXP(-LN(2)/25)*EW116+(1-EXP(-LN(2)/25))/(LN(2)/25)*Calculateur!ER117*Calculateur!ET117*VLOOKUP('Données projet'!$B$15,Paramètres!$A$1:$I$89,3,0)*0.475*44/12</f>
        <v>14.618378434404235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56.946285060487227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7.9920000000000018</v>
      </c>
      <c r="N118" s="13">
        <f>IF('Données projet'!$A$36&gt;35,N117+M118-V117,IF(A118&lt;'Données projet'!$A$36,$K$205^A118,IF(A118='Données projet'!$A$36,'Données projet'!$B$36,N117+M118-V117)))</f>
        <v>336.49200000000053</v>
      </c>
      <c r="O118" s="13">
        <f>N118*VLOOKUP('Données projet'!$B$9,Paramètres!$A$1:$I$89,3,0)*VLOOKUP('Données projet'!$B$9,Paramètres!$A$1:$I$89,5,0)</f>
        <v>304.45796160000049</v>
      </c>
      <c r="P118" s="13">
        <f t="shared" si="87"/>
        <v>72.11021964481435</v>
      </c>
      <c r="Q118" s="20">
        <f t="shared" si="107"/>
        <v>655.85624900138566</v>
      </c>
      <c r="R118" s="59">
        <f t="shared" si="55"/>
        <v>949.18958233471903</v>
      </c>
      <c r="S118" s="59">
        <f ca="1">AVERAGE(OFFSET($R$3,0,0,'Données projet'!$E$9+1,1))-AVERAGE(OFFSET($H$3,0,0,'Données projet'!$E$9+1,1))</f>
        <v>581.88778927327667</v>
      </c>
      <c r="T118" s="59">
        <f t="shared" si="88"/>
        <v>269.67340993773422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60.560147862098624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60.560147862098624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1.7053025658242404E-13</v>
      </c>
      <c r="AJ118" s="13">
        <f>AI118*VLOOKUP('Données projet'!$B$10,Paramètres!$A$1:$I$89,3,0)*VLOOKUP('Données projet'!$B$10,Paramètres!$A$1:$I$89,5,0)</f>
        <v>1.1173142411280423E-13</v>
      </c>
      <c r="AK118" s="13">
        <f t="shared" si="89"/>
        <v>1.6569896290553793E-12</v>
      </c>
      <c r="AL118" s="20">
        <f t="shared" si="58"/>
        <v>3.0805225009345862E-12</v>
      </c>
      <c r="AM118" s="59">
        <f t="shared" si="59"/>
        <v>293.33333333333638</v>
      </c>
      <c r="AN118" s="59">
        <f ca="1">AVERAGE(OFFSET($AM$3,0,0,'Données projet'!$E$10+1,1))-AVERAGE(OFFSET($H$3,0,0,'Données projet'!$E$10+1,1))</f>
        <v>230.58262378842818</v>
      </c>
      <c r="AO118" s="59">
        <f t="shared" si="90"/>
        <v>235.68746142880792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33.690786512714517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33.690786512714517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304.45796160000049</v>
      </c>
      <c r="BF118" s="13">
        <f t="shared" si="91"/>
        <v>72.11021964481435</v>
      </c>
      <c r="BG118" s="20">
        <f t="shared" si="61"/>
        <v>655.85624900138566</v>
      </c>
      <c r="BH118" s="59">
        <f t="shared" si="62"/>
        <v>949.18958233471903</v>
      </c>
      <c r="BI118" s="59">
        <f ca="1">AVERAGE(OFFSET($BH$3,0,0,'Données projet'!$E$11+1,1))-AVERAGE(OFFSET($H$3,0,0,'Données projet'!$E$11+1,1))</f>
        <v>581.88778927327667</v>
      </c>
      <c r="BJ118" s="59">
        <f t="shared" si="92"/>
        <v>269.67340993773422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60.560147862098624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60.560147862098624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320.20578720000049</v>
      </c>
      <c r="CA118" s="13">
        <f t="shared" si="93"/>
        <v>75.396170089707468</v>
      </c>
      <c r="CB118" s="20">
        <f t="shared" si="64"/>
        <v>689.00674227957461</v>
      </c>
      <c r="CC118" s="59">
        <f t="shared" si="65"/>
        <v>982.34007561290787</v>
      </c>
      <c r="CD118" s="59">
        <f ca="1">AVERAGE(OFFSET($CC$3,0,0,'Données projet'!$E$12+1,1))-AVERAGE(OFFSET($H$3,0,0,'Données projet'!$E$12+1,1))</f>
        <v>609.60019207204277</v>
      </c>
      <c r="CE118" s="59">
        <f t="shared" si="94"/>
        <v>281.42238288764503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63.692569303241655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63.692569303241655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1.5999999999905867E-2</v>
      </c>
      <c r="CU118" s="17">
        <f>CT118*VLOOKUP('Données projet'!$B$13,Paramètres!$A$1:$I$89,3,0)*VLOOKUP('Données projet'!$B$13,Paramètres!$A$1:$I$89,5,0)</f>
        <v>1.2729599999925107E-2</v>
      </c>
      <c r="CV118" s="13">
        <f t="shared" si="95"/>
        <v>9.7491417338934176E-3</v>
      </c>
      <c r="CW118" s="20">
        <f t="shared" si="67"/>
        <v>3.9150475186400593E-2</v>
      </c>
      <c r="CX118" s="59">
        <f t="shared" si="68"/>
        <v>293.37248380851969</v>
      </c>
      <c r="CY118" s="59">
        <f ca="1">AVERAGE(OFFSET($CX$3,0,0,'Données projet'!$E$13+1,1))-AVERAGE(OFFSET($H$3,0,0,'Données projet'!$E$13+1,1))</f>
        <v>172.13940525084604</v>
      </c>
      <c r="CZ118" s="59">
        <f t="shared" si="96"/>
        <v>172.82328007157236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22.857931164941487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22.857931164941487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1.7053025658242404E-13</v>
      </c>
      <c r="DP118" s="17">
        <f>DO118*VLOOKUP('Données projet'!$B$14,Paramètres!$A$1:$I$89,3,0)*VLOOKUP('Données projet'!$B$14,Paramètres!$A$1:$I$89,5,0)</f>
        <v>1.250327841262333E-13</v>
      </c>
      <c r="DQ118" s="13">
        <f t="shared" si="97"/>
        <v>1.8301318724634299E-12</v>
      </c>
      <c r="DR118" s="20">
        <f t="shared" si="70"/>
        <v>3.405245110226996E-12</v>
      </c>
      <c r="DS118" s="59">
        <f t="shared" si="71"/>
        <v>293.33333333333672</v>
      </c>
      <c r="DT118" s="59">
        <f ca="1">AVERAGE(OFFSET($DS$3,0,0,'Données projet'!$E$14+1,1))-AVERAGE(OFFSET($H$3,0,0,'Données projet'!$E$14+1,1))</f>
        <v>197.34725966440715</v>
      </c>
      <c r="DU118" s="59">
        <f t="shared" si="98"/>
        <v>240.16326570529532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12.076504880434848</v>
      </c>
      <c r="EB118" s="21">
        <f>EXP(-LN(2)/25)*EB117+(1-EXP(-LN(2)/25))/(LN(2)/25)*Calculateur!DW118*Calculateur!DY118*VLOOKUP('Données projet'!$B$14,Paramètres!$A$1:$I$89,3,0)*0.475*44/12</f>
        <v>5.0799320353610167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17.156436915795865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5.6843418860808015E-14</v>
      </c>
      <c r="EK118" s="17">
        <f>EJ118*VLOOKUP('Données projet'!$B$15,Paramètres!$A$1:$I$89,3,0)*VLOOKUP('Données projet'!$B$15,Paramètres!$A$1:$I$89,5,0)</f>
        <v>4.4337866711430253E-14</v>
      </c>
      <c r="EL118" s="13">
        <f t="shared" si="99"/>
        <v>7.3222115536967035E-13</v>
      </c>
      <c r="EM118" s="20">
        <f t="shared" si="73"/>
        <v>1.3525069634579169E-12</v>
      </c>
      <c r="EN118" s="59">
        <f t="shared" si="74"/>
        <v>293.33333333333468</v>
      </c>
      <c r="EO118" s="59">
        <f ca="1">AVERAGE(OFFSET($EN$3,0,0,'Données projet'!$E$15+1,1))-AVERAGE(OFFSET($H$3,0,0,'Données projet'!$E$15+1,1))</f>
        <v>288.82868507674738</v>
      </c>
      <c r="EP118" s="59">
        <f t="shared" si="100"/>
        <v>283.48738729114024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41.49788219461928</v>
      </c>
      <c r="EW118" s="21">
        <f>EXP(-LN(2)/25)*EW117+(1-EXP(-LN(2)/25))/(LN(2)/25)*Calculateur!ER118*Calculateur!ET118*VLOOKUP('Données projet'!$B$15,Paramètres!$A$1:$I$89,3,0)*0.475*44/12</f>
        <v>14.21863810736834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55.716520301987622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7.9920000000000018</v>
      </c>
      <c r="N119" s="13">
        <f>IF('Données projet'!$A$36&gt;35,N118+M119-V118,IF(A119&lt;'Données projet'!$A$36,$K$205^A119,IF(A119='Données projet'!$A$36,'Données projet'!$B$36,N118+M119-V118)))</f>
        <v>344.48400000000055</v>
      </c>
      <c r="O119" s="13">
        <f>N119*VLOOKUP('Données projet'!$B$9,Paramètres!$A$1:$I$89,3,0)*VLOOKUP('Données projet'!$B$9,Paramètres!$A$1:$I$89,5,0)</f>
        <v>311.68912320000049</v>
      </c>
      <c r="P119" s="13">
        <f t="shared" si="87"/>
        <v>73.621474685301479</v>
      </c>
      <c r="Q119" s="20">
        <f t="shared" si="107"/>
        <v>671.08262465023415</v>
      </c>
      <c r="R119" s="59">
        <f t="shared" si="55"/>
        <v>964.41595798356752</v>
      </c>
      <c r="S119" s="59">
        <f ca="1">AVERAGE(OFFSET($R$3,0,0,'Données projet'!$E$9+1,1))-AVERAGE(OFFSET($H$3,0,0,'Données projet'!$E$9+1,1))</f>
        <v>581.88778927327667</v>
      </c>
      <c r="T119" s="59">
        <f t="shared" si="88"/>
        <v>269.67340993773422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59.372600300565736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59.372600300565736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1.7053025658242404E-13</v>
      </c>
      <c r="AJ119" s="13">
        <f>AI119*VLOOKUP('Données projet'!$B$10,Paramètres!$A$1:$I$89,3,0)*VLOOKUP('Données projet'!$B$10,Paramètres!$A$1:$I$89,5,0)</f>
        <v>1.1173142411280423E-13</v>
      </c>
      <c r="AK119" s="13">
        <f t="shared" si="89"/>
        <v>1.6569896290553793E-12</v>
      </c>
      <c r="AL119" s="20">
        <f t="shared" si="58"/>
        <v>3.0805225009345862E-12</v>
      </c>
      <c r="AM119" s="59">
        <f t="shared" si="59"/>
        <v>293.33333333333638</v>
      </c>
      <c r="AN119" s="59">
        <f ca="1">AVERAGE(OFFSET($AM$3,0,0,'Données projet'!$E$10+1,1))-AVERAGE(OFFSET($H$3,0,0,'Données projet'!$E$10+1,1))</f>
        <v>230.58262378842818</v>
      </c>
      <c r="AO119" s="59">
        <f t="shared" si="90"/>
        <v>235.68746142880792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33.030130738550881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33.030130738550881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311.68912320000049</v>
      </c>
      <c r="BF119" s="13">
        <f t="shared" si="91"/>
        <v>73.621474685301479</v>
      </c>
      <c r="BG119" s="20">
        <f t="shared" si="61"/>
        <v>671.08262465023415</v>
      </c>
      <c r="BH119" s="59">
        <f t="shared" si="62"/>
        <v>964.41595798356752</v>
      </c>
      <c r="BI119" s="59">
        <f ca="1">AVERAGE(OFFSET($BH$3,0,0,'Données projet'!$E$11+1,1))-AVERAGE(OFFSET($H$3,0,0,'Données projet'!$E$11+1,1))</f>
        <v>581.88778927327667</v>
      </c>
      <c r="BJ119" s="59">
        <f t="shared" si="92"/>
        <v>269.67340993773422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59.372600300565736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59.372600300565736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327.81097440000053</v>
      </c>
      <c r="CA119" s="13">
        <f t="shared" si="93"/>
        <v>76.976290669602136</v>
      </c>
      <c r="CB119" s="20">
        <f t="shared" si="64"/>
        <v>705.00448666289128</v>
      </c>
      <c r="CC119" s="59">
        <f t="shared" si="65"/>
        <v>998.33781999622465</v>
      </c>
      <c r="CD119" s="59">
        <f ca="1">AVERAGE(OFFSET($CC$3,0,0,'Données projet'!$E$12+1,1))-AVERAGE(OFFSET($H$3,0,0,'Données projet'!$E$12+1,1))</f>
        <v>609.60019207204277</v>
      </c>
      <c r="CE119" s="59">
        <f t="shared" si="94"/>
        <v>281.42238288764503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62.443596867836376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62.443596867836376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1.5999999999905867E-2</v>
      </c>
      <c r="CU119" s="17">
        <f>CT119*VLOOKUP('Données projet'!$B$13,Paramètres!$A$1:$I$89,3,0)*VLOOKUP('Données projet'!$B$13,Paramètres!$A$1:$I$89,5,0)</f>
        <v>1.2729599999925107E-2</v>
      </c>
      <c r="CV119" s="13">
        <f t="shared" si="95"/>
        <v>9.7491417338934176E-3</v>
      </c>
      <c r="CW119" s="20">
        <f t="shared" si="67"/>
        <v>3.9150475186400593E-2</v>
      </c>
      <c r="CX119" s="59">
        <f t="shared" si="68"/>
        <v>293.37248380851969</v>
      </c>
      <c r="CY119" s="59">
        <f ca="1">AVERAGE(OFFSET($CX$3,0,0,'Données projet'!$E$13+1,1))-AVERAGE(OFFSET($H$3,0,0,'Données projet'!$E$13+1,1))</f>
        <v>172.13940525084604</v>
      </c>
      <c r="CZ119" s="59">
        <f t="shared" si="96"/>
        <v>172.82328007157236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22.409701076758342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22.409701076758342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1.7053025658242404E-13</v>
      </c>
      <c r="DP119" s="17">
        <f>DO119*VLOOKUP('Données projet'!$B$14,Paramètres!$A$1:$I$89,3,0)*VLOOKUP('Données projet'!$B$14,Paramètres!$A$1:$I$89,5,0)</f>
        <v>1.250327841262333E-13</v>
      </c>
      <c r="DQ119" s="13">
        <f t="shared" si="97"/>
        <v>1.8301318724634299E-12</v>
      </c>
      <c r="DR119" s="20">
        <f t="shared" si="70"/>
        <v>3.405245110226996E-12</v>
      </c>
      <c r="DS119" s="59">
        <f t="shared" si="71"/>
        <v>293.33333333333672</v>
      </c>
      <c r="DT119" s="59">
        <f ca="1">AVERAGE(OFFSET($DS$3,0,0,'Données projet'!$E$14+1,1))-AVERAGE(OFFSET($H$3,0,0,'Données projet'!$E$14+1,1))</f>
        <v>197.34725966440715</v>
      </c>
      <c r="DU119" s="59">
        <f t="shared" si="98"/>
        <v>240.16326570529532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11.839691985670171</v>
      </c>
      <c r="EB119" s="21">
        <f>EXP(-LN(2)/25)*EB118+(1-EXP(-LN(2)/25))/(LN(2)/25)*Calculateur!DW119*Calculateur!DY119*VLOOKUP('Données projet'!$B$14,Paramètres!$A$1:$I$89,3,0)*0.475*44/12</f>
        <v>4.941021026712054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16.780713012382225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5.6843418860808015E-14</v>
      </c>
      <c r="EK119" s="17">
        <f>EJ119*VLOOKUP('Données projet'!$B$15,Paramètres!$A$1:$I$89,3,0)*VLOOKUP('Données projet'!$B$15,Paramètres!$A$1:$I$89,5,0)</f>
        <v>4.4337866711430253E-14</v>
      </c>
      <c r="EL119" s="13">
        <f t="shared" si="99"/>
        <v>7.3222115536967035E-13</v>
      </c>
      <c r="EM119" s="20">
        <f t="shared" si="73"/>
        <v>1.3525069634579169E-12</v>
      </c>
      <c r="EN119" s="59">
        <f t="shared" si="74"/>
        <v>293.33333333333468</v>
      </c>
      <c r="EO119" s="59">
        <f ca="1">AVERAGE(OFFSET($EN$3,0,0,'Données projet'!$E$15+1,1))-AVERAGE(OFFSET($H$3,0,0,'Données projet'!$E$15+1,1))</f>
        <v>288.82868507674738</v>
      </c>
      <c r="EP119" s="59">
        <f t="shared" si="100"/>
        <v>283.48738729114024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40.684134035991661</v>
      </c>
      <c r="EW119" s="21">
        <f>EXP(-LN(2)/25)*EW118+(1-EXP(-LN(2)/25))/(LN(2)/25)*Calculateur!ER119*Calculateur!ET119*VLOOKUP('Données projet'!$B$15,Paramètres!$A$1:$I$89,3,0)*0.475*44/12</f>
        <v>13.829828700596671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54.513962736588333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7.9920000000000018</v>
      </c>
      <c r="N120" s="13">
        <f>IF('Données projet'!$A$36&gt;35,N119+M120-V119,IF(A120&lt;'Données projet'!$A$36,$K$205^A120,IF(A120='Données projet'!$A$36,'Données projet'!$B$36,N119+M120-V119)))</f>
        <v>352.47600000000057</v>
      </c>
      <c r="O120" s="13">
        <f>N120*VLOOKUP('Données projet'!$B$9,Paramètres!$A$1:$I$89,3,0)*VLOOKUP('Données projet'!$B$9,Paramètres!$A$1:$I$89,5,0)</f>
        <v>318.9202848000005</v>
      </c>
      <c r="P120" s="13">
        <f t="shared" si="87"/>
        <v>75.128653745521831</v>
      </c>
      <c r="Q120" s="20">
        <f t="shared" si="107"/>
        <v>686.30190130011806</v>
      </c>
      <c r="R120" s="59">
        <f t="shared" si="55"/>
        <v>979.63523463345132</v>
      </c>
      <c r="S120" s="59">
        <f ca="1">AVERAGE(OFFSET($R$3,0,0,'Données projet'!$E$9+1,1))-AVERAGE(OFFSET($H$3,0,0,'Données projet'!$E$9+1,1))</f>
        <v>581.88778927327667</v>
      </c>
      <c r="T120" s="59">
        <f t="shared" si="88"/>
        <v>269.67340993773422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58.208339822382015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58.208339822382015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1.7053025658242404E-13</v>
      </c>
      <c r="AJ120" s="13">
        <f>AI120*VLOOKUP('Données projet'!$B$10,Paramètres!$A$1:$I$89,3,0)*VLOOKUP('Données projet'!$B$10,Paramètres!$A$1:$I$89,5,0)</f>
        <v>1.1173142411280423E-13</v>
      </c>
      <c r="AK120" s="13">
        <f t="shared" si="89"/>
        <v>1.6569896290553793E-12</v>
      </c>
      <c r="AL120" s="20">
        <f t="shared" si="58"/>
        <v>3.0805225009345862E-12</v>
      </c>
      <c r="AM120" s="59">
        <f t="shared" si="59"/>
        <v>293.33333333333638</v>
      </c>
      <c r="AN120" s="59">
        <f ca="1">AVERAGE(OFFSET($AM$3,0,0,'Données projet'!$E$10+1,1))-AVERAGE(OFFSET($H$3,0,0,'Données projet'!$E$10+1,1))</f>
        <v>230.58262378842818</v>
      </c>
      <c r="AO120" s="59">
        <f t="shared" si="90"/>
        <v>235.68746142880792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32.382430021158356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32.382430021158356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318.9202848000005</v>
      </c>
      <c r="BF120" s="13">
        <f t="shared" si="91"/>
        <v>75.128653745521831</v>
      </c>
      <c r="BG120" s="20">
        <f t="shared" si="61"/>
        <v>686.30190130011806</v>
      </c>
      <c r="BH120" s="59">
        <f t="shared" si="62"/>
        <v>979.63523463345132</v>
      </c>
      <c r="BI120" s="59">
        <f ca="1">AVERAGE(OFFSET($BH$3,0,0,'Données projet'!$E$11+1,1))-AVERAGE(OFFSET($H$3,0,0,'Données projet'!$E$11+1,1))</f>
        <v>581.88778927327667</v>
      </c>
      <c r="BJ120" s="59">
        <f t="shared" si="92"/>
        <v>269.67340993773422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58.208339822382015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58.208339822382015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335.41616160000052</v>
      </c>
      <c r="CA120" s="13">
        <f t="shared" si="93"/>
        <v>78.552149533154918</v>
      </c>
      <c r="CB120" s="20">
        <f t="shared" si="64"/>
        <v>720.99480855691252</v>
      </c>
      <c r="CC120" s="59">
        <f t="shared" si="65"/>
        <v>1014.3281418902459</v>
      </c>
      <c r="CD120" s="59">
        <f ca="1">AVERAGE(OFFSET($CC$3,0,0,'Données projet'!$E$12+1,1))-AVERAGE(OFFSET($H$3,0,0,'Données projet'!$E$12+1,1))</f>
        <v>609.60019207204277</v>
      </c>
      <c r="CE120" s="59">
        <f t="shared" si="94"/>
        <v>281.42238288764503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61.219116020091434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61.219116020091434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1.5999999999905867E-2</v>
      </c>
      <c r="CU120" s="17">
        <f>CT120*VLOOKUP('Données projet'!$B$13,Paramètres!$A$1:$I$89,3,0)*VLOOKUP('Données projet'!$B$13,Paramètres!$A$1:$I$89,5,0)</f>
        <v>1.2729599999925107E-2</v>
      </c>
      <c r="CV120" s="13">
        <f t="shared" si="95"/>
        <v>9.7491417338934176E-3</v>
      </c>
      <c r="CW120" s="20">
        <f t="shared" si="67"/>
        <v>3.9150475186400593E-2</v>
      </c>
      <c r="CX120" s="59">
        <f t="shared" si="68"/>
        <v>293.37248380851969</v>
      </c>
      <c r="CY120" s="59">
        <f ca="1">AVERAGE(OFFSET($CX$3,0,0,'Données projet'!$E$13+1,1))-AVERAGE(OFFSET($H$3,0,0,'Données projet'!$E$13+1,1))</f>
        <v>172.13940525084604</v>
      </c>
      <c r="CZ120" s="59">
        <f t="shared" si="96"/>
        <v>172.82328007157236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21.970260507211108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21.970260507211108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1.7053025658242404E-13</v>
      </c>
      <c r="DP120" s="17">
        <f>DO120*VLOOKUP('Données projet'!$B$14,Paramètres!$A$1:$I$89,3,0)*VLOOKUP('Données projet'!$B$14,Paramètres!$A$1:$I$89,5,0)</f>
        <v>1.250327841262333E-13</v>
      </c>
      <c r="DQ120" s="13">
        <f t="shared" si="97"/>
        <v>1.8301318724634299E-12</v>
      </c>
      <c r="DR120" s="20">
        <f t="shared" si="70"/>
        <v>3.405245110226996E-12</v>
      </c>
      <c r="DS120" s="59">
        <f t="shared" si="71"/>
        <v>293.33333333333672</v>
      </c>
      <c r="DT120" s="59">
        <f ca="1">AVERAGE(OFFSET($DS$3,0,0,'Données projet'!$E$14+1,1))-AVERAGE(OFFSET($H$3,0,0,'Données projet'!$E$14+1,1))</f>
        <v>197.34725966440715</v>
      </c>
      <c r="DU120" s="59">
        <f t="shared" si="98"/>
        <v>240.16326570529532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11.607522847330227</v>
      </c>
      <c r="EB120" s="21">
        <f>EXP(-LN(2)/25)*EB119+(1-EXP(-LN(2)/25))/(LN(2)/25)*Calculateur!DW120*Calculateur!DY120*VLOOKUP('Données projet'!$B$14,Paramètres!$A$1:$I$89,3,0)*0.475*44/12</f>
        <v>4.8059085468996097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16.413431394229836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5.6843418860808015E-14</v>
      </c>
      <c r="EK120" s="17">
        <f>EJ120*VLOOKUP('Données projet'!$B$15,Paramètres!$A$1:$I$89,3,0)*VLOOKUP('Données projet'!$B$15,Paramètres!$A$1:$I$89,5,0)</f>
        <v>4.4337866711430253E-14</v>
      </c>
      <c r="EL120" s="13">
        <f t="shared" si="99"/>
        <v>7.3222115536967035E-13</v>
      </c>
      <c r="EM120" s="20">
        <f t="shared" si="73"/>
        <v>1.3525069634579169E-12</v>
      </c>
      <c r="EN120" s="59">
        <f t="shared" si="74"/>
        <v>293.33333333333468</v>
      </c>
      <c r="EO120" s="59">
        <f ca="1">AVERAGE(OFFSET($EN$3,0,0,'Données projet'!$E$15+1,1))-AVERAGE(OFFSET($H$3,0,0,'Données projet'!$E$15+1,1))</f>
        <v>288.82868507674738</v>
      </c>
      <c r="EP120" s="59">
        <f t="shared" si="100"/>
        <v>283.48738729114024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39.886342982417361</v>
      </c>
      <c r="EW120" s="21">
        <f>EXP(-LN(2)/25)*EW119+(1-EXP(-LN(2)/25))/(LN(2)/25)*Calculateur!ER120*Calculateur!ET120*VLOOKUP('Données projet'!$B$15,Paramètres!$A$1:$I$89,3,0)*0.475*44/12</f>
        <v>13.451651307499773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53.337994289917134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7.9920000000000018</v>
      </c>
      <c r="N121" s="13">
        <f>IF('Données projet'!$A$36&gt;35,N120+M121-V120,IF(A121&lt;'Données projet'!$A$36,$K$205^A121,IF(A121='Données projet'!$A$36,'Données projet'!$B$36,N120+M121-V120)))</f>
        <v>360.46800000000059</v>
      </c>
      <c r="O121" s="13">
        <f>N121*VLOOKUP('Données projet'!$B$9,Paramètres!$A$1:$I$89,3,0)*VLOOKUP('Données projet'!$B$9,Paramètres!$A$1:$I$89,5,0)</f>
        <v>326.15144640000051</v>
      </c>
      <c r="P121" s="13">
        <f t="shared" si="87"/>
        <v>76.631859883081802</v>
      </c>
      <c r="Q121" s="20">
        <f t="shared" si="107"/>
        <v>701.51425844303503</v>
      </c>
      <c r="R121" s="59">
        <f t="shared" si="55"/>
        <v>994.84759177636829</v>
      </c>
      <c r="S121" s="59">
        <f ca="1">AVERAGE(OFFSET($R$3,0,0,'Données projet'!$E$9+1,1))-AVERAGE(OFFSET($H$3,0,0,'Données projet'!$E$9+1,1))</f>
        <v>581.88778927327667</v>
      </c>
      <c r="T121" s="59">
        <f t="shared" si="88"/>
        <v>269.67340993773422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57.066909782046707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57.066909782046707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1.7053025658242404E-13</v>
      </c>
      <c r="AJ121" s="13">
        <f>AI121*VLOOKUP('Données projet'!$B$10,Paramètres!$A$1:$I$89,3,0)*VLOOKUP('Données projet'!$B$10,Paramètres!$A$1:$I$89,5,0)</f>
        <v>1.1173142411280423E-13</v>
      </c>
      <c r="AK121" s="13">
        <f t="shared" si="89"/>
        <v>1.6569896290553793E-12</v>
      </c>
      <c r="AL121" s="20">
        <f t="shared" si="58"/>
        <v>3.0805225009345862E-12</v>
      </c>
      <c r="AM121" s="59">
        <f t="shared" si="59"/>
        <v>293.33333333333638</v>
      </c>
      <c r="AN121" s="59">
        <f ca="1">AVERAGE(OFFSET($AM$3,0,0,'Données projet'!$E$10+1,1))-AVERAGE(OFFSET($H$3,0,0,'Données projet'!$E$10+1,1))</f>
        <v>230.58262378842818</v>
      </c>
      <c r="AO121" s="59">
        <f t="shared" si="90"/>
        <v>235.68746142880792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31.747430319775471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31.747430319775471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326.15144640000051</v>
      </c>
      <c r="BF121" s="13">
        <f t="shared" si="91"/>
        <v>76.631859883081802</v>
      </c>
      <c r="BG121" s="20">
        <f t="shared" si="61"/>
        <v>701.51425844303503</v>
      </c>
      <c r="BH121" s="59">
        <f t="shared" si="62"/>
        <v>994.84759177636829</v>
      </c>
      <c r="BI121" s="59">
        <f ca="1">AVERAGE(OFFSET($BH$3,0,0,'Données projet'!$E$11+1,1))-AVERAGE(OFFSET($H$3,0,0,'Données projet'!$E$11+1,1))</f>
        <v>581.88778927327667</v>
      </c>
      <c r="BJ121" s="59">
        <f t="shared" si="92"/>
        <v>269.67340993773422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57.066909782046707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57.066909782046707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343.02134880000057</v>
      </c>
      <c r="CA121" s="13">
        <f t="shared" si="93"/>
        <v>80.123854434146992</v>
      </c>
      <c r="CB121" s="20">
        <f t="shared" si="64"/>
        <v>736.97789563280696</v>
      </c>
      <c r="CC121" s="59">
        <f t="shared" si="65"/>
        <v>1030.3112289661403</v>
      </c>
      <c r="CD121" s="59">
        <f ca="1">AVERAGE(OFFSET($CC$3,0,0,'Données projet'!$E$12+1,1))-AVERAGE(OFFSET($H$3,0,0,'Données projet'!$E$12+1,1))</f>
        <v>609.60019207204277</v>
      </c>
      <c r="CE121" s="59">
        <f t="shared" si="94"/>
        <v>281.42238288764503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60.018646494911195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60.018646494911195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1.5999999999905867E-2</v>
      </c>
      <c r="CU121" s="17">
        <f>CT121*VLOOKUP('Données projet'!$B$13,Paramètres!$A$1:$I$89,3,0)*VLOOKUP('Données projet'!$B$13,Paramètres!$A$1:$I$89,5,0)</f>
        <v>1.2729599999925107E-2</v>
      </c>
      <c r="CV121" s="13">
        <f t="shared" si="95"/>
        <v>9.7491417338934176E-3</v>
      </c>
      <c r="CW121" s="20">
        <f t="shared" si="67"/>
        <v>3.9150475186400593E-2</v>
      </c>
      <c r="CX121" s="59">
        <f t="shared" si="68"/>
        <v>293.37248380851969</v>
      </c>
      <c r="CY121" s="59">
        <f ca="1">AVERAGE(OFFSET($CX$3,0,0,'Données projet'!$E$13+1,1))-AVERAGE(OFFSET($H$3,0,0,'Données projet'!$E$13+1,1))</f>
        <v>172.13940525084604</v>
      </c>
      <c r="CZ121" s="59">
        <f t="shared" si="96"/>
        <v>172.82328007157236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21.539437099200416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21.539437099200416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1.7053025658242404E-13</v>
      </c>
      <c r="DP121" s="17">
        <f>DO121*VLOOKUP('Données projet'!$B$14,Paramètres!$A$1:$I$89,3,0)*VLOOKUP('Données projet'!$B$14,Paramètres!$A$1:$I$89,5,0)</f>
        <v>1.250327841262333E-13</v>
      </c>
      <c r="DQ121" s="13">
        <f t="shared" si="97"/>
        <v>1.8301318724634299E-12</v>
      </c>
      <c r="DR121" s="20">
        <f t="shared" si="70"/>
        <v>3.405245110226996E-12</v>
      </c>
      <c r="DS121" s="59">
        <f t="shared" si="71"/>
        <v>293.33333333333672</v>
      </c>
      <c r="DT121" s="59">
        <f ca="1">AVERAGE(OFFSET($DS$3,0,0,'Données projet'!$E$14+1,1))-AVERAGE(OFFSET($H$3,0,0,'Données projet'!$E$14+1,1))</f>
        <v>197.34725966440715</v>
      </c>
      <c r="DU121" s="59">
        <f t="shared" si="98"/>
        <v>240.16326570529532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11.379906404183936</v>
      </c>
      <c r="EB121" s="21">
        <f>EXP(-LN(2)/25)*EB120+(1-EXP(-LN(2)/25))/(LN(2)/25)*Calculateur!DW121*Calculateur!DY121*VLOOKUP('Données projet'!$B$14,Paramètres!$A$1:$I$89,3,0)*0.475*44/12</f>
        <v>4.6744907249528937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16.054397129136831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5.6843418860808015E-14</v>
      </c>
      <c r="EK121" s="17">
        <f>EJ121*VLOOKUP('Données projet'!$B$15,Paramètres!$A$1:$I$89,3,0)*VLOOKUP('Données projet'!$B$15,Paramètres!$A$1:$I$89,5,0)</f>
        <v>4.4337866711430253E-14</v>
      </c>
      <c r="EL121" s="13">
        <f t="shared" si="99"/>
        <v>7.3222115536967035E-13</v>
      </c>
      <c r="EM121" s="20">
        <f t="shared" si="73"/>
        <v>1.3525069634579169E-12</v>
      </c>
      <c r="EN121" s="59">
        <f t="shared" si="74"/>
        <v>293.33333333333468</v>
      </c>
      <c r="EO121" s="59">
        <f ca="1">AVERAGE(OFFSET($EN$3,0,0,'Données projet'!$E$15+1,1))-AVERAGE(OFFSET($H$3,0,0,'Données projet'!$E$15+1,1))</f>
        <v>288.82868507674738</v>
      </c>
      <c r="EP121" s="59">
        <f t="shared" si="100"/>
        <v>283.48738729114024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39.104196124799159</v>
      </c>
      <c r="EW121" s="21">
        <f>EXP(-LN(2)/25)*EW120+(1-EXP(-LN(2)/25))/(LN(2)/25)*Calculateur!ER121*Calculateur!ET121*VLOOKUP('Données projet'!$B$15,Paramètres!$A$1:$I$89,3,0)*0.475*44/12</f>
        <v>13.083815195104593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52.188011319903751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7.9920000000000018</v>
      </c>
      <c r="N122" s="13">
        <f>IF('Données projet'!$A$36&gt;35,N121+M122-V121,IF(A122&lt;'Données projet'!$A$36,$K$205^A122,IF(A122='Données projet'!$A$36,'Données projet'!$B$36,N121+M122-V121)))</f>
        <v>368.4600000000006</v>
      </c>
      <c r="O122" s="13">
        <f>N122*VLOOKUP('Données projet'!$B$9,Paramètres!$A$1:$I$89,3,0)*VLOOKUP('Données projet'!$B$9,Paramètres!$A$1:$I$89,5,0)</f>
        <v>333.38260800000052</v>
      </c>
      <c r="P122" s="13">
        <f t="shared" si="87"/>
        <v>78.13119132485231</v>
      </c>
      <c r="Q122" s="20">
        <f t="shared" si="107"/>
        <v>716.71986715745197</v>
      </c>
      <c r="R122" s="59">
        <f t="shared" si="55"/>
        <v>1010.0532004907852</v>
      </c>
      <c r="S122" s="59">
        <f ca="1">AVERAGE(OFFSET($R$3,0,0,'Données projet'!$E$9+1,1))-AVERAGE(OFFSET($H$3,0,0,'Données projet'!$E$9+1,1))</f>
        <v>581.88778927327667</v>
      </c>
      <c r="T122" s="59">
        <f t="shared" si="88"/>
        <v>269.67340993773422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55.947862488598794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55.947862488598794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1.7053025658242404E-13</v>
      </c>
      <c r="AJ122" s="13">
        <f>AI122*VLOOKUP('Données projet'!$B$10,Paramètres!$A$1:$I$89,3,0)*VLOOKUP('Données projet'!$B$10,Paramètres!$A$1:$I$89,5,0)</f>
        <v>1.1173142411280423E-13</v>
      </c>
      <c r="AK122" s="13">
        <f t="shared" si="89"/>
        <v>1.6569896290553793E-12</v>
      </c>
      <c r="AL122" s="20">
        <f t="shared" si="58"/>
        <v>3.0805225009345862E-12</v>
      </c>
      <c r="AM122" s="59">
        <f t="shared" si="59"/>
        <v>293.33333333333638</v>
      </c>
      <c r="AN122" s="59">
        <f ca="1">AVERAGE(OFFSET($AM$3,0,0,'Données projet'!$E$10+1,1))-AVERAGE(OFFSET($H$3,0,0,'Données projet'!$E$10+1,1))</f>
        <v>230.58262378842818</v>
      </c>
      <c r="AO122" s="59">
        <f t="shared" si="90"/>
        <v>235.68746142880792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31.124882575225133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31.124882575225133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333.38260800000052</v>
      </c>
      <c r="BF122" s="13">
        <f t="shared" si="91"/>
        <v>78.13119132485231</v>
      </c>
      <c r="BG122" s="20">
        <f t="shared" si="61"/>
        <v>716.71986715745197</v>
      </c>
      <c r="BH122" s="59">
        <f t="shared" si="62"/>
        <v>1010.0532004907852</v>
      </c>
      <c r="BI122" s="59">
        <f ca="1">AVERAGE(OFFSET($BH$3,0,0,'Données projet'!$E$11+1,1))-AVERAGE(OFFSET($H$3,0,0,'Données projet'!$E$11+1,1))</f>
        <v>581.88778927327667</v>
      </c>
      <c r="BJ122" s="59">
        <f t="shared" si="92"/>
        <v>269.67340993773422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55.947862488598794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55.947862488598794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350.62653600000056</v>
      </c>
      <c r="CA122" s="13">
        <f t="shared" si="93"/>
        <v>81.691508075494681</v>
      </c>
      <c r="CB122" s="20">
        <f t="shared" si="64"/>
        <v>752.95392676482072</v>
      </c>
      <c r="CC122" s="59">
        <f t="shared" si="65"/>
        <v>1046.2872600981541</v>
      </c>
      <c r="CD122" s="59">
        <f ca="1">AVERAGE(OFFSET($CC$3,0,0,'Données projet'!$E$12+1,1))-AVERAGE(OFFSET($H$3,0,0,'Données projet'!$E$12+1,1))</f>
        <v>609.60019207204277</v>
      </c>
      <c r="CE122" s="59">
        <f t="shared" si="94"/>
        <v>281.42238288764503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58.841717444905633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58.841717444905633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1.5999999999905867E-2</v>
      </c>
      <c r="CU122" s="17">
        <f>CT122*VLOOKUP('Données projet'!$B$13,Paramètres!$A$1:$I$89,3,0)*VLOOKUP('Données projet'!$B$13,Paramètres!$A$1:$I$89,5,0)</f>
        <v>1.2729599999925107E-2</v>
      </c>
      <c r="CV122" s="13">
        <f t="shared" si="95"/>
        <v>9.7491417338934176E-3</v>
      </c>
      <c r="CW122" s="20">
        <f t="shared" si="67"/>
        <v>3.9150475186400593E-2</v>
      </c>
      <c r="CX122" s="59">
        <f t="shared" si="68"/>
        <v>293.37248380851969</v>
      </c>
      <c r="CY122" s="59">
        <f ca="1">AVERAGE(OFFSET($CX$3,0,0,'Données projet'!$E$13+1,1))-AVERAGE(OFFSET($H$3,0,0,'Données projet'!$E$13+1,1))</f>
        <v>172.13940525084604</v>
      </c>
      <c r="CZ122" s="59">
        <f t="shared" si="96"/>
        <v>172.82328007157236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21.117061875444481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21.117061875444481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1.7053025658242404E-13</v>
      </c>
      <c r="DP122" s="17">
        <f>DO122*VLOOKUP('Données projet'!$B$14,Paramètres!$A$1:$I$89,3,0)*VLOOKUP('Données projet'!$B$14,Paramètres!$A$1:$I$89,5,0)</f>
        <v>1.250327841262333E-13</v>
      </c>
      <c r="DQ122" s="13">
        <f t="shared" si="97"/>
        <v>1.8301318724634299E-12</v>
      </c>
      <c r="DR122" s="20">
        <f t="shared" si="70"/>
        <v>3.405245110226996E-12</v>
      </c>
      <c r="DS122" s="59">
        <f t="shared" si="71"/>
        <v>293.33333333333672</v>
      </c>
      <c r="DT122" s="59">
        <f ca="1">AVERAGE(OFFSET($DS$3,0,0,'Données projet'!$E$14+1,1))-AVERAGE(OFFSET($H$3,0,0,'Données projet'!$E$14+1,1))</f>
        <v>197.34725966440715</v>
      </c>
      <c r="DU122" s="59">
        <f t="shared" si="98"/>
        <v>240.16326570529532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11.156753380655424</v>
      </c>
      <c r="EB122" s="21">
        <f>EXP(-LN(2)/25)*EB121+(1-EXP(-LN(2)/25))/(LN(2)/25)*Calculateur!DW122*Calculateur!DY122*VLOOKUP('Données projet'!$B$14,Paramètres!$A$1:$I$89,3,0)*0.475*44/12</f>
        <v>4.5466665302582729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15.703419910913697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5.6843418860808015E-14</v>
      </c>
      <c r="EK122" s="17">
        <f>EJ122*VLOOKUP('Données projet'!$B$15,Paramètres!$A$1:$I$89,3,0)*VLOOKUP('Données projet'!$B$15,Paramètres!$A$1:$I$89,5,0)</f>
        <v>4.4337866711430253E-14</v>
      </c>
      <c r="EL122" s="13">
        <f t="shared" si="99"/>
        <v>7.3222115536967035E-13</v>
      </c>
      <c r="EM122" s="20">
        <f t="shared" si="73"/>
        <v>1.3525069634579169E-12</v>
      </c>
      <c r="EN122" s="59">
        <f t="shared" si="74"/>
        <v>293.33333333333468</v>
      </c>
      <c r="EO122" s="59">
        <f ca="1">AVERAGE(OFFSET($EN$3,0,0,'Données projet'!$E$15+1,1))-AVERAGE(OFFSET($H$3,0,0,'Données projet'!$E$15+1,1))</f>
        <v>288.82868507674738</v>
      </c>
      <c r="EP122" s="59">
        <f t="shared" si="100"/>
        <v>283.48738729114024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38.337386689996372</v>
      </c>
      <c r="EW122" s="21">
        <f>EXP(-LN(2)/25)*EW121+(1-EXP(-LN(2)/25))/(LN(2)/25)*Calculateur!ER122*Calculateur!ET122*VLOOKUP('Données projet'!$B$15,Paramètres!$A$1:$I$89,3,0)*0.475*44/12</f>
        <v>12.726037580546521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51.063424270542896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7.9920000000000018</v>
      </c>
      <c r="N123" s="13">
        <f>IF('Données projet'!$A$36&gt;35,N122+M123-V122,IF(A123&lt;'Données projet'!$A$36,$K$205^A123,IF(A123='Données projet'!$A$36,'Données projet'!$B$36,N122+M123-V122)))</f>
        <v>376.45200000000062</v>
      </c>
      <c r="O123" s="13">
        <f>N123*VLOOKUP('Données projet'!$B$9,Paramètres!$A$1:$I$89,3,0)*VLOOKUP('Données projet'!$B$9,Paramètres!$A$1:$I$89,5,0)</f>
        <v>340.61376960000058</v>
      </c>
      <c r="P123" s="13">
        <f t="shared" si="87"/>
        <v>79.626741793195919</v>
      </c>
      <c r="Q123" s="20">
        <f t="shared" si="107"/>
        <v>731.9188906764839</v>
      </c>
      <c r="R123" s="59">
        <f t="shared" si="55"/>
        <v>1025.2522240098172</v>
      </c>
      <c r="S123" s="59">
        <f ca="1">AVERAGE(OFFSET($R$3,0,0,'Données projet'!$E$9+1,1))-AVERAGE(OFFSET($H$3,0,0,'Données projet'!$E$9+1,1))</f>
        <v>581.88778927327667</v>
      </c>
      <c r="T123" s="59">
        <f t="shared" si="88"/>
        <v>269.67340993773422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54.850759030023944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54.850759030023944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1.7053025658242404E-13</v>
      </c>
      <c r="AJ123" s="13">
        <f>AI123*VLOOKUP('Données projet'!$B$10,Paramètres!$A$1:$I$89,3,0)*VLOOKUP('Données projet'!$B$10,Paramètres!$A$1:$I$89,5,0)</f>
        <v>1.1173142411280423E-13</v>
      </c>
      <c r="AK123" s="13">
        <f t="shared" si="89"/>
        <v>1.6569896290553793E-12</v>
      </c>
      <c r="AL123" s="20">
        <f t="shared" si="58"/>
        <v>3.0805225009345862E-12</v>
      </c>
      <c r="AM123" s="59">
        <f t="shared" si="59"/>
        <v>293.33333333333638</v>
      </c>
      <c r="AN123" s="59">
        <f ca="1">AVERAGE(OFFSET($AM$3,0,0,'Données projet'!$E$10+1,1))-AVERAGE(OFFSET($H$3,0,0,'Données projet'!$E$10+1,1))</f>
        <v>230.58262378842818</v>
      </c>
      <c r="AO123" s="59">
        <f t="shared" si="90"/>
        <v>235.68746142880792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30.514542612228794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30.514542612228794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340.61376960000058</v>
      </c>
      <c r="BF123" s="13">
        <f t="shared" si="91"/>
        <v>79.626741793195919</v>
      </c>
      <c r="BG123" s="20">
        <f t="shared" si="61"/>
        <v>731.9188906764839</v>
      </c>
      <c r="BH123" s="59">
        <f t="shared" si="62"/>
        <v>1025.2522240098172</v>
      </c>
      <c r="BI123" s="59">
        <f ca="1">AVERAGE(OFFSET($BH$3,0,0,'Données projet'!$E$11+1,1))-AVERAGE(OFFSET($H$3,0,0,'Données projet'!$E$11+1,1))</f>
        <v>581.88778927327667</v>
      </c>
      <c r="BJ123" s="59">
        <f t="shared" si="92"/>
        <v>269.67340993773422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54.850759030023944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54.850759030023944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358.2317232000006</v>
      </c>
      <c r="CA123" s="13">
        <f t="shared" si="93"/>
        <v>83.255208450342735</v>
      </c>
      <c r="CB123" s="20">
        <f t="shared" si="64"/>
        <v>768.92307262434781</v>
      </c>
      <c r="CC123" s="59">
        <f t="shared" si="65"/>
        <v>1062.2564059576812</v>
      </c>
      <c r="CD123" s="59">
        <f ca="1">AVERAGE(OFFSET($CC$3,0,0,'Données projet'!$E$12+1,1))-AVERAGE(OFFSET($H$3,0,0,'Données projet'!$E$12+1,1))</f>
        <v>609.60019207204277</v>
      </c>
      <c r="CE123" s="59">
        <f t="shared" si="94"/>
        <v>281.42238288764503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57.687867255714842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57.687867255714842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1.5999999999905867E-2</v>
      </c>
      <c r="CU123" s="17">
        <f>CT123*VLOOKUP('Données projet'!$B$13,Paramètres!$A$1:$I$89,3,0)*VLOOKUP('Données projet'!$B$13,Paramètres!$A$1:$I$89,5,0)</f>
        <v>1.2729599999925107E-2</v>
      </c>
      <c r="CV123" s="13">
        <f t="shared" si="95"/>
        <v>9.7491417338934176E-3</v>
      </c>
      <c r="CW123" s="20">
        <f t="shared" si="67"/>
        <v>3.9150475186400593E-2</v>
      </c>
      <c r="CX123" s="59">
        <f t="shared" si="68"/>
        <v>293.37248380851969</v>
      </c>
      <c r="CY123" s="59">
        <f ca="1">AVERAGE(OFFSET($CX$3,0,0,'Données projet'!$E$13+1,1))-AVERAGE(OFFSET($H$3,0,0,'Données projet'!$E$13+1,1))</f>
        <v>172.13940525084604</v>
      </c>
      <c r="CZ123" s="59">
        <f t="shared" si="96"/>
        <v>172.82328007157236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20.702969172202952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20.702969172202952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1.7053025658242404E-13</v>
      </c>
      <c r="DP123" s="17">
        <f>DO123*VLOOKUP('Données projet'!$B$14,Paramètres!$A$1:$I$89,3,0)*VLOOKUP('Données projet'!$B$14,Paramètres!$A$1:$I$89,5,0)</f>
        <v>1.250327841262333E-13</v>
      </c>
      <c r="DQ123" s="13">
        <f t="shared" si="97"/>
        <v>1.8301318724634299E-12</v>
      </c>
      <c r="DR123" s="20">
        <f t="shared" si="70"/>
        <v>3.405245110226996E-12</v>
      </c>
      <c r="DS123" s="59">
        <f t="shared" si="71"/>
        <v>293.33333333333672</v>
      </c>
      <c r="DT123" s="59">
        <f ca="1">AVERAGE(OFFSET($DS$3,0,0,'Données projet'!$E$14+1,1))-AVERAGE(OFFSET($H$3,0,0,'Données projet'!$E$14+1,1))</f>
        <v>197.34725966440715</v>
      </c>
      <c r="DU123" s="59">
        <f t="shared" si="98"/>
        <v>240.16326570529532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10.937976251808401</v>
      </c>
      <c r="EB123" s="21">
        <f>EXP(-LN(2)/25)*EB122+(1-EXP(-LN(2)/25))/(LN(2)/25)*Calculateur!DW123*Calculateur!DY123*VLOOKUP('Données projet'!$B$14,Paramètres!$A$1:$I$89,3,0)*0.475*44/12</f>
        <v>4.422337694889559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15.360313946697961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5.6843418860808015E-14</v>
      </c>
      <c r="EK123" s="17">
        <f>EJ123*VLOOKUP('Données projet'!$B$15,Paramètres!$A$1:$I$89,3,0)*VLOOKUP('Données projet'!$B$15,Paramètres!$A$1:$I$89,5,0)</f>
        <v>4.4337866711430253E-14</v>
      </c>
      <c r="EL123" s="13">
        <f t="shared" si="99"/>
        <v>7.3222115536967035E-13</v>
      </c>
      <c r="EM123" s="20">
        <f t="shared" si="73"/>
        <v>1.3525069634579169E-12</v>
      </c>
      <c r="EN123" s="59">
        <f t="shared" si="74"/>
        <v>293.33333333333468</v>
      </c>
      <c r="EO123" s="59">
        <f ca="1">AVERAGE(OFFSET($EN$3,0,0,'Données projet'!$E$15+1,1))-AVERAGE(OFFSET($H$3,0,0,'Données projet'!$E$15+1,1))</f>
        <v>288.82868507674738</v>
      </c>
      <c r="EP123" s="59">
        <f t="shared" si="100"/>
        <v>283.48738729114024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37.585613920502496</v>
      </c>
      <c r="EW123" s="21">
        <f>EXP(-LN(2)/25)*EW122+(1-EXP(-LN(2)/25))/(LN(2)/25)*Calculateur!ER123*Calculateur!ET123*VLOOKUP('Données projet'!$B$15,Paramètres!$A$1:$I$89,3,0)*0.475*44/12</f>
        <v>12.378043413673245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49.963657334175743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7.9920000000000018</v>
      </c>
      <c r="N124" s="13">
        <f>IF('Données projet'!$A$36&gt;35,N123+M124-V123,IF(A124&lt;'Données projet'!$A$36,$K$205^A124,IF(A124='Données projet'!$A$36,'Données projet'!$B$36,N123+M124-V123)))</f>
        <v>384.44400000000064</v>
      </c>
      <c r="O124" s="13">
        <f>N124*VLOOKUP('Données projet'!$B$9,Paramètres!$A$1:$I$89,3,0)*VLOOKUP('Données projet'!$B$9,Paramètres!$A$1:$I$89,5,0)</f>
        <v>347.84493120000059</v>
      </c>
      <c r="P124" s="13">
        <f t="shared" si="87"/>
        <v>81.11860080370937</v>
      </c>
      <c r="Q124" s="20">
        <f t="shared" si="107"/>
        <v>747.11148490646144</v>
      </c>
      <c r="R124" s="59">
        <f t="shared" si="55"/>
        <v>1040.4448182397948</v>
      </c>
      <c r="S124" s="59">
        <f ca="1">AVERAGE(OFFSET($R$3,0,0,'Données projet'!$E$9+1,1))-AVERAGE(OFFSET($H$3,0,0,'Données projet'!$E$9+1,1))</f>
        <v>581.88778927327667</v>
      </c>
      <c r="T124" s="59">
        <f t="shared" si="88"/>
        <v>269.67340993773422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53.775169101104709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53.775169101104709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1.7053025658242404E-13</v>
      </c>
      <c r="AJ124" s="13">
        <f>AI124*VLOOKUP('Données projet'!$B$10,Paramètres!$A$1:$I$89,3,0)*VLOOKUP('Données projet'!$B$10,Paramètres!$A$1:$I$89,5,0)</f>
        <v>1.1173142411280423E-13</v>
      </c>
      <c r="AK124" s="13">
        <f t="shared" si="89"/>
        <v>1.6569896290553793E-12</v>
      </c>
      <c r="AL124" s="20">
        <f t="shared" si="58"/>
        <v>3.0805225009345862E-12</v>
      </c>
      <c r="AM124" s="59">
        <f t="shared" si="59"/>
        <v>293.33333333333638</v>
      </c>
      <c r="AN124" s="59">
        <f ca="1">AVERAGE(OFFSET($AM$3,0,0,'Données projet'!$E$10+1,1))-AVERAGE(OFFSET($H$3,0,0,'Données projet'!$E$10+1,1))</f>
        <v>230.58262378842818</v>
      </c>
      <c r="AO124" s="59">
        <f t="shared" si="90"/>
        <v>235.68746142880792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29.916171043636197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29.916171043636197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347.84493120000059</v>
      </c>
      <c r="BF124" s="13">
        <f t="shared" si="91"/>
        <v>81.11860080370937</v>
      </c>
      <c r="BG124" s="20">
        <f t="shared" si="61"/>
        <v>747.11148490646144</v>
      </c>
      <c r="BH124" s="59">
        <f t="shared" si="62"/>
        <v>1040.4448182397948</v>
      </c>
      <c r="BI124" s="59">
        <f ca="1">AVERAGE(OFFSET($BH$3,0,0,'Données projet'!$E$11+1,1))-AVERAGE(OFFSET($H$3,0,0,'Données projet'!$E$11+1,1))</f>
        <v>581.88778927327667</v>
      </c>
      <c r="BJ124" s="59">
        <f t="shared" si="92"/>
        <v>269.67340993773422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53.775169101104709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53.775169101104709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365.83691040000065</v>
      </c>
      <c r="CA124" s="13">
        <f t="shared" si="93"/>
        <v>84.815049153374403</v>
      </c>
      <c r="CB124" s="20">
        <f t="shared" si="64"/>
        <v>784.88549622212815</v>
      </c>
      <c r="CC124" s="59">
        <f t="shared" si="65"/>
        <v>1078.2188295554615</v>
      </c>
      <c r="CD124" s="59">
        <f ca="1">AVERAGE(OFFSET($CC$3,0,0,'Données projet'!$E$12+1,1))-AVERAGE(OFFSET($H$3,0,0,'Données projet'!$E$12+1,1))</f>
        <v>609.60019207204277</v>
      </c>
      <c r="CE124" s="59">
        <f t="shared" si="94"/>
        <v>281.42238288764503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56.556643364954958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56.556643364954958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1.5999999999905867E-2</v>
      </c>
      <c r="CU124" s="17">
        <f>CT124*VLOOKUP('Données projet'!$B$13,Paramètres!$A$1:$I$89,3,0)*VLOOKUP('Données projet'!$B$13,Paramètres!$A$1:$I$89,5,0)</f>
        <v>1.2729599999925107E-2</v>
      </c>
      <c r="CV124" s="13">
        <f t="shared" si="95"/>
        <v>9.7491417338934176E-3</v>
      </c>
      <c r="CW124" s="20">
        <f t="shared" si="67"/>
        <v>3.9150475186400593E-2</v>
      </c>
      <c r="CX124" s="59">
        <f t="shared" si="68"/>
        <v>293.37248380851969</v>
      </c>
      <c r="CY124" s="59">
        <f ca="1">AVERAGE(OFFSET($CX$3,0,0,'Données projet'!$E$13+1,1))-AVERAGE(OFFSET($H$3,0,0,'Données projet'!$E$13+1,1))</f>
        <v>172.13940525084604</v>
      </c>
      <c r="CZ124" s="59">
        <f t="shared" si="96"/>
        <v>172.82328007157236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20.29699657430038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20.29699657430038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1.7053025658242404E-13</v>
      </c>
      <c r="DP124" s="17">
        <f>DO124*VLOOKUP('Données projet'!$B$14,Paramètres!$A$1:$I$89,3,0)*VLOOKUP('Données projet'!$B$14,Paramètres!$A$1:$I$89,5,0)</f>
        <v>1.250327841262333E-13</v>
      </c>
      <c r="DQ124" s="13">
        <f t="shared" si="97"/>
        <v>1.8301318724634299E-12</v>
      </c>
      <c r="DR124" s="20">
        <f t="shared" si="70"/>
        <v>3.405245110226996E-12</v>
      </c>
      <c r="DS124" s="59">
        <f t="shared" si="71"/>
        <v>293.33333333333672</v>
      </c>
      <c r="DT124" s="59">
        <f ca="1">AVERAGE(OFFSET($DS$3,0,0,'Données projet'!$E$14+1,1))-AVERAGE(OFFSET($H$3,0,0,'Données projet'!$E$14+1,1))</f>
        <v>197.34725966440715</v>
      </c>
      <c r="DU124" s="59">
        <f t="shared" si="98"/>
        <v>240.16326570529532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10.723489209017195</v>
      </c>
      <c r="EB124" s="21">
        <f>EXP(-LN(2)/25)*EB123+(1-EXP(-LN(2)/25))/(LN(2)/25)*Calculateur!DW124*Calculateur!DY124*VLOOKUP('Données projet'!$B$14,Paramètres!$A$1:$I$89,3,0)*0.475*44/12</f>
        <v>4.3014086380621723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15.024897847079368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5.6843418860808015E-14</v>
      </c>
      <c r="EK124" s="17">
        <f>EJ124*VLOOKUP('Données projet'!$B$15,Paramètres!$A$1:$I$89,3,0)*VLOOKUP('Données projet'!$B$15,Paramètres!$A$1:$I$89,5,0)</f>
        <v>4.4337866711430253E-14</v>
      </c>
      <c r="EL124" s="13">
        <f t="shared" si="99"/>
        <v>7.3222115536967035E-13</v>
      </c>
      <c r="EM124" s="20">
        <f t="shared" si="73"/>
        <v>1.3525069634579169E-12</v>
      </c>
      <c r="EN124" s="59">
        <f t="shared" si="74"/>
        <v>293.33333333333468</v>
      </c>
      <c r="EO124" s="59">
        <f ca="1">AVERAGE(OFFSET($EN$3,0,0,'Données projet'!$E$15+1,1))-AVERAGE(OFFSET($H$3,0,0,'Données projet'!$E$15+1,1))</f>
        <v>288.82868507674738</v>
      </c>
      <c r="EP124" s="59">
        <f t="shared" si="100"/>
        <v>283.48738729114024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36.848582956482282</v>
      </c>
      <c r="EW124" s="21">
        <f>EXP(-LN(2)/25)*EW123+(1-EXP(-LN(2)/25))/(LN(2)/25)*Calculateur!ER124*Calculateur!ET124*VLOOKUP('Données projet'!$B$15,Paramètres!$A$1:$I$89,3,0)*0.475*44/12</f>
        <v>12.039565165593338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48.88814812207562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7.9920000000000018</v>
      </c>
      <c r="N125" s="13">
        <f>IF('Données projet'!$A$36&gt;35,N124+M125-V124,IF(A125&lt;'Données projet'!$A$36,$K$205^A125,IF(A125='Données projet'!$A$36,'Données projet'!$B$36,N124+M125-V124)))</f>
        <v>392.43600000000066</v>
      </c>
      <c r="O125" s="13">
        <f>N125*VLOOKUP('Données projet'!$B$9,Paramètres!$A$1:$I$89,3,0)*VLOOKUP('Données projet'!$B$9,Paramètres!$A$1:$I$89,5,0)</f>
        <v>355.07609280000059</v>
      </c>
      <c r="P125" s="13">
        <f t="shared" si="87"/>
        <v>82.606853937508674</v>
      </c>
      <c r="Q125" s="20">
        <f t="shared" si="107"/>
        <v>762.29779890116197</v>
      </c>
      <c r="R125" s="59">
        <f t="shared" si="55"/>
        <v>1055.6311322344952</v>
      </c>
      <c r="S125" s="59">
        <f ca="1">AVERAGE(OFFSET($R$3,0,0,'Données projet'!$E$9+1,1))-AVERAGE(OFFSET($H$3,0,0,'Données projet'!$E$9+1,1))</f>
        <v>581.88778927327667</v>
      </c>
      <c r="T125" s="59">
        <f t="shared" si="88"/>
        <v>269.67340993773422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52.720670834646505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52.720670834646505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1.7053025658242404E-13</v>
      </c>
      <c r="AJ125" s="13">
        <f>AI125*VLOOKUP('Données projet'!$B$10,Paramètres!$A$1:$I$89,3,0)*VLOOKUP('Données projet'!$B$10,Paramètres!$A$1:$I$89,5,0)</f>
        <v>1.1173142411280423E-13</v>
      </c>
      <c r="AK125" s="13">
        <f t="shared" si="89"/>
        <v>1.6569896290553793E-12</v>
      </c>
      <c r="AL125" s="20">
        <f t="shared" si="58"/>
        <v>3.0805225009345862E-12</v>
      </c>
      <c r="AM125" s="59">
        <f t="shared" si="59"/>
        <v>293.33333333333638</v>
      </c>
      <c r="AN125" s="59">
        <f ca="1">AVERAGE(OFFSET($AM$3,0,0,'Données projet'!$E$10+1,1))-AVERAGE(OFFSET($H$3,0,0,'Données projet'!$E$10+1,1))</f>
        <v>230.58262378842818</v>
      </c>
      <c r="AO125" s="59">
        <f t="shared" si="90"/>
        <v>235.68746142880792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29.329533176533079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29.329533176533079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355.07609280000059</v>
      </c>
      <c r="BF125" s="13">
        <f t="shared" si="91"/>
        <v>82.606853937508674</v>
      </c>
      <c r="BG125" s="20">
        <f t="shared" si="61"/>
        <v>762.29779890116197</v>
      </c>
      <c r="BH125" s="59">
        <f t="shared" si="62"/>
        <v>1055.6311322344952</v>
      </c>
      <c r="BI125" s="59">
        <f ca="1">AVERAGE(OFFSET($BH$3,0,0,'Données projet'!$E$11+1,1))-AVERAGE(OFFSET($H$3,0,0,'Données projet'!$E$11+1,1))</f>
        <v>581.88778927327667</v>
      </c>
      <c r="BJ125" s="59">
        <f t="shared" si="92"/>
        <v>269.67340993773422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52.720670834646505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52.720670834646505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373.44209760000064</v>
      </c>
      <c r="CA125" s="13">
        <f t="shared" si="93"/>
        <v>86.371119665503912</v>
      </c>
      <c r="CB125" s="20">
        <f t="shared" si="64"/>
        <v>800.84135340408704</v>
      </c>
      <c r="CC125" s="59">
        <f t="shared" si="65"/>
        <v>1094.1746867374204</v>
      </c>
      <c r="CD125" s="59">
        <f ca="1">AVERAGE(OFFSET($CC$3,0,0,'Données projet'!$E$12+1,1))-AVERAGE(OFFSET($H$3,0,0,'Données projet'!$E$12+1,1))</f>
        <v>609.60019207204277</v>
      </c>
      <c r="CE125" s="59">
        <f t="shared" si="94"/>
        <v>281.42238288764503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55.447602084714433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55.447602084714433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1.5999999999905867E-2</v>
      </c>
      <c r="CU125" s="17">
        <f>CT125*VLOOKUP('Données projet'!$B$13,Paramètres!$A$1:$I$89,3,0)*VLOOKUP('Données projet'!$B$13,Paramètres!$A$1:$I$89,5,0)</f>
        <v>1.2729599999925107E-2</v>
      </c>
      <c r="CV125" s="13">
        <f t="shared" si="95"/>
        <v>9.7491417338934176E-3</v>
      </c>
      <c r="CW125" s="20">
        <f t="shared" si="67"/>
        <v>3.9150475186400593E-2</v>
      </c>
      <c r="CX125" s="59">
        <f t="shared" si="68"/>
        <v>293.37248380851969</v>
      </c>
      <c r="CY125" s="59">
        <f ca="1">AVERAGE(OFFSET($CX$3,0,0,'Données projet'!$E$13+1,1))-AVERAGE(OFFSET($H$3,0,0,'Données projet'!$E$13+1,1))</f>
        <v>172.13940525084604</v>
      </c>
      <c r="CZ125" s="59">
        <f t="shared" si="96"/>
        <v>172.82328007157236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19.89898485142384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19.89898485142384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1.7053025658242404E-13</v>
      </c>
      <c r="DP125" s="17">
        <f>DO125*VLOOKUP('Données projet'!$B$14,Paramètres!$A$1:$I$89,3,0)*VLOOKUP('Données projet'!$B$14,Paramètres!$A$1:$I$89,5,0)</f>
        <v>1.250327841262333E-13</v>
      </c>
      <c r="DQ125" s="13">
        <f t="shared" si="97"/>
        <v>1.8301318724634299E-12</v>
      </c>
      <c r="DR125" s="20">
        <f t="shared" si="70"/>
        <v>3.405245110226996E-12</v>
      </c>
      <c r="DS125" s="59">
        <f t="shared" si="71"/>
        <v>293.33333333333672</v>
      </c>
      <c r="DT125" s="59">
        <f ca="1">AVERAGE(OFFSET($DS$3,0,0,'Données projet'!$E$14+1,1))-AVERAGE(OFFSET($H$3,0,0,'Données projet'!$E$14+1,1))</f>
        <v>197.34725966440715</v>
      </c>
      <c r="DU125" s="59">
        <f t="shared" si="98"/>
        <v>240.16326570529532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10.513208126310946</v>
      </c>
      <c r="EB125" s="21">
        <f>EXP(-LN(2)/25)*EB124+(1-EXP(-LN(2)/25))/(LN(2)/25)*Calculateur!DW125*Calculateur!DY125*VLOOKUP('Données projet'!$B$14,Paramètres!$A$1:$I$89,3,0)*0.475*44/12</f>
        <v>4.1837863926531131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14.696994518964059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5.6843418860808015E-14</v>
      </c>
      <c r="EK125" s="17">
        <f>EJ125*VLOOKUP('Données projet'!$B$15,Paramètres!$A$1:$I$89,3,0)*VLOOKUP('Données projet'!$B$15,Paramètres!$A$1:$I$89,5,0)</f>
        <v>4.4337866711430253E-14</v>
      </c>
      <c r="EL125" s="13">
        <f t="shared" si="99"/>
        <v>7.3222115536967035E-13</v>
      </c>
      <c r="EM125" s="20">
        <f t="shared" si="73"/>
        <v>1.3525069634579169E-12</v>
      </c>
      <c r="EN125" s="59">
        <f t="shared" si="74"/>
        <v>293.33333333333468</v>
      </c>
      <c r="EO125" s="59">
        <f ca="1">AVERAGE(OFFSET($EN$3,0,0,'Données projet'!$E$15+1,1))-AVERAGE(OFFSET($H$3,0,0,'Données projet'!$E$15+1,1))</f>
        <v>288.82868507674738</v>
      </c>
      <c r="EP125" s="59">
        <f t="shared" si="100"/>
        <v>283.48738729114024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36.126004720122005</v>
      </c>
      <c r="EW125" s="21">
        <f>EXP(-LN(2)/25)*EW124+(1-EXP(-LN(2)/25))/(LN(2)/25)*Calculateur!ER125*Calculateur!ET125*VLOOKUP('Données projet'!$B$15,Paramètres!$A$1:$I$89,3,0)*0.475*44/12</f>
        <v>11.710342623006973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47.836347343128978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7.9920000000000018</v>
      </c>
      <c r="N126" s="13">
        <f>IF('Données projet'!$A$36&gt;35,N125+M126-V125,IF(A126&lt;'Données projet'!$A$36,$K$205^A126,IF(A126='Données projet'!$A$36,'Données projet'!$B$36,N125+M126-V125)))</f>
        <v>400.42800000000068</v>
      </c>
      <c r="O126" s="13">
        <f>N126*VLOOKUP('Données projet'!$B$9,Paramètres!$A$1:$I$89,3,0)*VLOOKUP('Données projet'!$B$9,Paramètres!$A$1:$I$89,5,0)</f>
        <v>362.3072544000006</v>
      </c>
      <c r="P126" s="13">
        <f t="shared" si="87"/>
        <v>84.09158309070763</v>
      </c>
      <c r="Q126" s="20">
        <f t="shared" si="107"/>
        <v>777.4779752963168</v>
      </c>
      <c r="R126" s="59">
        <f t="shared" si="55"/>
        <v>1070.8113086296501</v>
      </c>
      <c r="S126" s="59">
        <f ca="1">AVERAGE(OFFSET($R$3,0,0,'Données projet'!$E$9+1,1))-AVERAGE(OFFSET($H$3,0,0,'Données projet'!$E$9+1,1))</f>
        <v>581.88778927327667</v>
      </c>
      <c r="T126" s="59">
        <f t="shared" si="88"/>
        <v>269.67340993773422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51.686850636013112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51.686850636013112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1.7053025658242404E-13</v>
      </c>
      <c r="AJ126" s="13">
        <f>AI126*VLOOKUP('Données projet'!$B$10,Paramètres!$A$1:$I$89,3,0)*VLOOKUP('Données projet'!$B$10,Paramètres!$A$1:$I$89,5,0)</f>
        <v>1.1173142411280423E-13</v>
      </c>
      <c r="AK126" s="13">
        <f t="shared" si="89"/>
        <v>1.6569896290553793E-12</v>
      </c>
      <c r="AL126" s="20">
        <f t="shared" si="58"/>
        <v>3.0805225009345862E-12</v>
      </c>
      <c r="AM126" s="59">
        <f t="shared" si="59"/>
        <v>293.33333333333638</v>
      </c>
      <c r="AN126" s="59">
        <f ca="1">AVERAGE(OFFSET($AM$3,0,0,'Données projet'!$E$10+1,1))-AVERAGE(OFFSET($H$3,0,0,'Données projet'!$E$10+1,1))</f>
        <v>230.58262378842818</v>
      </c>
      <c r="AO126" s="59">
        <f t="shared" si="90"/>
        <v>235.68746142880792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28.754398920190088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28.754398920190088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362.3072544000006</v>
      </c>
      <c r="BF126" s="13">
        <f t="shared" si="91"/>
        <v>84.09158309070763</v>
      </c>
      <c r="BG126" s="20">
        <f t="shared" si="61"/>
        <v>777.4779752963168</v>
      </c>
      <c r="BH126" s="59">
        <f t="shared" si="62"/>
        <v>1070.8113086296501</v>
      </c>
      <c r="BI126" s="59">
        <f ca="1">AVERAGE(OFFSET($BH$3,0,0,'Données projet'!$E$11+1,1))-AVERAGE(OFFSET($H$3,0,0,'Données projet'!$E$11+1,1))</f>
        <v>581.88778927327667</v>
      </c>
      <c r="BJ126" s="59">
        <f t="shared" si="92"/>
        <v>269.67340993773422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51.686850636013112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51.686850636013112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381.04728480000068</v>
      </c>
      <c r="CA126" s="13">
        <f t="shared" si="93"/>
        <v>87.923505614723254</v>
      </c>
      <c r="CB126" s="20">
        <f t="shared" si="64"/>
        <v>816.79079330564412</v>
      </c>
      <c r="CC126" s="59">
        <f t="shared" si="65"/>
        <v>1110.1241266389775</v>
      </c>
      <c r="CD126" s="59">
        <f ca="1">AVERAGE(OFFSET($CC$3,0,0,'Données projet'!$E$12+1,1))-AVERAGE(OFFSET($H$3,0,0,'Données projet'!$E$12+1,1))</f>
        <v>609.60019207204277</v>
      </c>
      <c r="CE126" s="59">
        <f t="shared" si="94"/>
        <v>281.42238288764503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54.360308427531038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54.360308427531038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1.5999999999905867E-2</v>
      </c>
      <c r="CU126" s="17">
        <f>CT126*VLOOKUP('Données projet'!$B$13,Paramètres!$A$1:$I$89,3,0)*VLOOKUP('Données projet'!$B$13,Paramètres!$A$1:$I$89,5,0)</f>
        <v>1.2729599999925107E-2</v>
      </c>
      <c r="CV126" s="13">
        <f t="shared" si="95"/>
        <v>9.7491417338934176E-3</v>
      </c>
      <c r="CW126" s="20">
        <f t="shared" si="67"/>
        <v>3.9150475186400593E-2</v>
      </c>
      <c r="CX126" s="59">
        <f t="shared" si="68"/>
        <v>293.37248380851969</v>
      </c>
      <c r="CY126" s="59">
        <f ca="1">AVERAGE(OFFSET($CX$3,0,0,'Données projet'!$E$13+1,1))-AVERAGE(OFFSET($H$3,0,0,'Données projet'!$E$13+1,1))</f>
        <v>172.13940525084604</v>
      </c>
      <c r="CZ126" s="59">
        <f t="shared" si="96"/>
        <v>172.82328007157236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19.508777895669731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19.508777895669731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1.7053025658242404E-13</v>
      </c>
      <c r="DP126" s="17">
        <f>DO126*VLOOKUP('Données projet'!$B$14,Paramètres!$A$1:$I$89,3,0)*VLOOKUP('Données projet'!$B$14,Paramètres!$A$1:$I$89,5,0)</f>
        <v>1.250327841262333E-13</v>
      </c>
      <c r="DQ126" s="13">
        <f t="shared" si="97"/>
        <v>1.8301318724634299E-12</v>
      </c>
      <c r="DR126" s="20">
        <f t="shared" si="70"/>
        <v>3.405245110226996E-12</v>
      </c>
      <c r="DS126" s="59">
        <f t="shared" si="71"/>
        <v>293.33333333333672</v>
      </c>
      <c r="DT126" s="59">
        <f ca="1">AVERAGE(OFFSET($DS$3,0,0,'Données projet'!$E$14+1,1))-AVERAGE(OFFSET($H$3,0,0,'Données projet'!$E$14+1,1))</f>
        <v>197.34725966440715</v>
      </c>
      <c r="DU126" s="59">
        <f t="shared" si="98"/>
        <v>240.16326570529532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10.307050527377772</v>
      </c>
      <c r="EB126" s="21">
        <f>EXP(-LN(2)/25)*EB125+(1-EXP(-LN(2)/25))/(LN(2)/25)*Calculateur!DW126*Calculateur!DY126*VLOOKUP('Données projet'!$B$14,Paramètres!$A$1:$I$89,3,0)*0.475*44/12</f>
        <v>4.0693805337302491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14.376431061108022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5.6843418860808015E-14</v>
      </c>
      <c r="EK126" s="17">
        <f>EJ126*VLOOKUP('Données projet'!$B$15,Paramètres!$A$1:$I$89,3,0)*VLOOKUP('Données projet'!$B$15,Paramètres!$A$1:$I$89,5,0)</f>
        <v>4.4337866711430253E-14</v>
      </c>
      <c r="EL126" s="13">
        <f t="shared" si="99"/>
        <v>7.3222115536967035E-13</v>
      </c>
      <c r="EM126" s="20">
        <f t="shared" si="73"/>
        <v>1.3525069634579169E-12</v>
      </c>
      <c r="EN126" s="59">
        <f t="shared" si="74"/>
        <v>293.33333333333468</v>
      </c>
      <c r="EO126" s="59">
        <f ca="1">AVERAGE(OFFSET($EN$3,0,0,'Données projet'!$E$15+1,1))-AVERAGE(OFFSET($H$3,0,0,'Données projet'!$E$15+1,1))</f>
        <v>288.82868507674738</v>
      </c>
      <c r="EP126" s="59">
        <f t="shared" si="100"/>
        <v>283.48738729114024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35.417595802247547</v>
      </c>
      <c r="EW126" s="21">
        <f>EXP(-LN(2)/25)*EW125+(1-EXP(-LN(2)/25))/(LN(2)/25)*Calculateur!ER126*Calculateur!ET126*VLOOKUP('Données projet'!$B$15,Paramètres!$A$1:$I$89,3,0)*0.475*44/12</f>
        <v>11.390122688160693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46.807718490408242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>
        <f>VLOOKUP(A127,'Données projet'!$A$35:$I$55,2,0)</f>
        <v>408.42</v>
      </c>
      <c r="L127" s="12">
        <f>VLOOKUP(A127,'Données projet'!$A$35:$I$55,9,0)</f>
        <v>7.9920000000000018</v>
      </c>
      <c r="M127" s="12">
        <f t="array" ref="M127">INDEX(L:L,MIN(IF(ISNUMBER(L127:L323),ROW(L127:L323),"")))</f>
        <v>7.9920000000000018</v>
      </c>
      <c r="N127" s="13">
        <f>IF('Données projet'!$A$36&gt;35,N126+M127-V126,IF(A127&lt;'Données projet'!$A$36,$K$205^A127,IF(A127='Données projet'!$A$36,'Données projet'!$B$36,N126+M127-V126)))</f>
        <v>408.4200000000007</v>
      </c>
      <c r="O127" s="13">
        <f>N127*VLOOKUP('Données projet'!$B$9,Paramètres!$A$1:$I$89,3,0)*VLOOKUP('Données projet'!$B$9,Paramètres!$A$1:$I$89,5,0)</f>
        <v>369.53841600000061</v>
      </c>
      <c r="P127" s="13">
        <f t="shared" si="87"/>
        <v>85.572866703416025</v>
      </c>
      <c r="Q127" s="20">
        <f t="shared" si="107"/>
        <v>792.65215070845068</v>
      </c>
      <c r="R127" s="59">
        <f t="shared" si="55"/>
        <v>1085.985484041784</v>
      </c>
      <c r="S127" s="59">
        <f ca="1">AVERAGE(OFFSET($R$3,0,0,'Données projet'!$E$9+1,1))-AVERAGE(OFFSET($H$3,0,0,'Données projet'!$E$9+1,1))</f>
        <v>581.88778927327667</v>
      </c>
      <c r="T127" s="59">
        <f t="shared" si="88"/>
        <v>269.67340993773422</v>
      </c>
      <c r="U127" s="15">
        <f>IF(ISNA(VLOOKUP(A127,'Données projet'!$A$35:$I$55,3,0)),0,VLOOKUP(A127,'Données projet'!$A$35:$I$55,3,0))</f>
        <v>10</v>
      </c>
      <c r="V127" s="15">
        <f>IF(ISNA(VLOOKUP(A127,'Données projet'!$A$35:$I$55,4,0)),0,VLOOKUP(A127,'Données projet'!$A$35:$I$55,4,0))</f>
        <v>52.53</v>
      </c>
      <c r="W127" s="16">
        <f>IF(ISNA(VLOOKUP(A127,'Données projet'!$A$35:$I$55,5,0)),0%,VLOOKUP(A127,'Données projet'!$A$35:$I$55,5,0)*VLOOKUP('Données projet'!$B$9,Paramètres!$A$1:$I$89,7,0))</f>
        <v>0.25800000000000001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64.229154721898368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64.229154721898368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1.7053025658242404E-13</v>
      </c>
      <c r="AJ127" s="13">
        <f>AI127*VLOOKUP('Données projet'!$B$10,Paramètres!$A$1:$I$89,3,0)*VLOOKUP('Données projet'!$B$10,Paramètres!$A$1:$I$89,5,0)</f>
        <v>1.1173142411280423E-13</v>
      </c>
      <c r="AK127" s="13">
        <f t="shared" si="89"/>
        <v>1.6569896290553793E-12</v>
      </c>
      <c r="AL127" s="20">
        <f t="shared" si="58"/>
        <v>3.0805225009345862E-12</v>
      </c>
      <c r="AM127" s="59">
        <f t="shared" si="59"/>
        <v>293.33333333333638</v>
      </c>
      <c r="AN127" s="59">
        <f ca="1">AVERAGE(OFFSET($AM$3,0,0,'Données projet'!$E$10+1,1))-AVERAGE(OFFSET($H$3,0,0,'Données projet'!$E$10+1,1))</f>
        <v>230.58262378842818</v>
      </c>
      <c r="AO127" s="59">
        <f t="shared" si="90"/>
        <v>235.68746142880792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28.190542695816724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28.190542695816724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369.53841600000061</v>
      </c>
      <c r="BF127" s="13">
        <f t="shared" si="91"/>
        <v>85.572866703416025</v>
      </c>
      <c r="BG127" s="20">
        <f t="shared" si="61"/>
        <v>792.65215070845068</v>
      </c>
      <c r="BH127" s="59">
        <f t="shared" si="62"/>
        <v>1085.985484041784</v>
      </c>
      <c r="BI127" s="59">
        <f ca="1">AVERAGE(OFFSET($BH$3,0,0,'Données projet'!$E$11+1,1))-AVERAGE(OFFSET($H$3,0,0,'Données projet'!$E$11+1,1))</f>
        <v>581.88778927327667</v>
      </c>
      <c r="BJ127" s="59">
        <f t="shared" si="92"/>
        <v>269.67340993773422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64.229154721898368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64.229154721898368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388.65247200000067</v>
      </c>
      <c r="CA127" s="13">
        <f t="shared" si="93"/>
        <v>89.472289015536205</v>
      </c>
      <c r="CB127" s="20">
        <f t="shared" si="64"/>
        <v>832.73395876872667</v>
      </c>
      <c r="CC127" s="59">
        <f t="shared" si="65"/>
        <v>1126.06729210206</v>
      </c>
      <c r="CD127" s="59">
        <f ca="1">AVERAGE(OFFSET($CC$3,0,0,'Données projet'!$E$12+1,1))-AVERAGE(OFFSET($H$3,0,0,'Données projet'!$E$12+1,1))</f>
        <v>609.60019207204277</v>
      </c>
      <c r="CE127" s="59">
        <f t="shared" si="94"/>
        <v>281.42238288764503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67.551352379927607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67.551352379927607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1.5999999999905867E-2</v>
      </c>
      <c r="CU127" s="17">
        <f>CT127*VLOOKUP('Données projet'!$B$13,Paramètres!$A$1:$I$89,3,0)*VLOOKUP('Données projet'!$B$13,Paramètres!$A$1:$I$89,5,0)</f>
        <v>1.2729599999925107E-2</v>
      </c>
      <c r="CV127" s="13">
        <f t="shared" si="95"/>
        <v>9.7491417338934176E-3</v>
      </c>
      <c r="CW127" s="20">
        <f t="shared" si="67"/>
        <v>3.9150475186400593E-2</v>
      </c>
      <c r="CX127" s="59">
        <f t="shared" si="68"/>
        <v>293.37248380851969</v>
      </c>
      <c r="CY127" s="59">
        <f ca="1">AVERAGE(OFFSET($CX$3,0,0,'Données projet'!$E$13+1,1))-AVERAGE(OFFSET($H$3,0,0,'Données projet'!$E$13+1,1))</f>
        <v>172.13940525084604</v>
      </c>
      <c r="CZ127" s="59">
        <f t="shared" si="96"/>
        <v>172.82328007157236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19.126222660315218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19.126222660315218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1.7053025658242404E-13</v>
      </c>
      <c r="DP127" s="17">
        <f>DO127*VLOOKUP('Données projet'!$B$14,Paramètres!$A$1:$I$89,3,0)*VLOOKUP('Données projet'!$B$14,Paramètres!$A$1:$I$89,5,0)</f>
        <v>1.250327841262333E-13</v>
      </c>
      <c r="DQ127" s="13">
        <f t="shared" si="97"/>
        <v>1.8301318724634299E-12</v>
      </c>
      <c r="DR127" s="20">
        <f t="shared" si="70"/>
        <v>3.405245110226996E-12</v>
      </c>
      <c r="DS127" s="59">
        <f t="shared" si="71"/>
        <v>293.33333333333672</v>
      </c>
      <c r="DT127" s="59">
        <f ca="1">AVERAGE(OFFSET($DS$3,0,0,'Données projet'!$E$14+1,1))-AVERAGE(OFFSET($H$3,0,0,'Données projet'!$E$14+1,1))</f>
        <v>197.34725966440715</v>
      </c>
      <c r="DU127" s="59">
        <f t="shared" si="98"/>
        <v>240.16326570529532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10.104935553215958</v>
      </c>
      <c r="EB127" s="21">
        <f>EXP(-LN(2)/25)*EB126+(1-EXP(-LN(2)/25))/(LN(2)/25)*Calculateur!DW127*Calculateur!DY127*VLOOKUP('Données projet'!$B$14,Paramètres!$A$1:$I$89,3,0)*0.475*44/12</f>
        <v>3.958103109035974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14.063038662251932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5.6843418860808015E-14</v>
      </c>
      <c r="EK127" s="17">
        <f>EJ127*VLOOKUP('Données projet'!$B$15,Paramètres!$A$1:$I$89,3,0)*VLOOKUP('Données projet'!$B$15,Paramètres!$A$1:$I$89,5,0)</f>
        <v>4.4337866711430253E-14</v>
      </c>
      <c r="EL127" s="13">
        <f t="shared" si="99"/>
        <v>7.3222115536967035E-13</v>
      </c>
      <c r="EM127" s="20">
        <f t="shared" si="73"/>
        <v>1.3525069634579169E-12</v>
      </c>
      <c r="EN127" s="59">
        <f t="shared" si="74"/>
        <v>293.33333333333468</v>
      </c>
      <c r="EO127" s="59">
        <f ca="1">AVERAGE(OFFSET($EN$3,0,0,'Données projet'!$E$15+1,1))-AVERAGE(OFFSET($H$3,0,0,'Données projet'!$E$15+1,1))</f>
        <v>288.82868507674738</v>
      </c>
      <c r="EP127" s="59">
        <f t="shared" si="100"/>
        <v>283.48738729114024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34.723078351165832</v>
      </c>
      <c r="EW127" s="21">
        <f>EXP(-LN(2)/25)*EW126+(1-EXP(-LN(2)/25))/(LN(2)/25)*Calculateur!ER127*Calculateur!ET127*VLOOKUP('Données projet'!$B$15,Paramètres!$A$1:$I$89,3,0)*0.475*44/12</f>
        <v>11.07865918427242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45.801737535438249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8.0699999999999985</v>
      </c>
      <c r="N128" s="13">
        <f>IF('Données projet'!$A$36&gt;35,N127+M128-V127,IF(A128&lt;'Données projet'!$A$36,$K$205^A128,IF(A128='Données projet'!$A$36,'Données projet'!$B$36,N127+M128-V127)))</f>
        <v>363.96000000000072</v>
      </c>
      <c r="O128" s="13">
        <f>N128*VLOOKUP('Données projet'!$B$9,Paramètres!$A$1:$I$89,3,0)*VLOOKUP('Données projet'!$B$9,Paramètres!$A$1:$I$89,5,0)</f>
        <v>329.31100800000064</v>
      </c>
      <c r="P128" s="13">
        <f t="shared" si="87"/>
        <v>77.287444180583748</v>
      </c>
      <c r="Q128" s="20">
        <f t="shared" si="107"/>
        <v>708.15897088118447</v>
      </c>
      <c r="R128" s="59">
        <f t="shared" si="55"/>
        <v>1001.4923042145178</v>
      </c>
      <c r="S128" s="59">
        <f ca="1">AVERAGE(OFFSET($R$3,0,0,'Données projet'!$E$9+1,1))-AVERAGE(OFFSET($H$3,0,0,'Données projet'!$E$9+1,1))</f>
        <v>581.88778927327667</v>
      </c>
      <c r="T128" s="59">
        <f t="shared" si="88"/>
        <v>269.67340993773422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62.969660173718019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62.969660173718019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1.7053025658242404E-13</v>
      </c>
      <c r="AJ128" s="13">
        <f>AI128*VLOOKUP('Données projet'!$B$10,Paramètres!$A$1:$I$89,3,0)*VLOOKUP('Données projet'!$B$10,Paramètres!$A$1:$I$89,5,0)</f>
        <v>1.1173142411280423E-13</v>
      </c>
      <c r="AK128" s="13">
        <f t="shared" si="89"/>
        <v>1.6569896290553793E-12</v>
      </c>
      <c r="AL128" s="20">
        <f t="shared" si="58"/>
        <v>3.0805225009345862E-12</v>
      </c>
      <c r="AM128" s="59">
        <f t="shared" si="59"/>
        <v>293.33333333333638</v>
      </c>
      <c r="AN128" s="59">
        <f ca="1">AVERAGE(OFFSET($AM$3,0,0,'Données projet'!$E$10+1,1))-AVERAGE(OFFSET($H$3,0,0,'Données projet'!$E$10+1,1))</f>
        <v>230.58262378842818</v>
      </c>
      <c r="AO128" s="59">
        <f t="shared" si="90"/>
        <v>235.68746142880792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27.637743348084982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27.637743348084982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329.31100800000064</v>
      </c>
      <c r="BF128" s="13">
        <f t="shared" si="91"/>
        <v>77.287444180583748</v>
      </c>
      <c r="BG128" s="20">
        <f t="shared" si="61"/>
        <v>708.15897088118447</v>
      </c>
      <c r="BH128" s="59">
        <f t="shared" si="62"/>
        <v>1001.4923042145178</v>
      </c>
      <c r="BI128" s="59">
        <f ca="1">AVERAGE(OFFSET($BH$3,0,0,'Données projet'!$E$11+1,1))-AVERAGE(OFFSET($H$3,0,0,'Données projet'!$E$11+1,1))</f>
        <v>581.88778927327667</v>
      </c>
      <c r="BJ128" s="59">
        <f t="shared" si="92"/>
        <v>269.67340993773422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62.969660173718019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62.969660173718019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346.34433600000068</v>
      </c>
      <c r="CA128" s="13">
        <f t="shared" si="93"/>
        <v>80.809312687443921</v>
      </c>
      <c r="CB128" s="20">
        <f t="shared" si="64"/>
        <v>743.95927146396605</v>
      </c>
      <c r="CC128" s="59">
        <f t="shared" si="65"/>
        <v>1037.2926047972994</v>
      </c>
      <c r="CD128" s="59">
        <f ca="1">AVERAGE(OFFSET($CC$3,0,0,'Données projet'!$E$12+1,1))-AVERAGE(OFFSET($H$3,0,0,'Données projet'!$E$12+1,1))</f>
        <v>609.60019207204277</v>
      </c>
      <c r="CE128" s="59">
        <f t="shared" si="94"/>
        <v>281.42238288764503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66.22671156201379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66.22671156201379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1.5999999999905867E-2</v>
      </c>
      <c r="CU128" s="17">
        <f>CT128*VLOOKUP('Données projet'!$B$13,Paramètres!$A$1:$I$89,3,0)*VLOOKUP('Données projet'!$B$13,Paramètres!$A$1:$I$89,5,0)</f>
        <v>1.2729599999925107E-2</v>
      </c>
      <c r="CV128" s="13">
        <f t="shared" si="95"/>
        <v>9.7491417338934176E-3</v>
      </c>
      <c r="CW128" s="20">
        <f t="shared" si="67"/>
        <v>3.9150475186400593E-2</v>
      </c>
      <c r="CX128" s="59">
        <f t="shared" si="68"/>
        <v>293.37248380851969</v>
      </c>
      <c r="CY128" s="59">
        <f ca="1">AVERAGE(OFFSET($CX$3,0,0,'Données projet'!$E$13+1,1))-AVERAGE(OFFSET($H$3,0,0,'Données projet'!$E$13+1,1))</f>
        <v>172.13940525084604</v>
      </c>
      <c r="CZ128" s="59">
        <f t="shared" si="96"/>
        <v>172.82328007157236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18.751169099790353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18.751169099790353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1.7053025658242404E-13</v>
      </c>
      <c r="DP128" s="17">
        <f>DO128*VLOOKUP('Données projet'!$B$14,Paramètres!$A$1:$I$89,3,0)*VLOOKUP('Données projet'!$B$14,Paramètres!$A$1:$I$89,5,0)</f>
        <v>1.250327841262333E-13</v>
      </c>
      <c r="DQ128" s="13">
        <f t="shared" si="97"/>
        <v>1.8301318724634299E-12</v>
      </c>
      <c r="DR128" s="20">
        <f t="shared" si="70"/>
        <v>3.405245110226996E-12</v>
      </c>
      <c r="DS128" s="59">
        <f t="shared" si="71"/>
        <v>293.33333333333672</v>
      </c>
      <c r="DT128" s="59">
        <f ca="1">AVERAGE(OFFSET($DS$3,0,0,'Données projet'!$E$14+1,1))-AVERAGE(OFFSET($H$3,0,0,'Données projet'!$E$14+1,1))</f>
        <v>197.34725966440715</v>
      </c>
      <c r="DU128" s="59">
        <f t="shared" si="98"/>
        <v>240.16326570529532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9.9067839304194951</v>
      </c>
      <c r="EB128" s="21">
        <f>EXP(-LN(2)/25)*EB127+(1-EXP(-LN(2)/25))/(LN(2)/25)*Calculateur!DW128*Calculateur!DY128*VLOOKUP('Données projet'!$B$14,Paramètres!$A$1:$I$89,3,0)*0.475*44/12</f>
        <v>3.8498685713717893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13.756652501791285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5.6843418860808015E-14</v>
      </c>
      <c r="EK128" s="17">
        <f>EJ128*VLOOKUP('Données projet'!$B$15,Paramètres!$A$1:$I$89,3,0)*VLOOKUP('Données projet'!$B$15,Paramètres!$A$1:$I$89,5,0)</f>
        <v>4.4337866711430253E-14</v>
      </c>
      <c r="EL128" s="13">
        <f t="shared" si="99"/>
        <v>7.3222115536967035E-13</v>
      </c>
      <c r="EM128" s="20">
        <f t="shared" si="73"/>
        <v>1.3525069634579169E-12</v>
      </c>
      <c r="EN128" s="59">
        <f t="shared" si="74"/>
        <v>293.33333333333468</v>
      </c>
      <c r="EO128" s="59">
        <f ca="1">AVERAGE(OFFSET($EN$3,0,0,'Données projet'!$E$15+1,1))-AVERAGE(OFFSET($H$3,0,0,'Données projet'!$E$15+1,1))</f>
        <v>288.82868507674738</v>
      </c>
      <c r="EP128" s="59">
        <f t="shared" si="100"/>
        <v>283.48738729114024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34.04217996368601</v>
      </c>
      <c r="EW128" s="21">
        <f>EXP(-LN(2)/25)*EW127+(1-EXP(-LN(2)/25))/(LN(2)/25)*Calculateur!ER128*Calculateur!ET128*VLOOKUP('Données projet'!$B$15,Paramètres!$A$1:$I$89,3,0)*0.475*44/12</f>
        <v>10.775712666277125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44.817892629963133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8.0699999999999985</v>
      </c>
      <c r="N129" s="13">
        <f>IF('Données projet'!$A$36&gt;35,N128+M129-V128,IF(A129&lt;'Données projet'!$A$36,$K$205^A129,IF(A129='Données projet'!$A$36,'Données projet'!$B$36,N128+M129-V128)))</f>
        <v>372.03000000000071</v>
      </c>
      <c r="O129" s="13">
        <f>N129*VLOOKUP('Données projet'!$B$9,Paramètres!$A$1:$I$89,3,0)*VLOOKUP('Données projet'!$B$9,Paramètres!$A$1:$I$89,5,0)</f>
        <v>336.61274400000065</v>
      </c>
      <c r="P129" s="13">
        <f t="shared" si="87"/>
        <v>78.799710600410648</v>
      </c>
      <c r="Q129" s="20">
        <f t="shared" si="107"/>
        <v>723.51002509571629</v>
      </c>
      <c r="R129" s="59">
        <f t="shared" si="55"/>
        <v>1016.8433584290497</v>
      </c>
      <c r="S129" s="59">
        <f ca="1">AVERAGE(OFFSET($R$3,0,0,'Données projet'!$E$9+1,1))-AVERAGE(OFFSET($H$3,0,0,'Données projet'!$E$9+1,1))</f>
        <v>581.88778927327667</v>
      </c>
      <c r="T129" s="59">
        <f t="shared" si="88"/>
        <v>269.67340993773422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61.73486354541167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61.73486354541167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1.7053025658242404E-13</v>
      </c>
      <c r="AJ129" s="13">
        <f>AI129*VLOOKUP('Données projet'!$B$10,Paramètres!$A$1:$I$89,3,0)*VLOOKUP('Données projet'!$B$10,Paramètres!$A$1:$I$89,5,0)</f>
        <v>1.1173142411280423E-13</v>
      </c>
      <c r="AK129" s="13">
        <f t="shared" si="89"/>
        <v>1.6569896290553793E-12</v>
      </c>
      <c r="AL129" s="20">
        <f t="shared" si="58"/>
        <v>3.0805225009345862E-12</v>
      </c>
      <c r="AM129" s="59">
        <f t="shared" si="59"/>
        <v>293.33333333333638</v>
      </c>
      <c r="AN129" s="59">
        <f ca="1">AVERAGE(OFFSET($AM$3,0,0,'Données projet'!$E$10+1,1))-AVERAGE(OFFSET($H$3,0,0,'Données projet'!$E$10+1,1))</f>
        <v>230.58262378842818</v>
      </c>
      <c r="AO129" s="59">
        <f t="shared" si="90"/>
        <v>235.68746142880792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27.095784058387952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27.095784058387952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336.61274400000065</v>
      </c>
      <c r="BF129" s="13">
        <f t="shared" si="91"/>
        <v>78.799710600410648</v>
      </c>
      <c r="BG129" s="20">
        <f t="shared" si="61"/>
        <v>723.51002509571629</v>
      </c>
      <c r="BH129" s="59">
        <f t="shared" si="62"/>
        <v>1016.8433584290497</v>
      </c>
      <c r="BI129" s="59">
        <f ca="1">AVERAGE(OFFSET($BH$3,0,0,'Données projet'!$E$11+1,1))-AVERAGE(OFFSET($H$3,0,0,'Données projet'!$E$11+1,1))</f>
        <v>581.88778927327667</v>
      </c>
      <c r="BJ129" s="59">
        <f t="shared" si="92"/>
        <v>269.67340993773422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61.73486354541167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61.73486354541167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354.02374800000069</v>
      </c>
      <c r="CA129" s="13">
        <f t="shared" si="93"/>
        <v>82.390490733660229</v>
      </c>
      <c r="CB129" s="20">
        <f t="shared" si="64"/>
        <v>760.08813246112607</v>
      </c>
      <c r="CC129" s="59">
        <f t="shared" si="65"/>
        <v>1053.4214657944594</v>
      </c>
      <c r="CD129" s="59">
        <f ca="1">AVERAGE(OFFSET($CC$3,0,0,'Données projet'!$E$12+1,1))-AVERAGE(OFFSET($H$3,0,0,'Données projet'!$E$12+1,1))</f>
        <v>609.60019207204277</v>
      </c>
      <c r="CE129" s="59">
        <f t="shared" si="94"/>
        <v>281.42238288764503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64.928046142588144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64.928046142588144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1.5999999999905867E-2</v>
      </c>
      <c r="CU129" s="17">
        <f>CT129*VLOOKUP('Données projet'!$B$13,Paramètres!$A$1:$I$89,3,0)*VLOOKUP('Données projet'!$B$13,Paramètres!$A$1:$I$89,5,0)</f>
        <v>1.2729599999925107E-2</v>
      </c>
      <c r="CV129" s="13">
        <f t="shared" si="95"/>
        <v>9.7491417338934176E-3</v>
      </c>
      <c r="CW129" s="20">
        <f t="shared" si="67"/>
        <v>3.9150475186400593E-2</v>
      </c>
      <c r="CX129" s="59">
        <f t="shared" si="68"/>
        <v>293.37248380851969</v>
      </c>
      <c r="CY129" s="59">
        <f ca="1">AVERAGE(OFFSET($CX$3,0,0,'Données projet'!$E$13+1,1))-AVERAGE(OFFSET($H$3,0,0,'Données projet'!$E$13+1,1))</f>
        <v>172.13940525084604</v>
      </c>
      <c r="CZ129" s="59">
        <f t="shared" si="96"/>
        <v>172.82328007157236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18.383470110827297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18.383470110827297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1.7053025658242404E-13</v>
      </c>
      <c r="DP129" s="17">
        <f>DO129*VLOOKUP('Données projet'!$B$14,Paramètres!$A$1:$I$89,3,0)*VLOOKUP('Données projet'!$B$14,Paramètres!$A$1:$I$89,5,0)</f>
        <v>1.250327841262333E-13</v>
      </c>
      <c r="DQ129" s="13">
        <f t="shared" si="97"/>
        <v>1.8301318724634299E-12</v>
      </c>
      <c r="DR129" s="20">
        <f t="shared" si="70"/>
        <v>3.405245110226996E-12</v>
      </c>
      <c r="DS129" s="59">
        <f t="shared" si="71"/>
        <v>293.33333333333672</v>
      </c>
      <c r="DT129" s="59">
        <f ca="1">AVERAGE(OFFSET($DS$3,0,0,'Données projet'!$E$14+1,1))-AVERAGE(OFFSET($H$3,0,0,'Données projet'!$E$14+1,1))</f>
        <v>197.34725966440715</v>
      </c>
      <c r="DU129" s="59">
        <f t="shared" si="98"/>
        <v>240.16326570529532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9.7125179400855153</v>
      </c>
      <c r="EB129" s="21">
        <f>EXP(-LN(2)/25)*EB128+(1-EXP(-LN(2)/25))/(LN(2)/25)*Calculateur!DW129*Calculateur!DY129*VLOOKUP('Données projet'!$B$14,Paramètres!$A$1:$I$89,3,0)*0.475*44/12</f>
        <v>3.7445937128318385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13.457111652917353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5.6843418860808015E-14</v>
      </c>
      <c r="EK129" s="17">
        <f>EJ129*VLOOKUP('Données projet'!$B$15,Paramètres!$A$1:$I$89,3,0)*VLOOKUP('Données projet'!$B$15,Paramètres!$A$1:$I$89,5,0)</f>
        <v>4.4337866711430253E-14</v>
      </c>
      <c r="EL129" s="13">
        <f t="shared" si="99"/>
        <v>7.3222115536967035E-13</v>
      </c>
      <c r="EM129" s="20">
        <f t="shared" si="73"/>
        <v>1.3525069634579169E-12</v>
      </c>
      <c r="EN129" s="59">
        <f t="shared" si="74"/>
        <v>293.33333333333468</v>
      </c>
      <c r="EO129" s="59">
        <f ca="1">AVERAGE(OFFSET($EN$3,0,0,'Données projet'!$E$15+1,1))-AVERAGE(OFFSET($H$3,0,0,'Données projet'!$E$15+1,1))</f>
        <v>288.82868507674738</v>
      </c>
      <c r="EP129" s="59">
        <f t="shared" si="100"/>
        <v>283.48738729114024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33.37463357827766</v>
      </c>
      <c r="EW129" s="21">
        <f>EXP(-LN(2)/25)*EW128+(1-EXP(-LN(2)/25))/(LN(2)/25)*Calculateur!ER129*Calculateur!ET129*VLOOKUP('Données projet'!$B$15,Paramètres!$A$1:$I$89,3,0)*0.475*44/12</f>
        <v>10.481050236747675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43.855683815025337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8.0699999999999985</v>
      </c>
      <c r="N130" s="13">
        <f>IF('Données projet'!$A$36&gt;35,N129+M130-V129,IF(A130&lt;'Données projet'!$A$36,$K$205^A130,IF(A130='Données projet'!$A$36,'Données projet'!$B$36,N129+M130-V129)))</f>
        <v>380.1000000000007</v>
      </c>
      <c r="O130" s="13">
        <f>N130*VLOOKUP('Données projet'!$B$9,Paramètres!$A$1:$I$89,3,0)*VLOOKUP('Données projet'!$B$9,Paramètres!$A$1:$I$89,5,0)</f>
        <v>343.91448000000065</v>
      </c>
      <c r="P130" s="13">
        <f t="shared" si="87"/>
        <v>80.308163160675235</v>
      </c>
      <c r="Q130" s="20">
        <f t="shared" si="107"/>
        <v>738.85443683817709</v>
      </c>
      <c r="R130" s="59">
        <f t="shared" si="55"/>
        <v>1032.1877701715105</v>
      </c>
      <c r="S130" s="59">
        <f ca="1">AVERAGE(OFFSET($R$3,0,0,'Données projet'!$E$9+1,1))-AVERAGE(OFFSET($H$3,0,0,'Données projet'!$E$9+1,1))</f>
        <v>581.88778927327667</v>
      </c>
      <c r="T130" s="59">
        <f t="shared" si="88"/>
        <v>269.67340993773422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60.524280525834833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60.524280525834833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1.7053025658242404E-13</v>
      </c>
      <c r="AJ130" s="13">
        <f>AI130*VLOOKUP('Données projet'!$B$10,Paramètres!$A$1:$I$89,3,0)*VLOOKUP('Données projet'!$B$10,Paramètres!$A$1:$I$89,5,0)</f>
        <v>1.1173142411280423E-13</v>
      </c>
      <c r="AK130" s="13">
        <f t="shared" si="89"/>
        <v>1.6569896290553793E-12</v>
      </c>
      <c r="AL130" s="20">
        <f t="shared" si="58"/>
        <v>3.0805225009345862E-12</v>
      </c>
      <c r="AM130" s="59">
        <f t="shared" si="59"/>
        <v>293.33333333333638</v>
      </c>
      <c r="AN130" s="59">
        <f ca="1">AVERAGE(OFFSET($AM$3,0,0,'Données projet'!$E$10+1,1))-AVERAGE(OFFSET($H$3,0,0,'Données projet'!$E$10+1,1))</f>
        <v>230.58262378842818</v>
      </c>
      <c r="AO130" s="59">
        <f t="shared" si="90"/>
        <v>235.68746142880792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26.564452259799353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26.564452259799353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343.91448000000065</v>
      </c>
      <c r="BF130" s="13">
        <f t="shared" si="91"/>
        <v>80.308163160675235</v>
      </c>
      <c r="BG130" s="20">
        <f t="shared" si="61"/>
        <v>738.85443683817709</v>
      </c>
      <c r="BH130" s="59">
        <f t="shared" si="62"/>
        <v>1032.1877701715105</v>
      </c>
      <c r="BI130" s="59">
        <f ca="1">AVERAGE(OFFSET($BH$3,0,0,'Données projet'!$E$11+1,1))-AVERAGE(OFFSET($H$3,0,0,'Données projet'!$E$11+1,1))</f>
        <v>581.88778927327667</v>
      </c>
      <c r="BJ130" s="59">
        <f t="shared" si="92"/>
        <v>269.67340993773422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60.524280525834833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60.524280525834833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361.70316000000065</v>
      </c>
      <c r="CA130" s="13">
        <f t="shared" si="93"/>
        <v>83.967681128671643</v>
      </c>
      <c r="CB130" s="20">
        <f t="shared" si="64"/>
        <v>776.21004829910419</v>
      </c>
      <c r="CC130" s="59">
        <f t="shared" si="65"/>
        <v>1069.5433816324376</v>
      </c>
      <c r="CD130" s="59">
        <f ca="1">AVERAGE(OFFSET($CC$3,0,0,'Données projet'!$E$12+1,1))-AVERAGE(OFFSET($H$3,0,0,'Données projet'!$E$12+1,1))</f>
        <v>609.60019207204277</v>
      </c>
      <c r="CE130" s="59">
        <f t="shared" si="94"/>
        <v>281.42238288764503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63.654846759929747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63.654846759929747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1.5999999999905867E-2</v>
      </c>
      <c r="CU130" s="17">
        <f>CT130*VLOOKUP('Données projet'!$B$13,Paramètres!$A$1:$I$89,3,0)*VLOOKUP('Données projet'!$B$13,Paramètres!$A$1:$I$89,5,0)</f>
        <v>1.2729599999925107E-2</v>
      </c>
      <c r="CV130" s="13">
        <f t="shared" si="95"/>
        <v>9.7491417338934176E-3</v>
      </c>
      <c r="CW130" s="20">
        <f t="shared" si="67"/>
        <v>3.9150475186400593E-2</v>
      </c>
      <c r="CX130" s="59">
        <f t="shared" si="68"/>
        <v>293.37248380851969</v>
      </c>
      <c r="CY130" s="59">
        <f ca="1">AVERAGE(OFFSET($CX$3,0,0,'Données projet'!$E$13+1,1))-AVERAGE(OFFSET($H$3,0,0,'Données projet'!$E$13+1,1))</f>
        <v>172.13940525084604</v>
      </c>
      <c r="CZ130" s="59">
        <f t="shared" si="96"/>
        <v>172.82328007157236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18.022981474763569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18.022981474763569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1.7053025658242404E-13</v>
      </c>
      <c r="DP130" s="17">
        <f>DO130*VLOOKUP('Données projet'!$B$14,Paramètres!$A$1:$I$89,3,0)*VLOOKUP('Données projet'!$B$14,Paramètres!$A$1:$I$89,5,0)</f>
        <v>1.250327841262333E-13</v>
      </c>
      <c r="DQ130" s="13">
        <f t="shared" si="97"/>
        <v>1.8301318724634299E-12</v>
      </c>
      <c r="DR130" s="20">
        <f t="shared" si="70"/>
        <v>3.405245110226996E-12</v>
      </c>
      <c r="DS130" s="59">
        <f t="shared" si="71"/>
        <v>293.33333333333672</v>
      </c>
      <c r="DT130" s="59">
        <f ca="1">AVERAGE(OFFSET($DS$3,0,0,'Données projet'!$E$14+1,1))-AVERAGE(OFFSET($H$3,0,0,'Données projet'!$E$14+1,1))</f>
        <v>197.34725966440715</v>
      </c>
      <c r="DU130" s="59">
        <f t="shared" si="98"/>
        <v>240.16326570529532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9.5220613873314299</v>
      </c>
      <c r="EB130" s="21">
        <f>EXP(-LN(2)/25)*EB129+(1-EXP(-LN(2)/25))/(LN(2)/25)*Calculateur!DW130*Calculateur!DY130*VLOOKUP('Données projet'!$B$14,Paramètres!$A$1:$I$89,3,0)*0.475*44/12</f>
        <v>3.6421976008348267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13.164258988166257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5.6843418860808015E-14</v>
      </c>
      <c r="EK130" s="17">
        <f>EJ130*VLOOKUP('Données projet'!$B$15,Paramètres!$A$1:$I$89,3,0)*VLOOKUP('Données projet'!$B$15,Paramètres!$A$1:$I$89,5,0)</f>
        <v>4.4337866711430253E-14</v>
      </c>
      <c r="EL130" s="13">
        <f t="shared" si="99"/>
        <v>7.3222115536967035E-13</v>
      </c>
      <c r="EM130" s="20">
        <f t="shared" si="73"/>
        <v>1.3525069634579169E-12</v>
      </c>
      <c r="EN130" s="59">
        <f t="shared" si="74"/>
        <v>293.33333333333468</v>
      </c>
      <c r="EO130" s="59">
        <f ca="1">AVERAGE(OFFSET($EN$3,0,0,'Données projet'!$E$15+1,1))-AVERAGE(OFFSET($H$3,0,0,'Données projet'!$E$15+1,1))</f>
        <v>288.82868507674738</v>
      </c>
      <c r="EP130" s="59">
        <f t="shared" si="100"/>
        <v>283.48738729114024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32.72017737032408</v>
      </c>
      <c r="EW130" s="21">
        <f>EXP(-LN(2)/25)*EW129+(1-EXP(-LN(2)/25))/(LN(2)/25)*Calculateur!ER130*Calculateur!ET130*VLOOKUP('Données projet'!$B$15,Paramètres!$A$1:$I$89,3,0)*0.475*44/12</f>
        <v>10.194445366849333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42.914622737173417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8.0699999999999985</v>
      </c>
      <c r="N131" s="13">
        <f>IF('Données projet'!$A$36&gt;35,N130+M131-V130,IF(A131&lt;'Données projet'!$A$36,$K$205^A131,IF(A131='Données projet'!$A$36,'Données projet'!$B$36,N130+M131-V130)))</f>
        <v>388.1700000000007</v>
      </c>
      <c r="O131" s="13">
        <f>N131*VLOOKUP('Données projet'!$B$9,Paramètres!$A$1:$I$89,3,0)*VLOOKUP('Données projet'!$B$9,Paramètres!$A$1:$I$89,5,0)</f>
        <v>351.2162160000006</v>
      </c>
      <c r="P131" s="13">
        <f t="shared" si="87"/>
        <v>81.812892161752615</v>
      </c>
      <c r="Q131" s="20">
        <f t="shared" ref="Q131:Q153" si="108">(O131+P131)*0.475*44/12</f>
        <v>754.19236338172016</v>
      </c>
      <c r="R131" s="59">
        <f t="shared" ref="R131:R194" si="109">Q131+(I131+J131)*44/12</f>
        <v>1047.5256967150535</v>
      </c>
      <c r="S131" s="59">
        <f ca="1">AVERAGE(OFFSET($R$3,0,0,'Données projet'!$E$9+1,1))-AVERAGE(OFFSET($H$3,0,0,'Données projet'!$E$9+1,1))</f>
        <v>581.88778927327667</v>
      </c>
      <c r="T131" s="59">
        <f t="shared" si="88"/>
        <v>269.67340993773422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59.337436300889166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59.337436300889166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1.7053025658242404E-13</v>
      </c>
      <c r="AJ131" s="13">
        <f>AI131*VLOOKUP('Données projet'!$B$10,Paramètres!$A$1:$I$89,3,0)*VLOOKUP('Données projet'!$B$10,Paramètres!$A$1:$I$89,5,0)</f>
        <v>1.1173142411280423E-13</v>
      </c>
      <c r="AK131" s="13">
        <f t="shared" si="89"/>
        <v>1.6569896290553793E-12</v>
      </c>
      <c r="AL131" s="20">
        <f t="shared" si="58"/>
        <v>3.0805225009345862E-12</v>
      </c>
      <c r="AM131" s="59">
        <f t="shared" si="59"/>
        <v>293.33333333333638</v>
      </c>
      <c r="AN131" s="59">
        <f ca="1">AVERAGE(OFFSET($AM$3,0,0,'Données projet'!$E$10+1,1))-AVERAGE(OFFSET($H$3,0,0,'Données projet'!$E$10+1,1))</f>
        <v>230.58262378842818</v>
      </c>
      <c r="AO131" s="59">
        <f t="shared" si="90"/>
        <v>235.68746142880792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26.043539553700679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26.043539553700679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351.2162160000006</v>
      </c>
      <c r="BF131" s="13">
        <f t="shared" si="91"/>
        <v>81.812892161752615</v>
      </c>
      <c r="BG131" s="20">
        <f t="shared" si="61"/>
        <v>754.19236338172016</v>
      </c>
      <c r="BH131" s="59">
        <f t="shared" si="62"/>
        <v>1047.5256967150535</v>
      </c>
      <c r="BI131" s="59">
        <f ca="1">AVERAGE(OFFSET($BH$3,0,0,'Données projet'!$E$11+1,1))-AVERAGE(OFFSET($H$3,0,0,'Données projet'!$E$11+1,1))</f>
        <v>581.88778927327667</v>
      </c>
      <c r="BJ131" s="59">
        <f t="shared" si="92"/>
        <v>269.67340993773422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59.337436300889166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59.337436300889166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369.38257200000066</v>
      </c>
      <c r="CA131" s="13">
        <f t="shared" si="93"/>
        <v>85.540978287700739</v>
      </c>
      <c r="CB131" s="20">
        <f t="shared" si="64"/>
        <v>792.32518341774664</v>
      </c>
      <c r="CC131" s="59">
        <f t="shared" si="65"/>
        <v>1085.65851675108</v>
      </c>
      <c r="CD131" s="59">
        <f ca="1">AVERAGE(OFFSET($CC$3,0,0,'Données projet'!$E$12+1,1))-AVERAGE(OFFSET($H$3,0,0,'Données projet'!$E$12+1,1))</f>
        <v>609.60019207204277</v>
      </c>
      <c r="CE131" s="59">
        <f t="shared" si="94"/>
        <v>281.42238288764503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62.406614040590334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62.406614040590334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1.5999999999905867E-2</v>
      </c>
      <c r="CU131" s="17">
        <f>CT131*VLOOKUP('Données projet'!$B$13,Paramètres!$A$1:$I$89,3,0)*VLOOKUP('Données projet'!$B$13,Paramètres!$A$1:$I$89,5,0)</f>
        <v>1.2729599999925107E-2</v>
      </c>
      <c r="CV131" s="13">
        <f t="shared" si="95"/>
        <v>9.7491417338934176E-3</v>
      </c>
      <c r="CW131" s="20">
        <f t="shared" si="67"/>
        <v>3.9150475186400593E-2</v>
      </c>
      <c r="CX131" s="59">
        <f t="shared" si="68"/>
        <v>293.37248380851969</v>
      </c>
      <c r="CY131" s="59">
        <f ca="1">AVERAGE(OFFSET($CX$3,0,0,'Données projet'!$E$13+1,1))-AVERAGE(OFFSET($H$3,0,0,'Données projet'!$E$13+1,1))</f>
        <v>172.13940525084604</v>
      </c>
      <c r="CZ131" s="59">
        <f t="shared" si="96"/>
        <v>172.82328007157236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17.669561800976691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17.669561800976691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1.7053025658242404E-13</v>
      </c>
      <c r="DP131" s="17">
        <f>DO131*VLOOKUP('Données projet'!$B$14,Paramètres!$A$1:$I$89,3,0)*VLOOKUP('Données projet'!$B$14,Paramètres!$A$1:$I$89,5,0)</f>
        <v>1.250327841262333E-13</v>
      </c>
      <c r="DQ131" s="13">
        <f t="shared" si="97"/>
        <v>1.8301318724634299E-12</v>
      </c>
      <c r="DR131" s="20">
        <f t="shared" si="70"/>
        <v>3.405245110226996E-12</v>
      </c>
      <c r="DS131" s="59">
        <f t="shared" si="71"/>
        <v>293.33333333333672</v>
      </c>
      <c r="DT131" s="59">
        <f ca="1">AVERAGE(OFFSET($DS$3,0,0,'Données projet'!$E$14+1,1))-AVERAGE(OFFSET($H$3,0,0,'Données projet'!$E$14+1,1))</f>
        <v>197.34725966440715</v>
      </c>
      <c r="DU131" s="59">
        <f t="shared" si="98"/>
        <v>240.16326570529532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9.3353395714098255</v>
      </c>
      <c r="EB131" s="21">
        <f>EXP(-LN(2)/25)*EB130+(1-EXP(-LN(2)/25))/(LN(2)/25)*Calculateur!DW131*Calculateur!DY131*VLOOKUP('Données projet'!$B$14,Paramètres!$A$1:$I$89,3,0)*0.475*44/12</f>
        <v>3.5426015159051509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12.877941087314976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5.6843418860808015E-14</v>
      </c>
      <c r="EK131" s="17">
        <f>EJ131*VLOOKUP('Données projet'!$B$15,Paramètres!$A$1:$I$89,3,0)*VLOOKUP('Données projet'!$B$15,Paramètres!$A$1:$I$89,5,0)</f>
        <v>4.4337866711430253E-14</v>
      </c>
      <c r="EL131" s="13">
        <f t="shared" si="99"/>
        <v>7.3222115536967035E-13</v>
      </c>
      <c r="EM131" s="20">
        <f t="shared" si="73"/>
        <v>1.3525069634579169E-12</v>
      </c>
      <c r="EN131" s="59">
        <f t="shared" si="74"/>
        <v>293.33333333333468</v>
      </c>
      <c r="EO131" s="59">
        <f ca="1">AVERAGE(OFFSET($EN$3,0,0,'Données projet'!$E$15+1,1))-AVERAGE(OFFSET($H$3,0,0,'Données projet'!$E$15+1,1))</f>
        <v>288.82868507674738</v>
      </c>
      <c r="EP131" s="59">
        <f t="shared" si="100"/>
        <v>283.48738729114024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32.078554649429599</v>
      </c>
      <c r="EW131" s="21">
        <f>EXP(-LN(2)/25)*EW130+(1-EXP(-LN(2)/25))/(LN(2)/25)*Calculateur!ER131*Calculateur!ET131*VLOOKUP('Données projet'!$B$15,Paramètres!$A$1:$I$89,3,0)*0.475*44/12</f>
        <v>9.9156777221902566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41.994232371619859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8.0699999999999985</v>
      </c>
      <c r="N132" s="13">
        <f>IF('Données projet'!$A$36&gt;35,N131+M132-V131,IF(A132&lt;'Données projet'!$A$36,$K$205^A132,IF(A132='Données projet'!$A$36,'Données projet'!$B$36,N131+M132-V131)))</f>
        <v>396.24000000000069</v>
      </c>
      <c r="O132" s="13">
        <f>N132*VLOOKUP('Données projet'!$B$9,Paramètres!$A$1:$I$89,3,0)*VLOOKUP('Données projet'!$B$9,Paramètres!$A$1:$I$89,5,0)</f>
        <v>358.51795200000061</v>
      </c>
      <c r="P132" s="13">
        <f t="shared" si="87"/>
        <v>83.313983934777241</v>
      </c>
      <c r="Q132" s="20">
        <f t="shared" si="108"/>
        <v>769.52395508640473</v>
      </c>
      <c r="R132" s="59">
        <f t="shared" si="109"/>
        <v>1062.8572884197381</v>
      </c>
      <c r="S132" s="59">
        <f ca="1">AVERAGE(OFFSET($R$3,0,0,'Données projet'!$E$9+1,1))-AVERAGE(OFFSET($H$3,0,0,'Données projet'!$E$9+1,1))</f>
        <v>581.88778927327667</v>
      </c>
      <c r="T132" s="59">
        <f t="shared" si="88"/>
        <v>269.67340993773422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58.173865367291185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58.173865367291185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1.7053025658242404E-13</v>
      </c>
      <c r="AJ132" s="13">
        <f>AI132*VLOOKUP('Données projet'!$B$10,Paramètres!$A$1:$I$89,3,0)*VLOOKUP('Données projet'!$B$10,Paramètres!$A$1:$I$89,5,0)</f>
        <v>1.1173142411280423E-13</v>
      </c>
      <c r="AK132" s="13">
        <f t="shared" si="89"/>
        <v>1.6569896290553793E-12</v>
      </c>
      <c r="AL132" s="20">
        <f t="shared" ref="AL132:AL153" si="112">(AJ132+AK132)*0.475*44/12</f>
        <v>3.0805225009345862E-12</v>
      </c>
      <c r="AM132" s="59">
        <f t="shared" ref="AM132:AM195" si="113">AL132+(AD132+AE132)*44/12</f>
        <v>293.33333333333638</v>
      </c>
      <c r="AN132" s="59">
        <f ca="1">AVERAGE(OFFSET($AM$3,0,0,'Données projet'!$E$10+1,1))-AVERAGE(OFFSET($H$3,0,0,'Données projet'!$E$10+1,1))</f>
        <v>230.58262378842818</v>
      </c>
      <c r="AO132" s="59">
        <f t="shared" si="90"/>
        <v>235.68746142880792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25.532841628043222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25.532841628043222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358.51795200000061</v>
      </c>
      <c r="BF132" s="13">
        <f t="shared" si="91"/>
        <v>83.313983934777241</v>
      </c>
      <c r="BG132" s="20">
        <f t="shared" ref="BG132:BG153" si="115">(BE132+BF132)*0.475*44/12</f>
        <v>769.52395508640473</v>
      </c>
      <c r="BH132" s="59">
        <f t="shared" ref="BH132:BH195" si="116">BG132+(AY132+AZ132)*44/12</f>
        <v>1062.8572884197381</v>
      </c>
      <c r="BI132" s="59">
        <f ca="1">AVERAGE(OFFSET($BH$3,0,0,'Données projet'!$E$11+1,1))-AVERAGE(OFFSET($H$3,0,0,'Données projet'!$E$11+1,1))</f>
        <v>581.88778927327667</v>
      </c>
      <c r="BJ132" s="59">
        <f t="shared" si="92"/>
        <v>269.67340993773422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58.173865367291185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58.173865367291185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377.06198400000068</v>
      </c>
      <c r="CA132" s="13">
        <f t="shared" si="93"/>
        <v>87.11047247585725</v>
      </c>
      <c r="CB132" s="20">
        <f t="shared" ref="CB132:CB153" si="118">(BZ132+CA132)*0.475*44/12</f>
        <v>808.43369502878579</v>
      </c>
      <c r="CC132" s="59">
        <f t="shared" ref="CC132:CC195" si="119">CB132+(BT132+BU132)*44/12</f>
        <v>1101.7670283621192</v>
      </c>
      <c r="CD132" s="59">
        <f ca="1">AVERAGE(OFFSET($CC$3,0,0,'Données projet'!$E$12+1,1))-AVERAGE(OFFSET($H$3,0,0,'Données projet'!$E$12+1,1))</f>
        <v>609.60019207204277</v>
      </c>
      <c r="CE132" s="59">
        <f t="shared" si="94"/>
        <v>281.42238288764503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61.182858403530389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61.182858403530389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1.5999999999905867E-2</v>
      </c>
      <c r="CU132" s="17">
        <f>CT132*VLOOKUP('Données projet'!$B$13,Paramètres!$A$1:$I$89,3,0)*VLOOKUP('Données projet'!$B$13,Paramètres!$A$1:$I$89,5,0)</f>
        <v>1.2729599999925107E-2</v>
      </c>
      <c r="CV132" s="13">
        <f t="shared" si="95"/>
        <v>9.7491417338934176E-3</v>
      </c>
      <c r="CW132" s="20">
        <f t="shared" ref="CW132:CW153" si="121">(CU132+CV132)*0.475*44/12</f>
        <v>3.9150475186400593E-2</v>
      </c>
      <c r="CX132" s="59">
        <f t="shared" ref="CX132:CX195" si="122">CW132+(CO132+CP132)*44/12</f>
        <v>293.37248380851969</v>
      </c>
      <c r="CY132" s="59">
        <f ca="1">AVERAGE(OFFSET($CX$3,0,0,'Données projet'!$E$13+1,1))-AVERAGE(OFFSET($H$3,0,0,'Données projet'!$E$13+1,1))</f>
        <v>172.13940525084604</v>
      </c>
      <c r="CZ132" s="59">
        <f t="shared" si="96"/>
        <v>172.82328007157236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17.323072471428059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17.323072471428059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1.7053025658242404E-13</v>
      </c>
      <c r="DP132" s="17">
        <f>DO132*VLOOKUP('Données projet'!$B$14,Paramètres!$A$1:$I$89,3,0)*VLOOKUP('Données projet'!$B$14,Paramètres!$A$1:$I$89,5,0)</f>
        <v>1.250327841262333E-13</v>
      </c>
      <c r="DQ132" s="13">
        <f t="shared" si="97"/>
        <v>1.8301318724634299E-12</v>
      </c>
      <c r="DR132" s="20">
        <f t="shared" ref="DR132:DR153" si="124">(DP132+DQ132)*0.475*44/12</f>
        <v>3.405245110226996E-12</v>
      </c>
      <c r="DS132" s="59">
        <f t="shared" ref="DS132:DS195" si="125">DR132+(DJ132+DK132)*44/12</f>
        <v>293.33333333333672</v>
      </c>
      <c r="DT132" s="59">
        <f ca="1">AVERAGE(OFFSET($DS$3,0,0,'Données projet'!$E$14+1,1))-AVERAGE(OFFSET($H$3,0,0,'Données projet'!$E$14+1,1))</f>
        <v>197.34725966440715</v>
      </c>
      <c r="DU132" s="59">
        <f t="shared" si="98"/>
        <v>240.16326570529532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9.1522792564093827</v>
      </c>
      <c r="EB132" s="21">
        <f>EXP(-LN(2)/25)*EB131+(1-EXP(-LN(2)/25))/(LN(2)/25)*Calculateur!DW132*Calculateur!DY132*VLOOKUP('Données projet'!$B$14,Paramètres!$A$1:$I$89,3,0)*0.475*44/12</f>
        <v>3.4457288911554076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12.598008147564791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5.6843418860808015E-14</v>
      </c>
      <c r="EK132" s="17">
        <f>EJ132*VLOOKUP('Données projet'!$B$15,Paramètres!$A$1:$I$89,3,0)*VLOOKUP('Données projet'!$B$15,Paramètres!$A$1:$I$89,5,0)</f>
        <v>4.4337866711430253E-14</v>
      </c>
      <c r="EL132" s="13">
        <f t="shared" si="99"/>
        <v>7.3222115536967035E-13</v>
      </c>
      <c r="EM132" s="20">
        <f t="shared" ref="EM132:EM153" si="127">(EK132+EL132)*0.475*44/12</f>
        <v>1.3525069634579169E-12</v>
      </c>
      <c r="EN132" s="59">
        <f t="shared" ref="EN132:EN195" si="128">EM132+(EE132+EF132)*44/12</f>
        <v>293.33333333333468</v>
      </c>
      <c r="EO132" s="59">
        <f ca="1">AVERAGE(OFFSET($EN$3,0,0,'Données projet'!$E$15+1,1))-AVERAGE(OFFSET($H$3,0,0,'Données projet'!$E$15+1,1))</f>
        <v>288.82868507674738</v>
      </c>
      <c r="EP132" s="59">
        <f t="shared" si="100"/>
        <v>283.48738729114024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31.44951375874064</v>
      </c>
      <c r="EW132" s="21">
        <f>EXP(-LN(2)/25)*EW131+(1-EXP(-LN(2)/25))/(LN(2)/25)*Calculateur!ER132*Calculateur!ET132*VLOOKUP('Données projet'!$B$15,Paramètres!$A$1:$I$89,3,0)*0.475*44/12</f>
        <v>9.6445329934341348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41.094046752174776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8.0699999999999985</v>
      </c>
      <c r="N133" s="13">
        <f>IF('Données projet'!$A$36&gt;35,N132+M133-V132,IF(A133&lt;'Données projet'!$A$36,$K$205^A133,IF(A133='Données projet'!$A$36,'Données projet'!$B$36,N132+M133-V132)))</f>
        <v>404.31000000000068</v>
      </c>
      <c r="O133" s="13">
        <f>N133*VLOOKUP('Données projet'!$B$9,Paramètres!$A$1:$I$89,3,0)*VLOOKUP('Données projet'!$B$9,Paramètres!$A$1:$I$89,5,0)</f>
        <v>365.81968800000061</v>
      </c>
      <c r="P133" s="13">
        <f t="shared" ref="P133:P196" si="141">EXP(-1.0587+0.8836*LN(O133)+0.284)</f>
        <v>84.811521093342051</v>
      </c>
      <c r="Q133" s="20">
        <f t="shared" si="108"/>
        <v>784.84935583757169</v>
      </c>
      <c r="R133" s="59">
        <f t="shared" si="109"/>
        <v>1078.182689170905</v>
      </c>
      <c r="S133" s="59">
        <f ca="1">AVERAGE(OFFSET($R$3,0,0,'Données projet'!$E$9+1,1))-AVERAGE(OFFSET($H$3,0,0,'Données projet'!$E$9+1,1))</f>
        <v>581.88778927327667</v>
      </c>
      <c r="T133" s="59">
        <f t="shared" ref="T133:T196" si="142">$T$3</f>
        <v>269.67340993773422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57.033111349992865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57.033111349992865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1.7053025658242404E-13</v>
      </c>
      <c r="AJ133" s="13">
        <f>AI133*VLOOKUP('Données projet'!$B$10,Paramètres!$A$1:$I$89,3,0)*VLOOKUP('Données projet'!$B$10,Paramètres!$A$1:$I$89,5,0)</f>
        <v>1.1173142411280423E-13</v>
      </c>
      <c r="AK133" s="13">
        <f t="shared" ref="AK133:AK153" si="143">EXP(-1.0587+0.8836*LN(AJ133)+0.284)</f>
        <v>1.6569896290553793E-12</v>
      </c>
      <c r="AL133" s="20">
        <f t="shared" si="112"/>
        <v>3.0805225009345862E-12</v>
      </c>
      <c r="AM133" s="59">
        <f t="shared" si="113"/>
        <v>293.33333333333638</v>
      </c>
      <c r="AN133" s="59">
        <f ca="1">AVERAGE(OFFSET($AM$3,0,0,'Données projet'!$E$10+1,1))-AVERAGE(OFFSET($H$3,0,0,'Données projet'!$E$10+1,1))</f>
        <v>230.58262378842818</v>
      </c>
      <c r="AO133" s="59">
        <f t="shared" ref="AO133:AO196" si="144">$AO$3</f>
        <v>235.68746142880792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25.032158177212931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25.032158177212931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365.81968800000061</v>
      </c>
      <c r="BF133" s="13">
        <f t="shared" ref="BF133:BF153" si="145">EXP(-1.0587+0.8836*LN(BE133)+0.284)</f>
        <v>84.811521093342051</v>
      </c>
      <c r="BG133" s="20">
        <f t="shared" si="115"/>
        <v>784.84935583757169</v>
      </c>
      <c r="BH133" s="59">
        <f t="shared" si="116"/>
        <v>1078.182689170905</v>
      </c>
      <c r="BI133" s="59">
        <f ca="1">AVERAGE(OFFSET($BH$3,0,0,'Données projet'!$E$11+1,1))-AVERAGE(OFFSET($H$3,0,0,'Données projet'!$E$11+1,1))</f>
        <v>581.88778927327667</v>
      </c>
      <c r="BJ133" s="59">
        <f t="shared" ref="BJ133:BJ196" si="146">$BJ$3</f>
        <v>269.67340993773422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57.033111349992865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57.033111349992865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384.74139600000069</v>
      </c>
      <c r="CA133" s="13">
        <f t="shared" ref="CA133:CA153" si="147">EXP(-1.0587+0.8836*LN(BZ133)+0.284)</f>
        <v>88.676250071306981</v>
      </c>
      <c r="CB133" s="20">
        <f t="shared" si="118"/>
        <v>824.53573357419418</v>
      </c>
      <c r="CC133" s="59">
        <f t="shared" si="119"/>
        <v>1117.8690669075274</v>
      </c>
      <c r="CD133" s="59">
        <f ca="1">AVERAGE(OFFSET($CC$3,0,0,'Données projet'!$E$12+1,1))-AVERAGE(OFFSET($H$3,0,0,'Données projet'!$E$12+1,1))</f>
        <v>609.60019207204277</v>
      </c>
      <c r="CE133" s="59">
        <f t="shared" ref="CE133:CE196" si="148">$CE$3</f>
        <v>281.42238288764503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59.983099868095955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59.983099868095955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1.5999999999905867E-2</v>
      </c>
      <c r="CU133" s="17">
        <f>CT133*VLOOKUP('Données projet'!$B$13,Paramètres!$A$1:$I$89,3,0)*VLOOKUP('Données projet'!$B$13,Paramètres!$A$1:$I$89,5,0)</f>
        <v>1.2729599999925107E-2</v>
      </c>
      <c r="CV133" s="13">
        <f t="shared" ref="CV133:CV153" si="149">EXP(-1.0587+0.8836*LN(CU133)+0.284)</f>
        <v>9.7491417338934176E-3</v>
      </c>
      <c r="CW133" s="20">
        <f t="shared" si="121"/>
        <v>3.9150475186400593E-2</v>
      </c>
      <c r="CX133" s="59">
        <f t="shared" si="122"/>
        <v>293.37248380851969</v>
      </c>
      <c r="CY133" s="59">
        <f ca="1">AVERAGE(OFFSET($CX$3,0,0,'Données projet'!$E$13+1,1))-AVERAGE(OFFSET($H$3,0,0,'Données projet'!$E$13+1,1))</f>
        <v>172.13940525084604</v>
      </c>
      <c r="CZ133" s="59">
        <f t="shared" ref="CZ133:CZ196" si="150">$CZ$3</f>
        <v>172.82328007157236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16.983377586294253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16.983377586294253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1.7053025658242404E-13</v>
      </c>
      <c r="DP133" s="17">
        <f>DO133*VLOOKUP('Données projet'!$B$14,Paramètres!$A$1:$I$89,3,0)*VLOOKUP('Données projet'!$B$14,Paramètres!$A$1:$I$89,5,0)</f>
        <v>1.250327841262333E-13</v>
      </c>
      <c r="DQ133" s="13">
        <f t="shared" ref="DQ133:DQ153" si="151">EXP(-1.0587+0.8836*LN(DP133)+0.284)</f>
        <v>1.8301318724634299E-12</v>
      </c>
      <c r="DR133" s="20">
        <f t="shared" si="124"/>
        <v>3.405245110226996E-12</v>
      </c>
      <c r="DS133" s="59">
        <f t="shared" si="125"/>
        <v>293.33333333333672</v>
      </c>
      <c r="DT133" s="59">
        <f ca="1">AVERAGE(OFFSET($DS$3,0,0,'Données projet'!$E$14+1,1))-AVERAGE(OFFSET($H$3,0,0,'Données projet'!$E$14+1,1))</f>
        <v>197.34725966440715</v>
      </c>
      <c r="DU133" s="59">
        <f t="shared" ref="DU133:DU196" si="152">$DU$3</f>
        <v>240.16326570529532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8.9728086425303317</v>
      </c>
      <c r="EB133" s="21">
        <f>EXP(-LN(2)/25)*EB132+(1-EXP(-LN(2)/25))/(LN(2)/25)*Calculateur!DW133*Calculateur!DY133*VLOOKUP('Données projet'!$B$14,Paramètres!$A$1:$I$89,3,0)*0.475*44/12</f>
        <v>3.3515052534237557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12.324313895954088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5.6843418860808015E-14</v>
      </c>
      <c r="EK133" s="17">
        <f>EJ133*VLOOKUP('Données projet'!$B$15,Paramètres!$A$1:$I$89,3,0)*VLOOKUP('Données projet'!$B$15,Paramètres!$A$1:$I$89,5,0)</f>
        <v>4.4337866711430253E-14</v>
      </c>
      <c r="EL133" s="13">
        <f t="shared" ref="EL133:EL153" si="153">EXP(-1.0587+0.8836*LN(EK133)+0.284)</f>
        <v>7.3222115536967035E-13</v>
      </c>
      <c r="EM133" s="20">
        <f t="shared" si="127"/>
        <v>1.3525069634579169E-12</v>
      </c>
      <c r="EN133" s="59">
        <f t="shared" si="128"/>
        <v>293.33333333333468</v>
      </c>
      <c r="EO133" s="59">
        <f ca="1">AVERAGE(OFFSET($EN$3,0,0,'Données projet'!$E$15+1,1))-AVERAGE(OFFSET($H$3,0,0,'Données projet'!$E$15+1,1))</f>
        <v>288.82868507674738</v>
      </c>
      <c r="EP133" s="59">
        <f t="shared" ref="EP133:EP196" si="154">$EP$3</f>
        <v>283.48738729114024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30.832807976241032</v>
      </c>
      <c r="EW133" s="21">
        <f>EXP(-LN(2)/25)*EW132+(1-EXP(-LN(2)/25))/(LN(2)/25)*Calculateur!ER133*Calculateur!ET133*VLOOKUP('Données projet'!$B$15,Paramètres!$A$1:$I$89,3,0)*0.475*44/12</f>
        <v>9.3808027315447315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40.213610707785762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8.0699999999999985</v>
      </c>
      <c r="N134" s="13">
        <f>IF('Données projet'!$A$36&gt;35,N133+M134-V133,IF(A134&lt;'Données projet'!$A$36,$K$205^A134,IF(A134='Données projet'!$A$36,'Données projet'!$B$36,N133+M134-V133)))</f>
        <v>412.38000000000068</v>
      </c>
      <c r="O134" s="13">
        <f>N134*VLOOKUP('Données projet'!$B$9,Paramètres!$A$1:$I$89,3,0)*VLOOKUP('Données projet'!$B$9,Paramètres!$A$1:$I$89,5,0)</f>
        <v>373.12142400000062</v>
      </c>
      <c r="P134" s="13">
        <f t="shared" si="141"/>
        <v>86.305582764533938</v>
      </c>
      <c r="Q134" s="20">
        <f t="shared" si="108"/>
        <v>800.16870344823099</v>
      </c>
      <c r="R134" s="59">
        <f t="shared" si="109"/>
        <v>1093.5020367815644</v>
      </c>
      <c r="S134" s="59">
        <f ca="1">AVERAGE(OFFSET($R$3,0,0,'Données projet'!$E$9+1,1))-AVERAGE(OFFSET($H$3,0,0,'Données projet'!$E$9+1,1))</f>
        <v>581.88778927327667</v>
      </c>
      <c r="T134" s="59">
        <f t="shared" si="142"/>
        <v>269.67340993773422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55.914726823182519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55.914726823182519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1.7053025658242404E-13</v>
      </c>
      <c r="AJ134" s="13">
        <f>AI134*VLOOKUP('Données projet'!$B$10,Paramètres!$A$1:$I$89,3,0)*VLOOKUP('Données projet'!$B$10,Paramètres!$A$1:$I$89,5,0)</f>
        <v>1.1173142411280423E-13</v>
      </c>
      <c r="AK134" s="13">
        <f t="shared" si="143"/>
        <v>1.6569896290553793E-12</v>
      </c>
      <c r="AL134" s="20">
        <f t="shared" si="112"/>
        <v>3.0805225009345862E-12</v>
      </c>
      <c r="AM134" s="59">
        <f t="shared" si="113"/>
        <v>293.33333333333638</v>
      </c>
      <c r="AN134" s="59">
        <f ca="1">AVERAGE(OFFSET($AM$3,0,0,'Données projet'!$E$10+1,1))-AVERAGE(OFFSET($H$3,0,0,'Données projet'!$E$10+1,1))</f>
        <v>230.58262378842818</v>
      </c>
      <c r="AO134" s="59">
        <f t="shared" si="144"/>
        <v>235.68746142880792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24.541292823466673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24.541292823466673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373.12142400000062</v>
      </c>
      <c r="BF134" s="13">
        <f t="shared" si="145"/>
        <v>86.305582764533938</v>
      </c>
      <c r="BG134" s="20">
        <f t="shared" si="115"/>
        <v>800.16870344823099</v>
      </c>
      <c r="BH134" s="59">
        <f t="shared" si="116"/>
        <v>1093.5020367815644</v>
      </c>
      <c r="BI134" s="59">
        <f ca="1">AVERAGE(OFFSET($BH$3,0,0,'Données projet'!$E$11+1,1))-AVERAGE(OFFSET($H$3,0,0,'Données projet'!$E$11+1,1))</f>
        <v>581.88778927327667</v>
      </c>
      <c r="BJ134" s="59">
        <f t="shared" si="146"/>
        <v>269.67340993773422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55.914726823182519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55.914726823182519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392.42080800000065</v>
      </c>
      <c r="CA134" s="13">
        <f t="shared" si="147"/>
        <v>90.238393806835077</v>
      </c>
      <c r="CB134" s="20">
        <f t="shared" si="118"/>
        <v>840.63144314690555</v>
      </c>
      <c r="CC134" s="59">
        <f t="shared" si="119"/>
        <v>1133.9647764802389</v>
      </c>
      <c r="CD134" s="59">
        <f ca="1">AVERAGE(OFFSET($CC$3,0,0,'Données projet'!$E$12+1,1))-AVERAGE(OFFSET($H$3,0,0,'Données projet'!$E$12+1,1))</f>
        <v>609.60019207204277</v>
      </c>
      <c r="CE134" s="59">
        <f t="shared" si="148"/>
        <v>281.42238288764503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58.806867865760935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58.806867865760935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1.5999999999905867E-2</v>
      </c>
      <c r="CU134" s="17">
        <f>CT134*VLOOKUP('Données projet'!$B$13,Paramètres!$A$1:$I$89,3,0)*VLOOKUP('Données projet'!$B$13,Paramètres!$A$1:$I$89,5,0)</f>
        <v>1.2729599999925107E-2</v>
      </c>
      <c r="CV134" s="13">
        <f t="shared" si="149"/>
        <v>9.7491417338934176E-3</v>
      </c>
      <c r="CW134" s="20">
        <f t="shared" si="121"/>
        <v>3.9150475186400593E-2</v>
      </c>
      <c r="CX134" s="59">
        <f t="shared" si="122"/>
        <v>293.37248380851969</v>
      </c>
      <c r="CY134" s="59">
        <f ca="1">AVERAGE(OFFSET($CX$3,0,0,'Données projet'!$E$13+1,1))-AVERAGE(OFFSET($H$3,0,0,'Données projet'!$E$13+1,1))</f>
        <v>172.13940525084604</v>
      </c>
      <c r="CZ134" s="59">
        <f t="shared" si="150"/>
        <v>172.82328007157236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16.6503439106645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16.6503439106645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1.7053025658242404E-13</v>
      </c>
      <c r="DP134" s="17">
        <f>DO134*VLOOKUP('Données projet'!$B$14,Paramètres!$A$1:$I$89,3,0)*VLOOKUP('Données projet'!$B$14,Paramètres!$A$1:$I$89,5,0)</f>
        <v>1.250327841262333E-13</v>
      </c>
      <c r="DQ134" s="13">
        <f t="shared" si="151"/>
        <v>1.8301318724634299E-12</v>
      </c>
      <c r="DR134" s="20">
        <f t="shared" si="124"/>
        <v>3.405245110226996E-12</v>
      </c>
      <c r="DS134" s="59">
        <f t="shared" si="125"/>
        <v>293.33333333333672</v>
      </c>
      <c r="DT134" s="59">
        <f ca="1">AVERAGE(OFFSET($DS$3,0,0,'Données projet'!$E$14+1,1))-AVERAGE(OFFSET($H$3,0,0,'Données projet'!$E$14+1,1))</f>
        <v>197.34725966440715</v>
      </c>
      <c r="DU134" s="59">
        <f t="shared" si="152"/>
        <v>240.16326570529532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8.796857337923182</v>
      </c>
      <c r="EB134" s="21">
        <f>EXP(-LN(2)/25)*EB133+(1-EXP(-LN(2)/25))/(LN(2)/25)*Calculateur!DW134*Calculateur!DY134*VLOOKUP('Données projet'!$B$14,Paramètres!$A$1:$I$89,3,0)*0.475*44/12</f>
        <v>3.2598581660208819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12.056715503944064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5.6843418860808015E-14</v>
      </c>
      <c r="EK134" s="17">
        <f>EJ134*VLOOKUP('Données projet'!$B$15,Paramètres!$A$1:$I$89,3,0)*VLOOKUP('Données projet'!$B$15,Paramètres!$A$1:$I$89,5,0)</f>
        <v>4.4337866711430253E-14</v>
      </c>
      <c r="EL134" s="13">
        <f t="shared" si="153"/>
        <v>7.3222115536967035E-13</v>
      </c>
      <c r="EM134" s="20">
        <f t="shared" si="127"/>
        <v>1.3525069634579169E-12</v>
      </c>
      <c r="EN134" s="59">
        <f t="shared" si="128"/>
        <v>293.33333333333468</v>
      </c>
      <c r="EO134" s="59">
        <f ca="1">AVERAGE(OFFSET($EN$3,0,0,'Données projet'!$E$15+1,1))-AVERAGE(OFFSET($H$3,0,0,'Données projet'!$E$15+1,1))</f>
        <v>288.82868507674738</v>
      </c>
      <c r="EP134" s="59">
        <f t="shared" si="154"/>
        <v>283.48738729114024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30.228195417982857</v>
      </c>
      <c r="EW134" s="21">
        <f>EXP(-LN(2)/25)*EW133+(1-EXP(-LN(2)/25))/(LN(2)/25)*Calculateur!ER134*Calculateur!ET134*VLOOKUP('Données projet'!$B$15,Paramètres!$A$1:$I$89,3,0)*0.475*44/12</f>
        <v>9.1242841875356646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39.352479605518525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8.0699999999999985</v>
      </c>
      <c r="N135" s="13">
        <f>IF('Données projet'!$A$36&gt;35,N134+M135-V134,IF(A135&lt;'Données projet'!$A$36,$K$205^A135,IF(A135='Données projet'!$A$36,'Données projet'!$B$36,N134+M135-V134)))</f>
        <v>420.45000000000067</v>
      </c>
      <c r="O135" s="13">
        <f>N135*VLOOKUP('Données projet'!$B$9,Paramètres!$A$1:$I$89,3,0)*VLOOKUP('Données projet'!$B$9,Paramètres!$A$1:$I$89,5,0)</f>
        <v>380.42316000000056</v>
      </c>
      <c r="P135" s="13">
        <f t="shared" si="141"/>
        <v>87.79624480137376</v>
      </c>
      <c r="Q135" s="20">
        <f t="shared" si="108"/>
        <v>815.48213002906016</v>
      </c>
      <c r="R135" s="59">
        <f t="shared" si="109"/>
        <v>1108.8154633623935</v>
      </c>
      <c r="S135" s="59">
        <f ca="1">AVERAGE(OFFSET($R$3,0,0,'Données projet'!$E$9+1,1))-AVERAGE(OFFSET($H$3,0,0,'Données projet'!$E$9+1,1))</f>
        <v>581.88778927327667</v>
      </c>
      <c r="T135" s="59">
        <f t="shared" si="142"/>
        <v>269.67340993773422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54.818273134795724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54.818273134795724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1.7053025658242404E-13</v>
      </c>
      <c r="AJ135" s="13">
        <f>AI135*VLOOKUP('Données projet'!$B$10,Paramètres!$A$1:$I$89,3,0)*VLOOKUP('Données projet'!$B$10,Paramètres!$A$1:$I$89,5,0)</f>
        <v>1.1173142411280423E-13</v>
      </c>
      <c r="AK135" s="13">
        <f t="shared" si="143"/>
        <v>1.6569896290553793E-12</v>
      </c>
      <c r="AL135" s="20">
        <f t="shared" si="112"/>
        <v>3.0805225009345862E-12</v>
      </c>
      <c r="AM135" s="59">
        <f t="shared" si="113"/>
        <v>293.33333333333638</v>
      </c>
      <c r="AN135" s="59">
        <f ca="1">AVERAGE(OFFSET($AM$3,0,0,'Données projet'!$E$10+1,1))-AVERAGE(OFFSET($H$3,0,0,'Données projet'!$E$10+1,1))</f>
        <v>230.58262378842818</v>
      </c>
      <c r="AO135" s="59">
        <f t="shared" si="144"/>
        <v>235.68746142880792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24.060053039909075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24.060053039909075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380.42316000000056</v>
      </c>
      <c r="BF135" s="13">
        <f t="shared" si="145"/>
        <v>87.79624480137376</v>
      </c>
      <c r="BG135" s="20">
        <f t="shared" si="115"/>
        <v>815.48213002906016</v>
      </c>
      <c r="BH135" s="59">
        <f t="shared" si="116"/>
        <v>1108.8154633623935</v>
      </c>
      <c r="BI135" s="59">
        <f ca="1">AVERAGE(OFFSET($BH$3,0,0,'Données projet'!$E$11+1,1))-AVERAGE(OFFSET($H$3,0,0,'Données projet'!$E$11+1,1))</f>
        <v>581.88778927327667</v>
      </c>
      <c r="BJ135" s="59">
        <f t="shared" si="146"/>
        <v>269.67340993773422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54.818273134795724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54.818273134795724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400.1002200000006</v>
      </c>
      <c r="CA135" s="13">
        <f t="shared" si="147"/>
        <v>91.796982991966303</v>
      </c>
      <c r="CB135" s="20">
        <f t="shared" si="118"/>
        <v>856.72096187767556</v>
      </c>
      <c r="CC135" s="59">
        <f t="shared" si="119"/>
        <v>1150.0542952110088</v>
      </c>
      <c r="CD135" s="59">
        <f ca="1">AVERAGE(OFFSET($CC$3,0,0,'Données projet'!$E$12+1,1))-AVERAGE(OFFSET($H$3,0,0,'Données projet'!$E$12+1,1))</f>
        <v>609.60019207204277</v>
      </c>
      <c r="CE135" s="59">
        <f t="shared" si="148"/>
        <v>281.42238288764503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57.653701055561029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57.653701055561029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1.5999999999905867E-2</v>
      </c>
      <c r="CU135" s="17">
        <f>CT135*VLOOKUP('Données projet'!$B$13,Paramètres!$A$1:$I$89,3,0)*VLOOKUP('Données projet'!$B$13,Paramètres!$A$1:$I$89,5,0)</f>
        <v>1.2729599999925107E-2</v>
      </c>
      <c r="CV135" s="13">
        <f t="shared" si="149"/>
        <v>9.7491417338934176E-3</v>
      </c>
      <c r="CW135" s="20">
        <f t="shared" si="121"/>
        <v>3.9150475186400593E-2</v>
      </c>
      <c r="CX135" s="59">
        <f t="shared" si="122"/>
        <v>293.37248380851969</v>
      </c>
      <c r="CY135" s="59">
        <f ca="1">AVERAGE(OFFSET($CX$3,0,0,'Données projet'!$E$13+1,1))-AVERAGE(OFFSET($H$3,0,0,'Données projet'!$E$13+1,1))</f>
        <v>172.13940525084604</v>
      </c>
      <c r="CZ135" s="59">
        <f t="shared" si="150"/>
        <v>172.82328007157236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16.323840822283362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16.323840822283362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1.7053025658242404E-13</v>
      </c>
      <c r="DP135" s="17">
        <f>DO135*VLOOKUP('Données projet'!$B$14,Paramètres!$A$1:$I$89,3,0)*VLOOKUP('Données projet'!$B$14,Paramètres!$A$1:$I$89,5,0)</f>
        <v>1.250327841262333E-13</v>
      </c>
      <c r="DQ135" s="13">
        <f t="shared" si="151"/>
        <v>1.8301318724634299E-12</v>
      </c>
      <c r="DR135" s="20">
        <f t="shared" si="124"/>
        <v>3.405245110226996E-12</v>
      </c>
      <c r="DS135" s="59">
        <f t="shared" si="125"/>
        <v>293.33333333333672</v>
      </c>
      <c r="DT135" s="59">
        <f ca="1">AVERAGE(OFFSET($DS$3,0,0,'Données projet'!$E$14+1,1))-AVERAGE(OFFSET($H$3,0,0,'Données projet'!$E$14+1,1))</f>
        <v>197.34725966440715</v>
      </c>
      <c r="DU135" s="59">
        <f t="shared" si="152"/>
        <v>240.16326570529532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8.6243563310796798</v>
      </c>
      <c r="EB135" s="21">
        <f>EXP(-LN(2)/25)*EB134+(1-EXP(-LN(2)/25))/(LN(2)/25)*Calculateur!DW135*Calculateur!DY135*VLOOKUP('Données projet'!$B$14,Paramètres!$A$1:$I$89,3,0)*0.475*44/12</f>
        <v>3.1707171730425503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11.795073504122231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5.6843418860808015E-14</v>
      </c>
      <c r="EK135" s="17">
        <f>EJ135*VLOOKUP('Données projet'!$B$15,Paramètres!$A$1:$I$89,3,0)*VLOOKUP('Données projet'!$B$15,Paramètres!$A$1:$I$89,5,0)</f>
        <v>4.4337866711430253E-14</v>
      </c>
      <c r="EL135" s="13">
        <f t="shared" si="153"/>
        <v>7.3222115536967035E-13</v>
      </c>
      <c r="EM135" s="20">
        <f t="shared" si="127"/>
        <v>1.3525069634579169E-12</v>
      </c>
      <c r="EN135" s="59">
        <f t="shared" si="128"/>
        <v>293.33333333333468</v>
      </c>
      <c r="EO135" s="59">
        <f ca="1">AVERAGE(OFFSET($EN$3,0,0,'Données projet'!$E$15+1,1))-AVERAGE(OFFSET($H$3,0,0,'Données projet'!$E$15+1,1))</f>
        <v>288.82868507674738</v>
      </c>
      <c r="EP135" s="59">
        <f t="shared" si="154"/>
        <v>283.48738729114024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29.635438943214879</v>
      </c>
      <c r="EW135" s="21">
        <f>EXP(-LN(2)/25)*EW134+(1-EXP(-LN(2)/25))/(LN(2)/25)*Calculateur!ER135*Calculateur!ET135*VLOOKUP('Données projet'!$B$15,Paramètres!$A$1:$I$89,3,0)*0.475*44/12</f>
        <v>8.8747801566022506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38.510219099817128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8.0699999999999985</v>
      </c>
      <c r="N136" s="13">
        <f>IF('Données projet'!$A$36&gt;35,N135+M136-V135,IF(A136&lt;'Données projet'!$A$36,$K$205^A136,IF(A136='Données projet'!$A$36,'Données projet'!$B$36,N135+M136-V135)))</f>
        <v>428.52000000000066</v>
      </c>
      <c r="O136" s="13">
        <f>N136*VLOOKUP('Données projet'!$B$9,Paramètres!$A$1:$I$89,3,0)*VLOOKUP('Données projet'!$B$9,Paramètres!$A$1:$I$89,5,0)</f>
        <v>387.72489600000057</v>
      </c>
      <c r="P136" s="13">
        <f t="shared" si="141"/>
        <v>89.283579978484866</v>
      </c>
      <c r="Q136" s="20">
        <f t="shared" si="108"/>
        <v>830.78976232919547</v>
      </c>
      <c r="R136" s="59">
        <f t="shared" si="109"/>
        <v>1124.1230956625288</v>
      </c>
      <c r="S136" s="59">
        <f ca="1">AVERAGE(OFFSET($R$3,0,0,'Données projet'!$E$9+1,1))-AVERAGE(OFFSET($H$3,0,0,'Données projet'!$E$9+1,1))</f>
        <v>581.88778927327667</v>
      </c>
      <c r="T136" s="59">
        <f t="shared" si="142"/>
        <v>269.67340993773422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53.743320234467475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53.743320234467475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1.7053025658242404E-13</v>
      </c>
      <c r="AJ136" s="13">
        <f>AI136*VLOOKUP('Données projet'!$B$10,Paramètres!$A$1:$I$89,3,0)*VLOOKUP('Données projet'!$B$10,Paramètres!$A$1:$I$89,5,0)</f>
        <v>1.1173142411280423E-13</v>
      </c>
      <c r="AK136" s="13">
        <f t="shared" si="143"/>
        <v>1.6569896290553793E-12</v>
      </c>
      <c r="AL136" s="20">
        <f t="shared" si="112"/>
        <v>3.0805225009345862E-12</v>
      </c>
      <c r="AM136" s="59">
        <f t="shared" si="113"/>
        <v>293.33333333333638</v>
      </c>
      <c r="AN136" s="59">
        <f ca="1">AVERAGE(OFFSET($AM$3,0,0,'Données projet'!$E$10+1,1))-AVERAGE(OFFSET($H$3,0,0,'Données projet'!$E$10+1,1))</f>
        <v>230.58262378842818</v>
      </c>
      <c r="AO136" s="59">
        <f t="shared" si="144"/>
        <v>235.68746142880792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23.588250074979758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23.588250074979758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387.72489600000057</v>
      </c>
      <c r="BF136" s="13">
        <f t="shared" si="145"/>
        <v>89.283579978484866</v>
      </c>
      <c r="BG136" s="20">
        <f t="shared" si="115"/>
        <v>830.78976232919547</v>
      </c>
      <c r="BH136" s="59">
        <f t="shared" si="116"/>
        <v>1124.1230956625288</v>
      </c>
      <c r="BI136" s="59">
        <f ca="1">AVERAGE(OFFSET($BH$3,0,0,'Données projet'!$E$11+1,1))-AVERAGE(OFFSET($H$3,0,0,'Données projet'!$E$11+1,1))</f>
        <v>581.88778927327667</v>
      </c>
      <c r="BJ136" s="59">
        <f t="shared" si="146"/>
        <v>269.67340993773422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53.743320234467475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53.743320234467475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407.77963200000062</v>
      </c>
      <c r="CA136" s="13">
        <f t="shared" si="147"/>
        <v>93.352093717550304</v>
      </c>
      <c r="CB136" s="20">
        <f t="shared" si="118"/>
        <v>872.80442229140101</v>
      </c>
      <c r="CC136" s="59">
        <f t="shared" si="119"/>
        <v>1166.1377556247344</v>
      </c>
      <c r="CD136" s="59">
        <f ca="1">AVERAGE(OFFSET($CC$3,0,0,'Données projet'!$E$12+1,1))-AVERAGE(OFFSET($H$3,0,0,'Données projet'!$E$12+1,1))</f>
        <v>609.60019207204277</v>
      </c>
      <c r="CE136" s="59">
        <f t="shared" si="148"/>
        <v>281.42238288764503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56.523147143146836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56.523147143146836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1.5999999999905867E-2</v>
      </c>
      <c r="CU136" s="17">
        <f>CT136*VLOOKUP('Données projet'!$B$13,Paramètres!$A$1:$I$89,3,0)*VLOOKUP('Données projet'!$B$13,Paramètres!$A$1:$I$89,5,0)</f>
        <v>1.2729599999925107E-2</v>
      </c>
      <c r="CV136" s="13">
        <f t="shared" si="149"/>
        <v>9.7491417338934176E-3</v>
      </c>
      <c r="CW136" s="20">
        <f t="shared" si="121"/>
        <v>3.9150475186400593E-2</v>
      </c>
      <c r="CX136" s="59">
        <f t="shared" si="122"/>
        <v>293.37248380851969</v>
      </c>
      <c r="CY136" s="59">
        <f ca="1">AVERAGE(OFFSET($CX$3,0,0,'Données projet'!$E$13+1,1))-AVERAGE(OFFSET($H$3,0,0,'Données projet'!$E$13+1,1))</f>
        <v>172.13940525084604</v>
      </c>
      <c r="CZ136" s="59">
        <f t="shared" si="150"/>
        <v>172.82328007157236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16.003740260318157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16.003740260318157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1.7053025658242404E-13</v>
      </c>
      <c r="DP136" s="17">
        <f>DO136*VLOOKUP('Données projet'!$B$14,Paramètres!$A$1:$I$89,3,0)*VLOOKUP('Données projet'!$B$14,Paramètres!$A$1:$I$89,5,0)</f>
        <v>1.250327841262333E-13</v>
      </c>
      <c r="DQ136" s="13">
        <f t="shared" si="151"/>
        <v>1.8301318724634299E-12</v>
      </c>
      <c r="DR136" s="20">
        <f t="shared" si="124"/>
        <v>3.405245110226996E-12</v>
      </c>
      <c r="DS136" s="59">
        <f t="shared" si="125"/>
        <v>293.33333333333672</v>
      </c>
      <c r="DT136" s="59">
        <f ca="1">AVERAGE(OFFSET($DS$3,0,0,'Données projet'!$E$14+1,1))-AVERAGE(OFFSET($H$3,0,0,'Données projet'!$E$14+1,1))</f>
        <v>197.34725966440715</v>
      </c>
      <c r="DU136" s="59">
        <f t="shared" si="152"/>
        <v>240.16326570529532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8.4552379637651534</v>
      </c>
      <c r="EB136" s="21">
        <f>EXP(-LN(2)/25)*EB135+(1-EXP(-LN(2)/25))/(LN(2)/25)*Calculateur!DW136*Calculateur!DY136*VLOOKUP('Données projet'!$B$14,Paramètres!$A$1:$I$89,3,0)*0.475*44/12</f>
        <v>3.0840137452049325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11.539251708970086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5.6843418860808015E-14</v>
      </c>
      <c r="EK136" s="17">
        <f>EJ136*VLOOKUP('Données projet'!$B$15,Paramètres!$A$1:$I$89,3,0)*VLOOKUP('Données projet'!$B$15,Paramètres!$A$1:$I$89,5,0)</f>
        <v>4.4337866711430253E-14</v>
      </c>
      <c r="EL136" s="13">
        <f t="shared" si="153"/>
        <v>7.3222115536967035E-13</v>
      </c>
      <c r="EM136" s="20">
        <f t="shared" si="127"/>
        <v>1.3525069634579169E-12</v>
      </c>
      <c r="EN136" s="59">
        <f t="shared" si="128"/>
        <v>293.33333333333468</v>
      </c>
      <c r="EO136" s="59">
        <f ca="1">AVERAGE(OFFSET($EN$3,0,0,'Données projet'!$E$15+1,1))-AVERAGE(OFFSET($H$3,0,0,'Données projet'!$E$15+1,1))</f>
        <v>288.82868507674738</v>
      </c>
      <c r="EP136" s="59">
        <f t="shared" si="154"/>
        <v>283.48738729114024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29.054306061371349</v>
      </c>
      <c r="EW136" s="21">
        <f>EXP(-LN(2)/25)*EW135+(1-EXP(-LN(2)/25))/(LN(2)/25)*Calculateur!ER136*Calculateur!ET136*VLOOKUP('Données projet'!$B$15,Paramètres!$A$1:$I$89,3,0)*0.475*44/12</f>
        <v>8.6320988265155574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37.686404887886908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>
        <f>VLOOKUP(A137,'Données projet'!$A$35:$I$55,2,0)</f>
        <v>436.59</v>
      </c>
      <c r="L137" s="12">
        <f>VLOOKUP(A137,'Données projet'!$A$35:$I$55,9,0)</f>
        <v>8.0699999999999985</v>
      </c>
      <c r="M137" s="12">
        <f t="array" ref="M137">INDEX(L:L,MIN(IF(ISNUMBER(L137:L333),ROW(L137:L333),"")))</f>
        <v>8.0699999999999985</v>
      </c>
      <c r="N137" s="13">
        <f>IF('Données projet'!$A$36&gt;35,N136+M137-V136,IF(A137&lt;'Données projet'!$A$36,$K$205^A137,IF(A137='Données projet'!$A$36,'Données projet'!$B$36,N136+M137-V136)))</f>
        <v>436.59000000000066</v>
      </c>
      <c r="O137" s="13">
        <f>N137*VLOOKUP('Données projet'!$B$9,Paramètres!$A$1:$I$89,3,0)*VLOOKUP('Données projet'!$B$9,Paramètres!$A$1:$I$89,5,0)</f>
        <v>395.02663200000057</v>
      </c>
      <c r="P137" s="13">
        <f t="shared" si="141"/>
        <v>90.767658172605465</v>
      </c>
      <c r="Q137" s="20">
        <f t="shared" si="108"/>
        <v>846.09172205062214</v>
      </c>
      <c r="R137" s="59">
        <f t="shared" si="109"/>
        <v>1139.4250553839554</v>
      </c>
      <c r="S137" s="59">
        <f ca="1">AVERAGE(OFFSET($R$3,0,0,'Données projet'!$E$9+1,1))-AVERAGE(OFFSET($H$3,0,0,'Données projet'!$E$9+1,1))</f>
        <v>581.88778927327667</v>
      </c>
      <c r="T137" s="59">
        <f t="shared" si="142"/>
        <v>269.67340993773422</v>
      </c>
      <c r="U137" s="15">
        <f>IF(ISNA(VLOOKUP(A137,'Données projet'!$A$35:$I$55,3,0)),0,VLOOKUP(A137,'Données projet'!$A$35:$I$55,3,0))</f>
        <v>11</v>
      </c>
      <c r="V137" s="15">
        <f>IF(ISNA(VLOOKUP(A137,'Données projet'!$A$35:$I$55,4,0)),0,VLOOKUP(A137,'Données projet'!$A$35:$I$55,4,0))</f>
        <v>54.95</v>
      </c>
      <c r="W137" s="16">
        <f>IF(ISNA(VLOOKUP(A137,'Données projet'!$A$35:$I$55,5,0)),0%,VLOOKUP(A137,'Données projet'!$A$35:$I$55,5,0)*VLOOKUP('Données projet'!$B$9,Paramètres!$A$1:$I$89,7,0))</f>
        <v>0.25800000000000001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66.869801558531918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66.869801558531918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1.7053025658242404E-13</v>
      </c>
      <c r="AJ137" s="13">
        <f>AI137*VLOOKUP('Données projet'!$B$10,Paramètres!$A$1:$I$89,3,0)*VLOOKUP('Données projet'!$B$10,Paramètres!$A$1:$I$89,5,0)</f>
        <v>1.1173142411280423E-13</v>
      </c>
      <c r="AK137" s="13">
        <f t="shared" si="143"/>
        <v>1.6569896290553793E-12</v>
      </c>
      <c r="AL137" s="20">
        <f t="shared" si="112"/>
        <v>3.0805225009345862E-12</v>
      </c>
      <c r="AM137" s="59">
        <f t="shared" si="113"/>
        <v>293.33333333333638</v>
      </c>
      <c r="AN137" s="59">
        <f ca="1">AVERAGE(OFFSET($AM$3,0,0,'Données projet'!$E$10+1,1))-AVERAGE(OFFSET($H$3,0,0,'Données projet'!$E$10+1,1))</f>
        <v>230.58262378842818</v>
      </c>
      <c r="AO137" s="59">
        <f t="shared" si="144"/>
        <v>235.68746142880792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23.125698878421311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23.125698878421311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395.02663200000057</v>
      </c>
      <c r="BF137" s="13">
        <f t="shared" si="145"/>
        <v>90.767658172605465</v>
      </c>
      <c r="BG137" s="20">
        <f t="shared" si="115"/>
        <v>846.09172205062214</v>
      </c>
      <c r="BH137" s="59">
        <f t="shared" si="116"/>
        <v>1139.4250553839554</v>
      </c>
      <c r="BI137" s="59">
        <f ca="1">AVERAGE(OFFSET($BH$3,0,0,'Données projet'!$E$11+1,1))-AVERAGE(OFFSET($H$3,0,0,'Données projet'!$E$11+1,1))</f>
        <v>581.88778927327667</v>
      </c>
      <c r="BJ137" s="59">
        <f t="shared" si="146"/>
        <v>269.67340993773422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66.869801558531918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66.869801558531918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415.45904400000069</v>
      </c>
      <c r="CA137" s="13">
        <f t="shared" si="147"/>
        <v>94.903799044499678</v>
      </c>
      <c r="CB137" s="20">
        <f t="shared" si="118"/>
        <v>888.88195163583805</v>
      </c>
      <c r="CC137" s="59">
        <f t="shared" si="119"/>
        <v>1182.2152849691713</v>
      </c>
      <c r="CD137" s="59">
        <f ca="1">AVERAGE(OFFSET($CC$3,0,0,'Données projet'!$E$12+1,1))-AVERAGE(OFFSET($H$3,0,0,'Données projet'!$E$12+1,1))</f>
        <v>609.60019207204277</v>
      </c>
      <c r="CE137" s="59">
        <f t="shared" si="148"/>
        <v>281.42238288764503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70.328584397766335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70.328584397766335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1.5999999999905867E-2</v>
      </c>
      <c r="CU137" s="17">
        <f>CT137*VLOOKUP('Données projet'!$B$13,Paramètres!$A$1:$I$89,3,0)*VLOOKUP('Données projet'!$B$13,Paramètres!$A$1:$I$89,5,0)</f>
        <v>1.2729599999925107E-2</v>
      </c>
      <c r="CV137" s="13">
        <f t="shared" si="149"/>
        <v>9.7491417338934176E-3</v>
      </c>
      <c r="CW137" s="20">
        <f t="shared" si="121"/>
        <v>3.9150475186400593E-2</v>
      </c>
      <c r="CX137" s="59">
        <f t="shared" si="122"/>
        <v>293.37248380851969</v>
      </c>
      <c r="CY137" s="59">
        <f ca="1">AVERAGE(OFFSET($CX$3,0,0,'Données projet'!$E$13+1,1))-AVERAGE(OFFSET($H$3,0,0,'Données projet'!$E$13+1,1))</f>
        <v>172.13940525084604</v>
      </c>
      <c r="CZ137" s="59">
        <f t="shared" si="150"/>
        <v>172.82328007157236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15.689916675131027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15.689916675131027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1.7053025658242404E-13</v>
      </c>
      <c r="DP137" s="17">
        <f>DO137*VLOOKUP('Données projet'!$B$14,Paramètres!$A$1:$I$89,3,0)*VLOOKUP('Données projet'!$B$14,Paramètres!$A$1:$I$89,5,0)</f>
        <v>1.250327841262333E-13</v>
      </c>
      <c r="DQ137" s="13">
        <f t="shared" si="151"/>
        <v>1.8301318724634299E-12</v>
      </c>
      <c r="DR137" s="20">
        <f t="shared" si="124"/>
        <v>3.405245110226996E-12</v>
      </c>
      <c r="DS137" s="59">
        <f t="shared" si="125"/>
        <v>293.33333333333672</v>
      </c>
      <c r="DT137" s="59">
        <f ca="1">AVERAGE(OFFSET($DS$3,0,0,'Données projet'!$E$14+1,1))-AVERAGE(OFFSET($H$3,0,0,'Données projet'!$E$14+1,1))</f>
        <v>197.34725966440715</v>
      </c>
      <c r="DU137" s="59">
        <f t="shared" si="152"/>
        <v>240.16326570529532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8.2894359044816461</v>
      </c>
      <c r="EB137" s="21">
        <f>EXP(-LN(2)/25)*EB136+(1-EXP(-LN(2)/25))/(LN(2)/25)*Calculateur!DW137*Calculateur!DY137*VLOOKUP('Données projet'!$B$14,Paramètres!$A$1:$I$89,3,0)*0.475*44/12</f>
        <v>2.9996812271610693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11.289117131642715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5.6843418860808015E-14</v>
      </c>
      <c r="EK137" s="17">
        <f>EJ137*VLOOKUP('Données projet'!$B$15,Paramètres!$A$1:$I$89,3,0)*VLOOKUP('Données projet'!$B$15,Paramètres!$A$1:$I$89,5,0)</f>
        <v>4.4337866711430253E-14</v>
      </c>
      <c r="EL137" s="13">
        <f t="shared" si="153"/>
        <v>7.3222115536967035E-13</v>
      </c>
      <c r="EM137" s="20">
        <f t="shared" si="127"/>
        <v>1.3525069634579169E-12</v>
      </c>
      <c r="EN137" s="59">
        <f t="shared" si="128"/>
        <v>293.33333333333468</v>
      </c>
      <c r="EO137" s="59">
        <f ca="1">AVERAGE(OFFSET($EN$3,0,0,'Données projet'!$E$15+1,1))-AVERAGE(OFFSET($H$3,0,0,'Données projet'!$E$15+1,1))</f>
        <v>288.82868507674738</v>
      </c>
      <c r="EP137" s="59">
        <f t="shared" si="154"/>
        <v>283.48738729114024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28.484568840884712</v>
      </c>
      <c r="EW137" s="21">
        <f>EXP(-LN(2)/25)*EW136+(1-EXP(-LN(2)/25))/(LN(2)/25)*Calculateur!ER137*Calculateur!ET137*VLOOKUP('Données projet'!$B$15,Paramètres!$A$1:$I$89,3,0)*0.475*44/12</f>
        <v>8.3960536301621413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36.880622471046856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8.1590000000000025</v>
      </c>
      <c r="N138" s="13">
        <f>IF('Données projet'!$A$36&gt;35,N137+M138-V137,IF(A138&lt;'Données projet'!$A$36,$K$205^A138,IF(A138='Données projet'!$A$36,'Données projet'!$B$36,N137+M138-V137)))</f>
        <v>389.79900000000066</v>
      </c>
      <c r="O138" s="13">
        <f>N138*VLOOKUP('Données projet'!$B$9,Paramètres!$A$1:$I$89,3,0)*VLOOKUP('Données projet'!$B$9,Paramètres!$A$1:$I$89,5,0)</f>
        <v>352.69013520000055</v>
      </c>
      <c r="P138" s="13">
        <f t="shared" si="141"/>
        <v>82.116190931394016</v>
      </c>
      <c r="Q138" s="20">
        <f t="shared" si="108"/>
        <v>757.28768467884549</v>
      </c>
      <c r="R138" s="59">
        <f t="shared" si="109"/>
        <v>1050.6210180121789</v>
      </c>
      <c r="S138" s="59">
        <f ca="1">AVERAGE(OFFSET($R$3,0,0,'Données projet'!$E$9+1,1))-AVERAGE(OFFSET($H$3,0,0,'Données projet'!$E$9+1,1))</f>
        <v>581.88778927327667</v>
      </c>
      <c r="T138" s="59">
        <f t="shared" si="142"/>
        <v>269.67340993773422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65.558525536520719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65.558525536520719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1.7053025658242404E-13</v>
      </c>
      <c r="AJ138" s="13">
        <f>AI138*VLOOKUP('Données projet'!$B$10,Paramètres!$A$1:$I$89,3,0)*VLOOKUP('Données projet'!$B$10,Paramètres!$A$1:$I$89,5,0)</f>
        <v>1.1173142411280423E-13</v>
      </c>
      <c r="AK138" s="13">
        <f t="shared" si="143"/>
        <v>1.6569896290553793E-12</v>
      </c>
      <c r="AL138" s="20">
        <f t="shared" si="112"/>
        <v>3.0805225009345862E-12</v>
      </c>
      <c r="AM138" s="59">
        <f t="shared" si="113"/>
        <v>293.33333333333638</v>
      </c>
      <c r="AN138" s="59">
        <f ca="1">AVERAGE(OFFSET($AM$3,0,0,'Données projet'!$E$10+1,1))-AVERAGE(OFFSET($H$3,0,0,'Données projet'!$E$10+1,1))</f>
        <v>230.58262378842818</v>
      </c>
      <c r="AO138" s="59">
        <f t="shared" si="144"/>
        <v>235.68746142880792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22.672218028699003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22.672218028699003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352.69013520000055</v>
      </c>
      <c r="BF138" s="13">
        <f t="shared" si="145"/>
        <v>82.116190931394016</v>
      </c>
      <c r="BG138" s="20">
        <f t="shared" si="115"/>
        <v>757.28768467884549</v>
      </c>
      <c r="BH138" s="59">
        <f t="shared" si="116"/>
        <v>1050.6210180121789</v>
      </c>
      <c r="BI138" s="59">
        <f ca="1">AVERAGE(OFFSET($BH$3,0,0,'Données projet'!$E$11+1,1))-AVERAGE(OFFSET($H$3,0,0,'Données projet'!$E$11+1,1))</f>
        <v>581.88778927327667</v>
      </c>
      <c r="BJ138" s="59">
        <f t="shared" si="146"/>
        <v>269.67340993773422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65.558525536520719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65.558525536520719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370.93272840000066</v>
      </c>
      <c r="CA138" s="13">
        <f t="shared" si="147"/>
        <v>85.858097910086002</v>
      </c>
      <c r="CB138" s="20">
        <f t="shared" si="118"/>
        <v>795.57735582340092</v>
      </c>
      <c r="CC138" s="59">
        <f t="shared" si="119"/>
        <v>1088.9106891567342</v>
      </c>
      <c r="CD138" s="59">
        <f ca="1">AVERAGE(OFFSET($CC$3,0,0,'Données projet'!$E$12+1,1))-AVERAGE(OFFSET($H$3,0,0,'Données projet'!$E$12+1,1))</f>
        <v>609.60019207204277</v>
      </c>
      <c r="CE138" s="59">
        <f t="shared" si="148"/>
        <v>281.42238288764503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68.94948375392697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68.94948375392697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1.5999999999905867E-2</v>
      </c>
      <c r="CU138" s="17">
        <f>CT138*VLOOKUP('Données projet'!$B$13,Paramètres!$A$1:$I$89,3,0)*VLOOKUP('Données projet'!$B$13,Paramètres!$A$1:$I$89,5,0)</f>
        <v>1.2729599999925107E-2</v>
      </c>
      <c r="CV138" s="13">
        <f t="shared" si="149"/>
        <v>9.7491417338934176E-3</v>
      </c>
      <c r="CW138" s="20">
        <f t="shared" si="121"/>
        <v>3.9150475186400593E-2</v>
      </c>
      <c r="CX138" s="59">
        <f t="shared" si="122"/>
        <v>293.37248380851969</v>
      </c>
      <c r="CY138" s="59">
        <f ca="1">AVERAGE(OFFSET($CX$3,0,0,'Données projet'!$E$13+1,1))-AVERAGE(OFFSET($H$3,0,0,'Données projet'!$E$13+1,1))</f>
        <v>172.13940525084604</v>
      </c>
      <c r="CZ138" s="59">
        <f t="shared" si="150"/>
        <v>172.82328007157236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15.38224697903593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15.38224697903593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1.7053025658242404E-13</v>
      </c>
      <c r="DP138" s="17">
        <f>DO138*VLOOKUP('Données projet'!$B$14,Paramètres!$A$1:$I$89,3,0)*VLOOKUP('Données projet'!$B$14,Paramètres!$A$1:$I$89,5,0)</f>
        <v>1.250327841262333E-13</v>
      </c>
      <c r="DQ138" s="13">
        <f t="shared" si="151"/>
        <v>1.8301318724634299E-12</v>
      </c>
      <c r="DR138" s="20">
        <f t="shared" si="124"/>
        <v>3.405245110226996E-12</v>
      </c>
      <c r="DS138" s="59">
        <f t="shared" si="125"/>
        <v>293.33333333333672</v>
      </c>
      <c r="DT138" s="59">
        <f ca="1">AVERAGE(OFFSET($DS$3,0,0,'Données projet'!$E$14+1,1))-AVERAGE(OFFSET($H$3,0,0,'Données projet'!$E$14+1,1))</f>
        <v>197.34725966440715</v>
      </c>
      <c r="DU138" s="59">
        <f t="shared" si="152"/>
        <v>240.16326570529532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8.1268851224514194</v>
      </c>
      <c r="EB138" s="21">
        <f>EXP(-LN(2)/25)*EB137+(1-EXP(-LN(2)/25))/(LN(2)/25)*Calculateur!DW138*Calculateur!DY138*VLOOKUP('Données projet'!$B$14,Paramètres!$A$1:$I$89,3,0)*0.475*44/12</f>
        <v>2.91765478625797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11.044539908709389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5.6843418860808015E-14</v>
      </c>
      <c r="EK138" s="17">
        <f>EJ138*VLOOKUP('Données projet'!$B$15,Paramètres!$A$1:$I$89,3,0)*VLOOKUP('Données projet'!$B$15,Paramètres!$A$1:$I$89,5,0)</f>
        <v>4.4337866711430253E-14</v>
      </c>
      <c r="EL138" s="13">
        <f t="shared" si="153"/>
        <v>7.3222115536967035E-13</v>
      </c>
      <c r="EM138" s="20">
        <f t="shared" si="127"/>
        <v>1.3525069634579169E-12</v>
      </c>
      <c r="EN138" s="59">
        <f t="shared" si="128"/>
        <v>293.33333333333468</v>
      </c>
      <c r="EO138" s="59">
        <f ca="1">AVERAGE(OFFSET($EN$3,0,0,'Données projet'!$E$15+1,1))-AVERAGE(OFFSET($H$3,0,0,'Données projet'!$E$15+1,1))</f>
        <v>288.82868507674738</v>
      </c>
      <c r="EP138" s="59">
        <f t="shared" si="154"/>
        <v>283.48738729114024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27.92600381978643</v>
      </c>
      <c r="EW138" s="21">
        <f>EXP(-LN(2)/25)*EW137+(1-EXP(-LN(2)/25))/(LN(2)/25)*Calculateur!ER138*Calculateur!ET138*VLOOKUP('Données projet'!$B$15,Paramètres!$A$1:$I$89,3,0)*0.475*44/12</f>
        <v>8.1664631021160865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36.092466921902513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8.1590000000000025</v>
      </c>
      <c r="N139" s="13">
        <f>IF('Données projet'!$A$36&gt;35,N138+M139-V138,IF(A139&lt;'Données projet'!$A$36,$K$205^A139,IF(A139='Données projet'!$A$36,'Données projet'!$B$36,N138+M139-V138)))</f>
        <v>397.95800000000065</v>
      </c>
      <c r="O139" s="13">
        <f>N139*VLOOKUP('Données projet'!$B$9,Paramètres!$A$1:$I$89,3,0)*VLOOKUP('Données projet'!$B$9,Paramètres!$A$1:$I$89,5,0)</f>
        <v>360.07239840000057</v>
      </c>
      <c r="P139" s="13">
        <f t="shared" si="141"/>
        <v>83.633085567444908</v>
      </c>
      <c r="Q139" s="20">
        <f t="shared" si="108"/>
        <v>772.78705124330099</v>
      </c>
      <c r="R139" s="59">
        <f t="shared" si="109"/>
        <v>1066.1203845766343</v>
      </c>
      <c r="S139" s="59">
        <f ca="1">AVERAGE(OFFSET($R$3,0,0,'Données projet'!$E$9+1,1))-AVERAGE(OFFSET($H$3,0,0,'Données projet'!$E$9+1,1))</f>
        <v>581.88778927327667</v>
      </c>
      <c r="T139" s="59">
        <f t="shared" si="142"/>
        <v>269.67340993773422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64.272962837501765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64.272962837501765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1.7053025658242404E-13</v>
      </c>
      <c r="AJ139" s="13">
        <f>AI139*VLOOKUP('Données projet'!$B$10,Paramètres!$A$1:$I$89,3,0)*VLOOKUP('Données projet'!$B$10,Paramètres!$A$1:$I$89,5,0)</f>
        <v>1.1173142411280423E-13</v>
      </c>
      <c r="AK139" s="13">
        <f t="shared" si="143"/>
        <v>1.6569896290553793E-12</v>
      </c>
      <c r="AL139" s="20">
        <f t="shared" si="112"/>
        <v>3.0805225009345862E-12</v>
      </c>
      <c r="AM139" s="59">
        <f t="shared" si="113"/>
        <v>293.33333333333638</v>
      </c>
      <c r="AN139" s="59">
        <f ca="1">AVERAGE(OFFSET($AM$3,0,0,'Données projet'!$E$10+1,1))-AVERAGE(OFFSET($H$3,0,0,'Données projet'!$E$10+1,1))</f>
        <v>230.58262378842818</v>
      </c>
      <c r="AO139" s="59">
        <f t="shared" si="144"/>
        <v>235.68746142880792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22.227629661843743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22.227629661843743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360.07239840000057</v>
      </c>
      <c r="BF139" s="13">
        <f t="shared" si="145"/>
        <v>83.633085567444908</v>
      </c>
      <c r="BG139" s="20">
        <f t="shared" si="115"/>
        <v>772.78705124330099</v>
      </c>
      <c r="BH139" s="59">
        <f t="shared" si="116"/>
        <v>1066.1203845766343</v>
      </c>
      <c r="BI139" s="59">
        <f ca="1">AVERAGE(OFFSET($BH$3,0,0,'Données projet'!$E$11+1,1))-AVERAGE(OFFSET($H$3,0,0,'Données projet'!$E$11+1,1))</f>
        <v>581.88778927327667</v>
      </c>
      <c r="BJ139" s="59">
        <f t="shared" si="146"/>
        <v>269.67340993773422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64.272962837501765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64.272962837501765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378.69683280000061</v>
      </c>
      <c r="CA139" s="13">
        <f t="shared" si="147"/>
        <v>87.444115073134299</v>
      </c>
      <c r="CB139" s="20">
        <f t="shared" si="118"/>
        <v>811.86215087904327</v>
      </c>
      <c r="CC139" s="59">
        <f t="shared" si="119"/>
        <v>1105.1954842123766</v>
      </c>
      <c r="CD139" s="59">
        <f ca="1">AVERAGE(OFFSET($CC$3,0,0,'Données projet'!$E$12+1,1))-AVERAGE(OFFSET($H$3,0,0,'Données projet'!$E$12+1,1))</f>
        <v>609.60019207204277</v>
      </c>
      <c r="CE139" s="59">
        <f t="shared" si="148"/>
        <v>281.42238288764503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67.597426432544964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67.597426432544964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1.5999999999905867E-2</v>
      </c>
      <c r="CU139" s="17">
        <f>CT139*VLOOKUP('Données projet'!$B$13,Paramètres!$A$1:$I$89,3,0)*VLOOKUP('Données projet'!$B$13,Paramètres!$A$1:$I$89,5,0)</f>
        <v>1.2729599999925107E-2</v>
      </c>
      <c r="CV139" s="13">
        <f t="shared" si="149"/>
        <v>9.7491417338934176E-3</v>
      </c>
      <c r="CW139" s="20">
        <f t="shared" si="121"/>
        <v>3.9150475186400593E-2</v>
      </c>
      <c r="CX139" s="59">
        <f t="shared" si="122"/>
        <v>293.37248380851969</v>
      </c>
      <c r="CY139" s="59">
        <f ca="1">AVERAGE(OFFSET($CX$3,0,0,'Données projet'!$E$13+1,1))-AVERAGE(OFFSET($H$3,0,0,'Données projet'!$E$13+1,1))</f>
        <v>172.13940525084604</v>
      </c>
      <c r="CZ139" s="59">
        <f t="shared" si="150"/>
        <v>172.82328007157236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15.080610498021272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15.080610498021272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1.7053025658242404E-13</v>
      </c>
      <c r="DP139" s="17">
        <f>DO139*VLOOKUP('Données projet'!$B$14,Paramètres!$A$1:$I$89,3,0)*VLOOKUP('Données projet'!$B$14,Paramètres!$A$1:$I$89,5,0)</f>
        <v>1.250327841262333E-13</v>
      </c>
      <c r="DQ139" s="13">
        <f t="shared" si="151"/>
        <v>1.8301318724634299E-12</v>
      </c>
      <c r="DR139" s="20">
        <f t="shared" si="124"/>
        <v>3.405245110226996E-12</v>
      </c>
      <c r="DS139" s="59">
        <f t="shared" si="125"/>
        <v>293.33333333333672</v>
      </c>
      <c r="DT139" s="59">
        <f ca="1">AVERAGE(OFFSET($DS$3,0,0,'Données projet'!$E$14+1,1))-AVERAGE(OFFSET($H$3,0,0,'Données projet'!$E$14+1,1))</f>
        <v>197.34725966440715</v>
      </c>
      <c r="DU139" s="59">
        <f t="shared" si="152"/>
        <v>240.16326570529532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7.9675218621106172</v>
      </c>
      <c r="EB139" s="21">
        <f>EXP(-LN(2)/25)*EB138+(1-EXP(-LN(2)/25))/(LN(2)/25)*Calculateur!DW139*Calculateur!DY139*VLOOKUP('Données projet'!$B$14,Paramètres!$A$1:$I$89,3,0)*0.475*44/12</f>
        <v>2.837871362694949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10.805393224805567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5.6843418860808015E-14</v>
      </c>
      <c r="EK139" s="17">
        <f>EJ139*VLOOKUP('Données projet'!$B$15,Paramètres!$A$1:$I$89,3,0)*VLOOKUP('Données projet'!$B$15,Paramètres!$A$1:$I$89,5,0)</f>
        <v>4.4337866711430253E-14</v>
      </c>
      <c r="EL139" s="13">
        <f t="shared" si="153"/>
        <v>7.3222115536967035E-13</v>
      </c>
      <c r="EM139" s="20">
        <f t="shared" si="127"/>
        <v>1.3525069634579169E-12</v>
      </c>
      <c r="EN139" s="59">
        <f t="shared" si="128"/>
        <v>293.33333333333468</v>
      </c>
      <c r="EO139" s="59">
        <f ca="1">AVERAGE(OFFSET($EN$3,0,0,'Données projet'!$E$15+1,1))-AVERAGE(OFFSET($H$3,0,0,'Données projet'!$E$15+1,1))</f>
        <v>288.82868507674738</v>
      </c>
      <c r="EP139" s="59">
        <f t="shared" si="154"/>
        <v>283.48738729114024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27.378391918060863</v>
      </c>
      <c r="EW139" s="21">
        <f>EXP(-LN(2)/25)*EW138+(1-EXP(-LN(2)/25))/(LN(2)/25)*Calculateur!ER139*Calculateur!ET139*VLOOKUP('Données projet'!$B$15,Paramètres!$A$1:$I$89,3,0)*0.475*44/12</f>
        <v>7.9431507391330927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35.321542657193959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8.1590000000000025</v>
      </c>
      <c r="N140" s="13">
        <f>IF('Données projet'!$A$36&gt;35,N139+M140-V139,IF(A140&lt;'Données projet'!$A$36,$K$205^A140,IF(A140='Données projet'!$A$36,'Données projet'!$B$36,N139+M140-V139)))</f>
        <v>406.11700000000064</v>
      </c>
      <c r="O140" s="13">
        <f>N140*VLOOKUP('Données projet'!$B$9,Paramètres!$A$1:$I$89,3,0)*VLOOKUP('Données projet'!$B$9,Paramètres!$A$1:$I$89,5,0)</f>
        <v>367.45466160000058</v>
      </c>
      <c r="P140" s="13">
        <f t="shared" si="141"/>
        <v>85.146364255773364</v>
      </c>
      <c r="Q140" s="20">
        <f t="shared" si="108"/>
        <v>788.28012003213962</v>
      </c>
      <c r="R140" s="59">
        <f t="shared" si="109"/>
        <v>1081.6134533654729</v>
      </c>
      <c r="S140" s="59">
        <f ca="1">AVERAGE(OFFSET($R$3,0,0,'Données projet'!$E$9+1,1))-AVERAGE(OFFSET($H$3,0,0,'Données projet'!$E$9+1,1))</f>
        <v>581.88778927327667</v>
      </c>
      <c r="T140" s="59">
        <f t="shared" si="142"/>
        <v>269.67340993773422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63.012609238894747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63.012609238894747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1.7053025658242404E-13</v>
      </c>
      <c r="AJ140" s="13">
        <f>AI140*VLOOKUP('Données projet'!$B$10,Paramètres!$A$1:$I$89,3,0)*VLOOKUP('Données projet'!$B$10,Paramètres!$A$1:$I$89,5,0)</f>
        <v>1.1173142411280423E-13</v>
      </c>
      <c r="AK140" s="13">
        <f t="shared" si="143"/>
        <v>1.6569896290553793E-12</v>
      </c>
      <c r="AL140" s="20">
        <f t="shared" si="112"/>
        <v>3.0805225009345862E-12</v>
      </c>
      <c r="AM140" s="59">
        <f t="shared" si="113"/>
        <v>293.33333333333638</v>
      </c>
      <c r="AN140" s="59">
        <f ca="1">AVERAGE(OFFSET($AM$3,0,0,'Données projet'!$E$10+1,1))-AVERAGE(OFFSET($H$3,0,0,'Données projet'!$E$10+1,1))</f>
        <v>230.58262378842818</v>
      </c>
      <c r="AO140" s="59">
        <f t="shared" si="144"/>
        <v>235.68746142880792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21.791759401690388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21.791759401690388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367.45466160000058</v>
      </c>
      <c r="BF140" s="13">
        <f t="shared" si="145"/>
        <v>85.146364255773364</v>
      </c>
      <c r="BG140" s="20">
        <f t="shared" si="115"/>
        <v>788.28012003213962</v>
      </c>
      <c r="BH140" s="59">
        <f t="shared" si="116"/>
        <v>1081.6134533654729</v>
      </c>
      <c r="BI140" s="59">
        <f ca="1">AVERAGE(OFFSET($BH$3,0,0,'Données projet'!$E$11+1,1))-AVERAGE(OFFSET($H$3,0,0,'Données projet'!$E$11+1,1))</f>
        <v>581.88778927327667</v>
      </c>
      <c r="BJ140" s="59">
        <f t="shared" si="146"/>
        <v>269.67340993773422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63.012609238894747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63.012609238894747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386.46093720000061</v>
      </c>
      <c r="CA140" s="13">
        <f t="shared" si="147"/>
        <v>89.02635151535199</v>
      </c>
      <c r="CB140" s="20">
        <f t="shared" si="118"/>
        <v>828.14036117923899</v>
      </c>
      <c r="CC140" s="59">
        <f t="shared" si="119"/>
        <v>1121.4736945125724</v>
      </c>
      <c r="CD140" s="59">
        <f ca="1">AVERAGE(OFFSET($CC$3,0,0,'Données projet'!$E$12+1,1))-AVERAGE(OFFSET($H$3,0,0,'Données projet'!$E$12+1,1))</f>
        <v>609.60019207204277</v>
      </c>
      <c r="CE140" s="59">
        <f t="shared" si="148"/>
        <v>281.42238288764503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66.271882130561721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66.271882130561721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1.5999999999905867E-2</v>
      </c>
      <c r="CU140" s="17">
        <f>CT140*VLOOKUP('Données projet'!$B$13,Paramètres!$A$1:$I$89,3,0)*VLOOKUP('Données projet'!$B$13,Paramètres!$A$1:$I$89,5,0)</f>
        <v>1.2729599999925107E-2</v>
      </c>
      <c r="CV140" s="13">
        <f t="shared" si="149"/>
        <v>9.7491417338934176E-3</v>
      </c>
      <c r="CW140" s="20">
        <f t="shared" si="121"/>
        <v>3.9150475186400593E-2</v>
      </c>
      <c r="CX140" s="59">
        <f t="shared" si="122"/>
        <v>293.37248380851969</v>
      </c>
      <c r="CY140" s="59">
        <f ca="1">AVERAGE(OFFSET($CX$3,0,0,'Données projet'!$E$13+1,1))-AVERAGE(OFFSET($H$3,0,0,'Données projet'!$E$13+1,1))</f>
        <v>172.13940525084604</v>
      </c>
      <c r="CZ140" s="59">
        <f t="shared" si="150"/>
        <v>172.82328007157236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14.784888924419226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14.784888924419226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1.7053025658242404E-13</v>
      </c>
      <c r="DP140" s="17">
        <f>DO140*VLOOKUP('Données projet'!$B$14,Paramètres!$A$1:$I$89,3,0)*VLOOKUP('Données projet'!$B$14,Paramètres!$A$1:$I$89,5,0)</f>
        <v>1.250327841262333E-13</v>
      </c>
      <c r="DQ140" s="13">
        <f t="shared" si="151"/>
        <v>1.8301318724634299E-12</v>
      </c>
      <c r="DR140" s="20">
        <f t="shared" si="124"/>
        <v>3.405245110226996E-12</v>
      </c>
      <c r="DS140" s="59">
        <f t="shared" si="125"/>
        <v>293.33333333333672</v>
      </c>
      <c r="DT140" s="59">
        <f ca="1">AVERAGE(OFFSET($DS$3,0,0,'Données projet'!$E$14+1,1))-AVERAGE(OFFSET($H$3,0,0,'Données projet'!$E$14+1,1))</f>
        <v>197.34725966440715</v>
      </c>
      <c r="DU140" s="59">
        <f t="shared" si="152"/>
        <v>240.16326570529532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7.8112836181031078</v>
      </c>
      <c r="EB140" s="21">
        <f>EXP(-LN(2)/25)*EB139+(1-EXP(-LN(2)/25))/(LN(2)/25)*Calculateur!DW140*Calculateur!DY140*VLOOKUP('Données projet'!$B$14,Paramètres!$A$1:$I$89,3,0)*0.475*44/12</f>
        <v>2.7602696210448867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10.571553239147995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5.6843418860808015E-14</v>
      </c>
      <c r="EK140" s="17">
        <f>EJ140*VLOOKUP('Données projet'!$B$15,Paramètres!$A$1:$I$89,3,0)*VLOOKUP('Données projet'!$B$15,Paramètres!$A$1:$I$89,5,0)</f>
        <v>4.4337866711430253E-14</v>
      </c>
      <c r="EL140" s="13">
        <f t="shared" si="153"/>
        <v>7.3222115536967035E-13</v>
      </c>
      <c r="EM140" s="20">
        <f t="shared" si="127"/>
        <v>1.3525069634579169E-12</v>
      </c>
      <c r="EN140" s="59">
        <f t="shared" si="128"/>
        <v>293.33333333333468</v>
      </c>
      <c r="EO140" s="59">
        <f ca="1">AVERAGE(OFFSET($EN$3,0,0,'Données projet'!$E$15+1,1))-AVERAGE(OFFSET($H$3,0,0,'Données projet'!$E$15+1,1))</f>
        <v>288.82868507674738</v>
      </c>
      <c r="EP140" s="59">
        <f t="shared" si="154"/>
        <v>283.48738729114024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26.841518351717855</v>
      </c>
      <c r="EW140" s="21">
        <f>EXP(-LN(2)/25)*EW139+(1-EXP(-LN(2)/25))/(LN(2)/25)*Calculateur!ER140*Calculateur!ET140*VLOOKUP('Données projet'!$B$15,Paramètres!$A$1:$I$89,3,0)*0.475*44/12</f>
        <v>7.7259448644593549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34.56746321617721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8.1590000000000025</v>
      </c>
      <c r="N141" s="13">
        <f>IF('Données projet'!$A$36&gt;35,N140+M141-V140,IF(A141&lt;'Données projet'!$A$36,$K$205^A141,IF(A141='Données projet'!$A$36,'Données projet'!$B$36,N140+M141-V140)))</f>
        <v>414.27600000000064</v>
      </c>
      <c r="O141" s="13">
        <f>N141*VLOOKUP('Données projet'!$B$9,Paramètres!$A$1:$I$89,3,0)*VLOOKUP('Données projet'!$B$9,Paramètres!$A$1:$I$89,5,0)</f>
        <v>374.83692480000053</v>
      </c>
      <c r="P141" s="13">
        <f t="shared" si="141"/>
        <v>86.656108013910185</v>
      </c>
      <c r="Q141" s="20">
        <f t="shared" si="108"/>
        <v>803.76703215089447</v>
      </c>
      <c r="R141" s="59">
        <f t="shared" si="109"/>
        <v>1097.1003654842277</v>
      </c>
      <c r="S141" s="59">
        <f ca="1">AVERAGE(OFFSET($R$3,0,0,'Données projet'!$E$9+1,1))-AVERAGE(OFFSET($H$3,0,0,'Données projet'!$E$9+1,1))</f>
        <v>581.88778927327667</v>
      </c>
      <c r="T141" s="59">
        <f t="shared" si="142"/>
        <v>269.67340993773422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61.776970405616623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61.776970405616623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1.7053025658242404E-13</v>
      </c>
      <c r="AJ141" s="13">
        <f>AI141*VLOOKUP('Données projet'!$B$10,Paramètres!$A$1:$I$89,3,0)*VLOOKUP('Données projet'!$B$10,Paramètres!$A$1:$I$89,5,0)</f>
        <v>1.1173142411280423E-13</v>
      </c>
      <c r="AK141" s="13">
        <f t="shared" si="143"/>
        <v>1.6569896290553793E-12</v>
      </c>
      <c r="AL141" s="20">
        <f t="shared" si="112"/>
        <v>3.0805225009345862E-12</v>
      </c>
      <c r="AM141" s="59">
        <f t="shared" si="113"/>
        <v>293.33333333333638</v>
      </c>
      <c r="AN141" s="59">
        <f ca="1">AVERAGE(OFFSET($AM$3,0,0,'Données projet'!$E$10+1,1))-AVERAGE(OFFSET($H$3,0,0,'Données projet'!$E$10+1,1))</f>
        <v>230.58262378842818</v>
      </c>
      <c r="AO141" s="59">
        <f t="shared" si="144"/>
        <v>235.68746142880792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21.364436291484033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21.364436291484033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374.83692480000053</v>
      </c>
      <c r="BF141" s="13">
        <f t="shared" si="145"/>
        <v>86.656108013910185</v>
      </c>
      <c r="BG141" s="20">
        <f t="shared" si="115"/>
        <v>803.76703215089447</v>
      </c>
      <c r="BH141" s="59">
        <f t="shared" si="116"/>
        <v>1097.1003654842277</v>
      </c>
      <c r="BI141" s="59">
        <f ca="1">AVERAGE(OFFSET($BH$3,0,0,'Données projet'!$E$11+1,1))-AVERAGE(OFFSET($H$3,0,0,'Données projet'!$E$11+1,1))</f>
        <v>581.88778927327667</v>
      </c>
      <c r="BJ141" s="59">
        <f t="shared" si="146"/>
        <v>269.67340993773422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61.776970405616623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61.776970405616623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394.22504160000057</v>
      </c>
      <c r="CA141" s="13">
        <f t="shared" si="147"/>
        <v>90.604891946112389</v>
      </c>
      <c r="CB141" s="20">
        <f t="shared" si="118"/>
        <v>844.41213425948001</v>
      </c>
      <c r="CC141" s="59">
        <f t="shared" si="119"/>
        <v>1137.7454675928134</v>
      </c>
      <c r="CD141" s="59">
        <f ca="1">AVERAGE(OFFSET($CC$3,0,0,'Données projet'!$E$12+1,1))-AVERAGE(OFFSET($H$3,0,0,'Données projet'!$E$12+1,1))</f>
        <v>609.60019207204277</v>
      </c>
      <c r="CE141" s="59">
        <f t="shared" si="148"/>
        <v>281.42238288764503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64.972330943838173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64.972330943838173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1.5999999999905867E-2</v>
      </c>
      <c r="CU141" s="17">
        <f>CT141*VLOOKUP('Données projet'!$B$13,Paramètres!$A$1:$I$89,3,0)*VLOOKUP('Données projet'!$B$13,Paramètres!$A$1:$I$89,5,0)</f>
        <v>1.2729599999925107E-2</v>
      </c>
      <c r="CV141" s="13">
        <f t="shared" si="149"/>
        <v>9.7491417338934176E-3</v>
      </c>
      <c r="CW141" s="20">
        <f t="shared" si="121"/>
        <v>3.9150475186400593E-2</v>
      </c>
      <c r="CX141" s="59">
        <f t="shared" si="122"/>
        <v>293.37248380851969</v>
      </c>
      <c r="CY141" s="59">
        <f ca="1">AVERAGE(OFFSET($CX$3,0,0,'Données projet'!$E$13+1,1))-AVERAGE(OFFSET($H$3,0,0,'Données projet'!$E$13+1,1))</f>
        <v>172.13940525084604</v>
      </c>
      <c r="CZ141" s="59">
        <f t="shared" si="150"/>
        <v>172.82328007157236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14.494966270503166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14.494966270503166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1.7053025658242404E-13</v>
      </c>
      <c r="DP141" s="17">
        <f>DO141*VLOOKUP('Données projet'!$B$14,Paramètres!$A$1:$I$89,3,0)*VLOOKUP('Données projet'!$B$14,Paramètres!$A$1:$I$89,5,0)</f>
        <v>1.250327841262333E-13</v>
      </c>
      <c r="DQ141" s="13">
        <f t="shared" si="151"/>
        <v>1.8301318724634299E-12</v>
      </c>
      <c r="DR141" s="20">
        <f t="shared" si="124"/>
        <v>3.405245110226996E-12</v>
      </c>
      <c r="DS141" s="59">
        <f t="shared" si="125"/>
        <v>293.33333333333672</v>
      </c>
      <c r="DT141" s="59">
        <f ca="1">AVERAGE(OFFSET($DS$3,0,0,'Données projet'!$E$14+1,1))-AVERAGE(OFFSET($H$3,0,0,'Données projet'!$E$14+1,1))</f>
        <v>197.34725966440715</v>
      </c>
      <c r="DU141" s="59">
        <f t="shared" si="152"/>
        <v>240.16326570529532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7.6581091107646664</v>
      </c>
      <c r="EB141" s="21">
        <f>EXP(-LN(2)/25)*EB140+(1-EXP(-LN(2)/25))/(LN(2)/25)*Calculateur!DW141*Calculateur!DY141*VLOOKUP('Données projet'!$B$14,Paramètres!$A$1:$I$89,3,0)*0.475*44/12</f>
        <v>2.6847899031011435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10.342899013865811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5.6843418860808015E-14</v>
      </c>
      <c r="EK141" s="17">
        <f>EJ141*VLOOKUP('Données projet'!$B$15,Paramètres!$A$1:$I$89,3,0)*VLOOKUP('Données projet'!$B$15,Paramètres!$A$1:$I$89,5,0)</f>
        <v>4.4337866711430253E-14</v>
      </c>
      <c r="EL141" s="13">
        <f t="shared" si="153"/>
        <v>7.3222115536967035E-13</v>
      </c>
      <c r="EM141" s="20">
        <f t="shared" si="127"/>
        <v>1.3525069634579169E-12</v>
      </c>
      <c r="EN141" s="59">
        <f t="shared" si="128"/>
        <v>293.33333333333468</v>
      </c>
      <c r="EO141" s="59">
        <f ca="1">AVERAGE(OFFSET($EN$3,0,0,'Données projet'!$E$15+1,1))-AVERAGE(OFFSET($H$3,0,0,'Données projet'!$E$15+1,1))</f>
        <v>288.82868507674738</v>
      </c>
      <c r="EP141" s="59">
        <f t="shared" si="154"/>
        <v>283.48738729114024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26.31517254855029</v>
      </c>
      <c r="EW141" s="21">
        <f>EXP(-LN(2)/25)*EW140+(1-EXP(-LN(2)/25))/(LN(2)/25)*Calculateur!ER141*Calculateur!ET141*VLOOKUP('Données projet'!$B$15,Paramètres!$A$1:$I$89,3,0)*0.475*44/12</f>
        <v>7.514678495850931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33.829851044401224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8.1590000000000025</v>
      </c>
      <c r="N142" s="13">
        <f>IF('Données projet'!$A$36&gt;35,N141+M142-V141,IF(A142&lt;'Données projet'!$A$36,$K$205^A142,IF(A142='Données projet'!$A$36,'Données projet'!$B$36,N141+M142-V141)))</f>
        <v>422.43500000000063</v>
      </c>
      <c r="O142" s="13">
        <f>N142*VLOOKUP('Données projet'!$B$9,Paramètres!$A$1:$I$89,3,0)*VLOOKUP('Données projet'!$B$9,Paramètres!$A$1:$I$89,5,0)</f>
        <v>382.21918800000054</v>
      </c>
      <c r="P142" s="13">
        <f t="shared" si="141"/>
        <v>88.162394485655341</v>
      </c>
      <c r="Q142" s="20">
        <f t="shared" si="108"/>
        <v>819.24792282918395</v>
      </c>
      <c r="R142" s="59">
        <f t="shared" si="109"/>
        <v>1112.5812561625173</v>
      </c>
      <c r="S142" s="59">
        <f ca="1">AVERAGE(OFFSET($R$3,0,0,'Données projet'!$E$9+1,1))-AVERAGE(OFFSET($H$3,0,0,'Données projet'!$E$9+1,1))</f>
        <v>581.88778927327667</v>
      </c>
      <c r="T142" s="59">
        <f t="shared" si="142"/>
        <v>269.67340993773422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60.565561696193818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60.565561696193818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1.7053025658242404E-13</v>
      </c>
      <c r="AJ142" s="13">
        <f>AI142*VLOOKUP('Données projet'!$B$10,Paramètres!$A$1:$I$89,3,0)*VLOOKUP('Données projet'!$B$10,Paramètres!$A$1:$I$89,5,0)</f>
        <v>1.1173142411280423E-13</v>
      </c>
      <c r="AK142" s="13">
        <f t="shared" si="143"/>
        <v>1.6569896290553793E-12</v>
      </c>
      <c r="AL142" s="20">
        <f t="shared" si="112"/>
        <v>3.0805225009345862E-12</v>
      </c>
      <c r="AM142" s="59">
        <f t="shared" si="113"/>
        <v>293.33333333333638</v>
      </c>
      <c r="AN142" s="59">
        <f ca="1">AVERAGE(OFFSET($AM$3,0,0,'Données projet'!$E$10+1,1))-AVERAGE(OFFSET($H$3,0,0,'Données projet'!$E$10+1,1))</f>
        <v>230.58262378842818</v>
      </c>
      <c r="AO142" s="59">
        <f t="shared" si="144"/>
        <v>235.68746142880792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20.945492726827464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20.945492726827464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382.21918800000054</v>
      </c>
      <c r="BF142" s="13">
        <f t="shared" si="145"/>
        <v>88.162394485655341</v>
      </c>
      <c r="BG142" s="20">
        <f t="shared" si="115"/>
        <v>819.24792282918395</v>
      </c>
      <c r="BH142" s="59">
        <f t="shared" si="116"/>
        <v>1112.5812561625173</v>
      </c>
      <c r="BI142" s="59">
        <f ca="1">AVERAGE(OFFSET($BH$3,0,0,'Données projet'!$E$11+1,1))-AVERAGE(OFFSET($H$3,0,0,'Données projet'!$E$11+1,1))</f>
        <v>581.88778927327667</v>
      </c>
      <c r="BJ142" s="59">
        <f t="shared" si="146"/>
        <v>269.67340993773422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60.565561696193818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60.565561696193818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401.98914600000057</v>
      </c>
      <c r="CA142" s="13">
        <f t="shared" si="147"/>
        <v>92.17981754732287</v>
      </c>
      <c r="CB142" s="20">
        <f t="shared" si="118"/>
        <v>860.67761151158822</v>
      </c>
      <c r="CC142" s="59">
        <f t="shared" si="119"/>
        <v>1154.0109448449216</v>
      </c>
      <c r="CD142" s="59">
        <f ca="1">AVERAGE(OFFSET($CC$3,0,0,'Données projet'!$E$12+1,1))-AVERAGE(OFFSET($H$3,0,0,'Données projet'!$E$12+1,1))</f>
        <v>609.60019207204277</v>
      </c>
      <c r="CE142" s="59">
        <f t="shared" si="148"/>
        <v>281.42238288764503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63.698263163238323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63.698263163238323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1.5999999999905867E-2</v>
      </c>
      <c r="CU142" s="17">
        <f>CT142*VLOOKUP('Données projet'!$B$13,Paramètres!$A$1:$I$89,3,0)*VLOOKUP('Données projet'!$B$13,Paramètres!$A$1:$I$89,5,0)</f>
        <v>1.2729599999925107E-2</v>
      </c>
      <c r="CV142" s="13">
        <f t="shared" si="149"/>
        <v>9.7491417338934176E-3</v>
      </c>
      <c r="CW142" s="20">
        <f t="shared" si="121"/>
        <v>3.9150475186400593E-2</v>
      </c>
      <c r="CX142" s="59">
        <f t="shared" si="122"/>
        <v>293.37248380851969</v>
      </c>
      <c r="CY142" s="59">
        <f ca="1">AVERAGE(OFFSET($CX$3,0,0,'Données projet'!$E$13+1,1))-AVERAGE(OFFSET($H$3,0,0,'Données projet'!$E$13+1,1))</f>
        <v>172.13940525084604</v>
      </c>
      <c r="CZ142" s="59">
        <f t="shared" si="150"/>
        <v>172.82328007157236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14.210728822995042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14.210728822995042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1.7053025658242404E-13</v>
      </c>
      <c r="DP142" s="17">
        <f>DO142*VLOOKUP('Données projet'!$B$14,Paramètres!$A$1:$I$89,3,0)*VLOOKUP('Données projet'!$B$14,Paramètres!$A$1:$I$89,5,0)</f>
        <v>1.250327841262333E-13</v>
      </c>
      <c r="DQ142" s="13">
        <f t="shared" si="151"/>
        <v>1.8301318724634299E-12</v>
      </c>
      <c r="DR142" s="20">
        <f t="shared" si="124"/>
        <v>3.405245110226996E-12</v>
      </c>
      <c r="DS142" s="59">
        <f t="shared" si="125"/>
        <v>293.33333333333672</v>
      </c>
      <c r="DT142" s="59">
        <f ca="1">AVERAGE(OFFSET($DS$3,0,0,'Données projet'!$E$14+1,1))-AVERAGE(OFFSET($H$3,0,0,'Données projet'!$E$14+1,1))</f>
        <v>197.34725966440715</v>
      </c>
      <c r="DU142" s="59">
        <f t="shared" si="152"/>
        <v>240.16326570529532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7.5079382620879072</v>
      </c>
      <c r="EB142" s="21">
        <f>EXP(-LN(2)/25)*EB141+(1-EXP(-LN(2)/25))/(LN(2)/25)*Calculateur!DW142*Calculateur!DY142*VLOOKUP('Données projet'!$B$14,Paramètres!$A$1:$I$89,3,0)*0.475*44/12</f>
        <v>2.6113741820138778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10.119312444101785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5.6843418860808015E-14</v>
      </c>
      <c r="EK142" s="17">
        <f>EJ142*VLOOKUP('Données projet'!$B$15,Paramètres!$A$1:$I$89,3,0)*VLOOKUP('Données projet'!$B$15,Paramètres!$A$1:$I$89,5,0)</f>
        <v>4.4337866711430253E-14</v>
      </c>
      <c r="EL142" s="13">
        <f t="shared" si="153"/>
        <v>7.3222115536967035E-13</v>
      </c>
      <c r="EM142" s="20">
        <f t="shared" si="127"/>
        <v>1.3525069634579169E-12</v>
      </c>
      <c r="EN142" s="59">
        <f t="shared" si="128"/>
        <v>293.33333333333468</v>
      </c>
      <c r="EO142" s="59">
        <f ca="1">AVERAGE(OFFSET($EN$3,0,0,'Données projet'!$E$15+1,1))-AVERAGE(OFFSET($H$3,0,0,'Données projet'!$E$15+1,1))</f>
        <v>288.82868507674738</v>
      </c>
      <c r="EP142" s="59">
        <f t="shared" si="154"/>
        <v>283.48738729114024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25.799148065543601</v>
      </c>
      <c r="EW142" s="21">
        <f>EXP(-LN(2)/25)*EW141+(1-EXP(-LN(2)/25))/(LN(2)/25)*Calculateur!ER142*Calculateur!ET142*VLOOKUP('Données projet'!$B$15,Paramètres!$A$1:$I$89,3,0)*0.475*44/12</f>
        <v>7.3091892172021202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33.108337282745723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8.1590000000000025</v>
      </c>
      <c r="N143" s="13">
        <f>IF('Données projet'!$A$36&gt;35,N142+M143-V142,IF(A143&lt;'Données projet'!$A$36,$K$205^A143,IF(A143='Données projet'!$A$36,'Données projet'!$B$36,N142+M143-V142)))</f>
        <v>430.59400000000062</v>
      </c>
      <c r="O143" s="13">
        <f>N143*VLOOKUP('Données projet'!$B$9,Paramètres!$A$1:$I$89,3,0)*VLOOKUP('Données projet'!$B$9,Paramètres!$A$1:$I$89,5,0)</f>
        <v>389.60145120000055</v>
      </c>
      <c r="P143" s="13">
        <f t="shared" si="141"/>
        <v>89.665298143968485</v>
      </c>
      <c r="Q143" s="20">
        <f t="shared" si="108"/>
        <v>834.72292177407928</v>
      </c>
      <c r="R143" s="59">
        <f t="shared" si="109"/>
        <v>1128.0562551074127</v>
      </c>
      <c r="S143" s="59">
        <f ca="1">AVERAGE(OFFSET($R$3,0,0,'Données projet'!$E$9+1,1))-AVERAGE(OFFSET($H$3,0,0,'Données projet'!$E$9+1,1))</f>
        <v>581.88778927327667</v>
      </c>
      <c r="T143" s="59">
        <f t="shared" si="142"/>
        <v>269.67340993773422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59.377907972676439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59.377907972676439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1.7053025658242404E-13</v>
      </c>
      <c r="AJ143" s="13">
        <f>AI143*VLOOKUP('Données projet'!$B$10,Paramètres!$A$1:$I$89,3,0)*VLOOKUP('Données projet'!$B$10,Paramètres!$A$1:$I$89,5,0)</f>
        <v>1.1173142411280423E-13</v>
      </c>
      <c r="AK143" s="13">
        <f t="shared" si="143"/>
        <v>1.6569896290553793E-12</v>
      </c>
      <c r="AL143" s="20">
        <f t="shared" si="112"/>
        <v>3.0805225009345862E-12</v>
      </c>
      <c r="AM143" s="59">
        <f t="shared" si="113"/>
        <v>293.33333333333638</v>
      </c>
      <c r="AN143" s="59">
        <f ca="1">AVERAGE(OFFSET($AM$3,0,0,'Données projet'!$E$10+1,1))-AVERAGE(OFFSET($H$3,0,0,'Données projet'!$E$10+1,1))</f>
        <v>230.58262378842818</v>
      </c>
      <c r="AO143" s="59">
        <f t="shared" si="144"/>
        <v>235.68746142880792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20.534764389943465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20.534764389943465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389.60145120000055</v>
      </c>
      <c r="BF143" s="13">
        <f t="shared" si="145"/>
        <v>89.665298143968485</v>
      </c>
      <c r="BG143" s="20">
        <f t="shared" si="115"/>
        <v>834.72292177407928</v>
      </c>
      <c r="BH143" s="59">
        <f t="shared" si="116"/>
        <v>1128.0562551074127</v>
      </c>
      <c r="BI143" s="59">
        <f ca="1">AVERAGE(OFFSET($BH$3,0,0,'Données projet'!$E$11+1,1))-AVERAGE(OFFSET($H$3,0,0,'Données projet'!$E$11+1,1))</f>
        <v>581.88778927327667</v>
      </c>
      <c r="BJ143" s="59">
        <f t="shared" si="146"/>
        <v>269.67340993773422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59.377907972676439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59.377907972676439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409.75325040000058</v>
      </c>
      <c r="CA143" s="13">
        <f t="shared" si="147"/>
        <v>93.751206185559496</v>
      </c>
      <c r="CB143" s="20">
        <f t="shared" si="118"/>
        <v>876.93692855318386</v>
      </c>
      <c r="CC143" s="59">
        <f t="shared" si="119"/>
        <v>1170.2702618865171</v>
      </c>
      <c r="CD143" s="59">
        <f ca="1">AVERAGE(OFFSET($CC$3,0,0,'Données projet'!$E$12+1,1))-AVERAGE(OFFSET($H$3,0,0,'Données projet'!$E$12+1,1))</f>
        <v>609.60019207204277</v>
      </c>
      <c r="CE143" s="59">
        <f t="shared" si="148"/>
        <v>281.42238288764503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62.449179074711424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62.449179074711424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1.5999999999905867E-2</v>
      </c>
      <c r="CU143" s="17">
        <f>CT143*VLOOKUP('Données projet'!$B$13,Paramètres!$A$1:$I$89,3,0)*VLOOKUP('Données projet'!$B$13,Paramètres!$A$1:$I$89,5,0)</f>
        <v>1.2729599999925107E-2</v>
      </c>
      <c r="CV143" s="13">
        <f t="shared" si="149"/>
        <v>9.7491417338934176E-3</v>
      </c>
      <c r="CW143" s="20">
        <f t="shared" si="121"/>
        <v>3.9150475186400593E-2</v>
      </c>
      <c r="CX143" s="59">
        <f t="shared" si="122"/>
        <v>293.37248380851969</v>
      </c>
      <c r="CY143" s="59">
        <f ca="1">AVERAGE(OFFSET($CX$3,0,0,'Données projet'!$E$13+1,1))-AVERAGE(OFFSET($H$3,0,0,'Données projet'!$E$13+1,1))</f>
        <v>172.13940525084604</v>
      </c>
      <c r="CZ143" s="59">
        <f t="shared" si="150"/>
        <v>172.82328007157236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13.932065098464829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13.932065098464829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1.7053025658242404E-13</v>
      </c>
      <c r="DP143" s="17">
        <f>DO143*VLOOKUP('Données projet'!$B$14,Paramètres!$A$1:$I$89,3,0)*VLOOKUP('Données projet'!$B$14,Paramètres!$A$1:$I$89,5,0)</f>
        <v>1.250327841262333E-13</v>
      </c>
      <c r="DQ143" s="13">
        <f t="shared" si="151"/>
        <v>1.8301318724634299E-12</v>
      </c>
      <c r="DR143" s="20">
        <f t="shared" si="124"/>
        <v>3.405245110226996E-12</v>
      </c>
      <c r="DS143" s="59">
        <f t="shared" si="125"/>
        <v>293.33333333333672</v>
      </c>
      <c r="DT143" s="59">
        <f ca="1">AVERAGE(OFFSET($DS$3,0,0,'Données projet'!$E$14+1,1))-AVERAGE(OFFSET($H$3,0,0,'Données projet'!$E$14+1,1))</f>
        <v>197.34725966440715</v>
      </c>
      <c r="DU143" s="59">
        <f t="shared" si="152"/>
        <v>240.16326570529532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7.360712172158526</v>
      </c>
      <c r="EB143" s="21">
        <f>EXP(-LN(2)/25)*EB142+(1-EXP(-LN(2)/25))/(LN(2)/25)*Calculateur!DW143*Calculateur!DY143*VLOOKUP('Données projet'!$B$14,Paramètres!$A$1:$I$89,3,0)*0.475*44/12</f>
        <v>2.5399660176805083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9.9006781898390344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5.6843418860808015E-14</v>
      </c>
      <c r="EK143" s="17">
        <f>EJ143*VLOOKUP('Données projet'!$B$15,Paramètres!$A$1:$I$89,3,0)*VLOOKUP('Données projet'!$B$15,Paramètres!$A$1:$I$89,5,0)</f>
        <v>4.4337866711430253E-14</v>
      </c>
      <c r="EL143" s="13">
        <f t="shared" si="153"/>
        <v>7.3222115536967035E-13</v>
      </c>
      <c r="EM143" s="20">
        <f t="shared" si="127"/>
        <v>1.3525069634579169E-12</v>
      </c>
      <c r="EN143" s="59">
        <f t="shared" si="128"/>
        <v>293.33333333333468</v>
      </c>
      <c r="EO143" s="59">
        <f ca="1">AVERAGE(OFFSET($EN$3,0,0,'Données projet'!$E$15+1,1))-AVERAGE(OFFSET($H$3,0,0,'Données projet'!$E$15+1,1))</f>
        <v>288.82868507674738</v>
      </c>
      <c r="EP143" s="59">
        <f t="shared" si="154"/>
        <v>283.48738729114024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25.293242507904818</v>
      </c>
      <c r="EW143" s="21">
        <f>EXP(-LN(2)/25)*EW142+(1-EXP(-LN(2)/25))/(LN(2)/25)*Calculateur!ER143*Calculateur!ET143*VLOOKUP('Données projet'!$B$15,Paramètres!$A$1:$I$89,3,0)*0.475*44/12</f>
        <v>7.1093190536841728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32.402561561588989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8.1590000000000025</v>
      </c>
      <c r="N144" s="13">
        <f>IF('Données projet'!$A$36&gt;35,N143+M144-V143,IF(A144&lt;'Données projet'!$A$36,$K$205^A144,IF(A144='Données projet'!$A$36,'Données projet'!$B$36,N143+M144-V143)))</f>
        <v>438.75300000000061</v>
      </c>
      <c r="O144" s="13">
        <f>N144*VLOOKUP('Données projet'!$B$9,Paramètres!$A$1:$I$89,3,0)*VLOOKUP('Données projet'!$B$9,Paramètres!$A$1:$I$89,5,0)</f>
        <v>396.98371440000057</v>
      </c>
      <c r="P144" s="13">
        <f t="shared" si="141"/>
        <v>91.164890478045521</v>
      </c>
      <c r="Q144" s="20">
        <f t="shared" si="108"/>
        <v>850.19215349593026</v>
      </c>
      <c r="R144" s="59">
        <f t="shared" si="109"/>
        <v>1143.5254868292636</v>
      </c>
      <c r="S144" s="59">
        <f ca="1">AVERAGE(OFFSET($R$3,0,0,'Données projet'!$E$9+1,1))-AVERAGE(OFFSET($H$3,0,0,'Données projet'!$E$9+1,1))</f>
        <v>581.88778927327667</v>
      </c>
      <c r="T144" s="59">
        <f t="shared" si="142"/>
        <v>269.67340993773422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58.213543414279989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58.213543414279989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1.7053025658242404E-13</v>
      </c>
      <c r="AJ144" s="13">
        <f>AI144*VLOOKUP('Données projet'!$B$10,Paramètres!$A$1:$I$89,3,0)*VLOOKUP('Données projet'!$B$10,Paramètres!$A$1:$I$89,5,0)</f>
        <v>1.1173142411280423E-13</v>
      </c>
      <c r="AK144" s="13">
        <f t="shared" si="143"/>
        <v>1.6569896290553793E-12</v>
      </c>
      <c r="AL144" s="20">
        <f t="shared" si="112"/>
        <v>3.0805225009345862E-12</v>
      </c>
      <c r="AM144" s="59">
        <f t="shared" si="113"/>
        <v>293.33333333333638</v>
      </c>
      <c r="AN144" s="59">
        <f ca="1">AVERAGE(OFFSET($AM$3,0,0,'Données projet'!$E$10+1,1))-AVERAGE(OFFSET($H$3,0,0,'Données projet'!$E$10+1,1))</f>
        <v>230.58262378842818</v>
      </c>
      <c r="AO144" s="59">
        <f t="shared" si="144"/>
        <v>235.68746142880792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20.132090185226215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20.132090185226215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396.98371440000057</v>
      </c>
      <c r="BF144" s="13">
        <f t="shared" si="145"/>
        <v>91.164890478045521</v>
      </c>
      <c r="BG144" s="20">
        <f t="shared" si="115"/>
        <v>850.19215349593026</v>
      </c>
      <c r="BH144" s="59">
        <f t="shared" si="116"/>
        <v>1143.5254868292636</v>
      </c>
      <c r="BI144" s="59">
        <f ca="1">AVERAGE(OFFSET($BH$3,0,0,'Données projet'!$E$11+1,1))-AVERAGE(OFFSET($H$3,0,0,'Données projet'!$E$11+1,1))</f>
        <v>581.88778927327667</v>
      </c>
      <c r="BJ144" s="59">
        <f t="shared" si="146"/>
        <v>269.67340993773422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58.213543414279989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58.213543414279989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417.51735480000059</v>
      </c>
      <c r="CA144" s="13">
        <f t="shared" si="147"/>
        <v>95.319132607670056</v>
      </c>
      <c r="CB144" s="20">
        <f t="shared" si="118"/>
        <v>893.19021556835969</v>
      </c>
      <c r="CC144" s="59">
        <f t="shared" si="119"/>
        <v>1186.5235489016929</v>
      </c>
      <c r="CD144" s="59">
        <f ca="1">AVERAGE(OFFSET($CC$3,0,0,'Données projet'!$E$12+1,1))-AVERAGE(OFFSET($H$3,0,0,'Données projet'!$E$12+1,1))</f>
        <v>609.60019207204277</v>
      </c>
      <c r="CE144" s="59">
        <f t="shared" si="148"/>
        <v>281.42238288764503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61.22458876329447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61.22458876329447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1.5999999999905867E-2</v>
      </c>
      <c r="CU144" s="17">
        <f>CT144*VLOOKUP('Données projet'!$B$13,Paramètres!$A$1:$I$89,3,0)*VLOOKUP('Données projet'!$B$13,Paramètres!$A$1:$I$89,5,0)</f>
        <v>1.2729599999925107E-2</v>
      </c>
      <c r="CV144" s="13">
        <f t="shared" si="149"/>
        <v>9.7491417338934176E-3</v>
      </c>
      <c r="CW144" s="20">
        <f t="shared" si="121"/>
        <v>3.9150475186400593E-2</v>
      </c>
      <c r="CX144" s="59">
        <f t="shared" si="122"/>
        <v>293.37248380851969</v>
      </c>
      <c r="CY144" s="59">
        <f ca="1">AVERAGE(OFFSET($CX$3,0,0,'Données projet'!$E$13+1,1))-AVERAGE(OFFSET($H$3,0,0,'Données projet'!$E$13+1,1))</f>
        <v>172.13940525084604</v>
      </c>
      <c r="CZ144" s="59">
        <f t="shared" si="150"/>
        <v>172.82328007157236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13.658865799604563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13.658865799604563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1.7053025658242404E-13</v>
      </c>
      <c r="DP144" s="17">
        <f>DO144*VLOOKUP('Données projet'!$B$14,Paramètres!$A$1:$I$89,3,0)*VLOOKUP('Données projet'!$B$14,Paramètres!$A$1:$I$89,5,0)</f>
        <v>1.250327841262333E-13</v>
      </c>
      <c r="DQ144" s="13">
        <f t="shared" si="151"/>
        <v>1.8301318724634299E-12</v>
      </c>
      <c r="DR144" s="20">
        <f t="shared" si="124"/>
        <v>3.405245110226996E-12</v>
      </c>
      <c r="DS144" s="59">
        <f t="shared" si="125"/>
        <v>293.33333333333672</v>
      </c>
      <c r="DT144" s="59">
        <f ca="1">AVERAGE(OFFSET($DS$3,0,0,'Données projet'!$E$14+1,1))-AVERAGE(OFFSET($H$3,0,0,'Données projet'!$E$14+1,1))</f>
        <v>197.34725966440715</v>
      </c>
      <c r="DU144" s="59">
        <f t="shared" si="152"/>
        <v>240.16326570529532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7.2163730960536121</v>
      </c>
      <c r="EB144" s="21">
        <f>EXP(-LN(2)/25)*EB143+(1-EXP(-LN(2)/25))/(LN(2)/25)*Calculateur!DW144*Calculateur!DY144*VLOOKUP('Données projet'!$B$14,Paramètres!$A$1:$I$89,3,0)*0.475*44/12</f>
        <v>2.470510513356027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9.6868836094096391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5.6843418860808015E-14</v>
      </c>
      <c r="EK144" s="17">
        <f>EJ144*VLOOKUP('Données projet'!$B$15,Paramètres!$A$1:$I$89,3,0)*VLOOKUP('Données projet'!$B$15,Paramètres!$A$1:$I$89,5,0)</f>
        <v>4.4337866711430253E-14</v>
      </c>
      <c r="EL144" s="13">
        <f t="shared" si="153"/>
        <v>7.3222115536967035E-13</v>
      </c>
      <c r="EM144" s="20">
        <f t="shared" si="127"/>
        <v>1.3525069634579169E-12</v>
      </c>
      <c r="EN144" s="59">
        <f t="shared" si="128"/>
        <v>293.33333333333468</v>
      </c>
      <c r="EO144" s="59">
        <f ca="1">AVERAGE(OFFSET($EN$3,0,0,'Données projet'!$E$15+1,1))-AVERAGE(OFFSET($H$3,0,0,'Données projet'!$E$15+1,1))</f>
        <v>288.82868507674738</v>
      </c>
      <c r="EP144" s="59">
        <f t="shared" si="154"/>
        <v>283.48738729114024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24.79725744967941</v>
      </c>
      <c r="EW144" s="21">
        <f>EXP(-LN(2)/25)*EW143+(1-EXP(-LN(2)/25))/(LN(2)/25)*Calculateur!ER144*Calculateur!ET144*VLOOKUP('Données projet'!$B$15,Paramètres!$A$1:$I$89,3,0)*0.475*44/12</f>
        <v>6.9149143502983383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31.712171799977749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8.1590000000000025</v>
      </c>
      <c r="N145" s="13">
        <f>IF('Données projet'!$A$36&gt;35,N144+M145-V144,IF(A145&lt;'Données projet'!$A$36,$K$205^A145,IF(A145='Données projet'!$A$36,'Données projet'!$B$36,N144+M145-V144)))</f>
        <v>446.9120000000006</v>
      </c>
      <c r="O145" s="13">
        <f>N145*VLOOKUP('Données projet'!$B$9,Paramètres!$A$1:$I$89,3,0)*VLOOKUP('Données projet'!$B$9,Paramètres!$A$1:$I$89,5,0)</f>
        <v>404.36597760000052</v>
      </c>
      <c r="P145" s="13">
        <f t="shared" si="141"/>
        <v>92.66124016608812</v>
      </c>
      <c r="Q145" s="20">
        <f t="shared" si="108"/>
        <v>865.655737609271</v>
      </c>
      <c r="R145" s="59">
        <f t="shared" si="109"/>
        <v>1158.9890709426043</v>
      </c>
      <c r="S145" s="59">
        <f ca="1">AVERAGE(OFFSET($R$3,0,0,'Données projet'!$E$9+1,1))-AVERAGE(OFFSET($H$3,0,0,'Données projet'!$E$9+1,1))</f>
        <v>581.88778927327667</v>
      </c>
      <c r="T145" s="59">
        <f t="shared" si="142"/>
        <v>269.67340993773422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57.072011334681441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57.072011334681441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1.7053025658242404E-13</v>
      </c>
      <c r="AJ145" s="13">
        <f>AI145*VLOOKUP('Données projet'!$B$10,Paramètres!$A$1:$I$89,3,0)*VLOOKUP('Données projet'!$B$10,Paramètres!$A$1:$I$89,5,0)</f>
        <v>1.1173142411280423E-13</v>
      </c>
      <c r="AK145" s="13">
        <f t="shared" si="143"/>
        <v>1.6569896290553793E-12</v>
      </c>
      <c r="AL145" s="20">
        <f t="shared" si="112"/>
        <v>3.0805225009345862E-12</v>
      </c>
      <c r="AM145" s="59">
        <f t="shared" si="113"/>
        <v>293.33333333333638</v>
      </c>
      <c r="AN145" s="59">
        <f ca="1">AVERAGE(OFFSET($AM$3,0,0,'Données projet'!$E$10+1,1))-AVERAGE(OFFSET($H$3,0,0,'Données projet'!$E$10+1,1))</f>
        <v>230.58262378842818</v>
      </c>
      <c r="AO145" s="59">
        <f t="shared" si="144"/>
        <v>235.68746142880792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19.737312176056456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19.737312176056456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404.36597760000052</v>
      </c>
      <c r="BF145" s="13">
        <f t="shared" si="145"/>
        <v>92.66124016608812</v>
      </c>
      <c r="BG145" s="20">
        <f t="shared" si="115"/>
        <v>865.655737609271</v>
      </c>
      <c r="BH145" s="59">
        <f t="shared" si="116"/>
        <v>1158.9890709426043</v>
      </c>
      <c r="BI145" s="59">
        <f ca="1">AVERAGE(OFFSET($BH$3,0,0,'Données projet'!$E$11+1,1))-AVERAGE(OFFSET($H$3,0,0,'Données projet'!$E$11+1,1))</f>
        <v>581.88778927327667</v>
      </c>
      <c r="BJ145" s="59">
        <f t="shared" si="146"/>
        <v>269.67340993773422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57.072011334681441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57.072011334681441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425.2814592000006</v>
      </c>
      <c r="CA145" s="13">
        <f t="shared" si="147"/>
        <v>96.8836686214146</v>
      </c>
      <c r="CB145" s="20">
        <f t="shared" si="118"/>
        <v>909.4375976222982</v>
      </c>
      <c r="CC145" s="59">
        <f t="shared" si="119"/>
        <v>1202.7709309556315</v>
      </c>
      <c r="CD145" s="59">
        <f ca="1">AVERAGE(OFFSET($CC$3,0,0,'Données projet'!$E$12+1,1))-AVERAGE(OFFSET($H$3,0,0,'Données projet'!$E$12+1,1))</f>
        <v>609.60019207204277</v>
      </c>
      <c r="CE145" s="59">
        <f t="shared" si="148"/>
        <v>281.42238288764503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60.024011920958067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60.024011920958067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1.5999999999905867E-2</v>
      </c>
      <c r="CU145" s="17">
        <f>CT145*VLOOKUP('Données projet'!$B$13,Paramètres!$A$1:$I$89,3,0)*VLOOKUP('Données projet'!$B$13,Paramètres!$A$1:$I$89,5,0)</f>
        <v>1.2729599999925107E-2</v>
      </c>
      <c r="CV145" s="13">
        <f t="shared" si="149"/>
        <v>9.7491417338934176E-3</v>
      </c>
      <c r="CW145" s="20">
        <f t="shared" si="121"/>
        <v>3.9150475186400593E-2</v>
      </c>
      <c r="CX145" s="59">
        <f t="shared" si="122"/>
        <v>293.37248380851969</v>
      </c>
      <c r="CY145" s="59">
        <f ca="1">AVERAGE(OFFSET($CX$3,0,0,'Données projet'!$E$13+1,1))-AVERAGE(OFFSET($H$3,0,0,'Données projet'!$E$13+1,1))</f>
        <v>172.13940525084604</v>
      </c>
      <c r="CZ145" s="59">
        <f t="shared" si="150"/>
        <v>172.82328007157236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13.391023772359828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13.391023772359828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1.7053025658242404E-13</v>
      </c>
      <c r="DP145" s="17">
        <f>DO145*VLOOKUP('Données projet'!$B$14,Paramètres!$A$1:$I$89,3,0)*VLOOKUP('Données projet'!$B$14,Paramètres!$A$1:$I$89,5,0)</f>
        <v>1.250327841262333E-13</v>
      </c>
      <c r="DQ145" s="13">
        <f t="shared" si="151"/>
        <v>1.8301318724634299E-12</v>
      </c>
      <c r="DR145" s="20">
        <f t="shared" si="124"/>
        <v>3.405245110226996E-12</v>
      </c>
      <c r="DS145" s="59">
        <f t="shared" si="125"/>
        <v>293.33333333333672</v>
      </c>
      <c r="DT145" s="59">
        <f ca="1">AVERAGE(OFFSET($DS$3,0,0,'Données projet'!$E$14+1,1))-AVERAGE(OFFSET($H$3,0,0,'Données projet'!$E$14+1,1))</f>
        <v>197.34725966440715</v>
      </c>
      <c r="DU145" s="59">
        <f t="shared" si="152"/>
        <v>240.16326570529532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7.0748644211929719</v>
      </c>
      <c r="EB145" s="21">
        <f>EXP(-LN(2)/25)*EB144+(1-EXP(-LN(2)/25))/(LN(2)/25)*Calculateur!DW145*Calculateur!DY145*VLOOKUP('Données projet'!$B$14,Paramètres!$A$1:$I$89,3,0)*0.475*44/12</f>
        <v>2.4029542734498048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9.4778186946427763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5.6843418860808015E-14</v>
      </c>
      <c r="EK145" s="17">
        <f>EJ145*VLOOKUP('Données projet'!$B$15,Paramètres!$A$1:$I$89,3,0)*VLOOKUP('Données projet'!$B$15,Paramètres!$A$1:$I$89,5,0)</f>
        <v>4.4337866711430253E-14</v>
      </c>
      <c r="EL145" s="13">
        <f t="shared" si="153"/>
        <v>7.3222115536967035E-13</v>
      </c>
      <c r="EM145" s="20">
        <f t="shared" si="127"/>
        <v>1.3525069634579169E-12</v>
      </c>
      <c r="EN145" s="59">
        <f t="shared" si="128"/>
        <v>293.33333333333468</v>
      </c>
      <c r="EO145" s="59">
        <f ca="1">AVERAGE(OFFSET($EN$3,0,0,'Données projet'!$E$15+1,1))-AVERAGE(OFFSET($H$3,0,0,'Données projet'!$E$15+1,1))</f>
        <v>288.82868507674738</v>
      </c>
      <c r="EP145" s="59">
        <f t="shared" si="154"/>
        <v>283.48738729114024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24.310998355924788</v>
      </c>
      <c r="EW145" s="21">
        <f>EXP(-LN(2)/25)*EW144+(1-EXP(-LN(2)/25))/(LN(2)/25)*Calculateur!ER145*Calculateur!ET145*VLOOKUP('Données projet'!$B$15,Paramètres!$A$1:$I$89,3,0)*0.475*44/12</f>
        <v>6.7258256537498893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31.036824009674678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8.1590000000000025</v>
      </c>
      <c r="N146" s="13">
        <f>IF('Données projet'!$A$36&gt;35,N145+M146-V145,IF(A146&lt;'Données projet'!$A$36,$K$205^A146,IF(A146='Données projet'!$A$36,'Données projet'!$B$36,N145+M146-V145)))</f>
        <v>455.07100000000059</v>
      </c>
      <c r="O146" s="13">
        <f>N146*VLOOKUP('Données projet'!$B$9,Paramètres!$A$1:$I$89,3,0)*VLOOKUP('Données projet'!$B$9,Paramètres!$A$1:$I$89,5,0)</f>
        <v>411.74824080000053</v>
      </c>
      <c r="P146" s="13">
        <f t="shared" si="141"/>
        <v>94.15441323509782</v>
      </c>
      <c r="Q146" s="20">
        <f t="shared" si="108"/>
        <v>881.11378911112968</v>
      </c>
      <c r="R146" s="59">
        <f t="shared" si="109"/>
        <v>1174.447122444463</v>
      </c>
      <c r="S146" s="59">
        <f ca="1">AVERAGE(OFFSET($R$3,0,0,'Données projet'!$E$9+1,1))-AVERAGE(OFFSET($H$3,0,0,'Données projet'!$E$9+1,1))</f>
        <v>581.88778927327667</v>
      </c>
      <c r="T146" s="59">
        <f t="shared" si="142"/>
        <v>269.67340993773422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55.952864002898004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55.952864002898004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1.7053025658242404E-13</v>
      </c>
      <c r="AJ146" s="13">
        <f>AI146*VLOOKUP('Données projet'!$B$10,Paramètres!$A$1:$I$89,3,0)*VLOOKUP('Données projet'!$B$10,Paramètres!$A$1:$I$89,5,0)</f>
        <v>1.1173142411280423E-13</v>
      </c>
      <c r="AK146" s="13">
        <f t="shared" si="143"/>
        <v>1.6569896290553793E-12</v>
      </c>
      <c r="AL146" s="20">
        <f t="shared" si="112"/>
        <v>3.0805225009345862E-12</v>
      </c>
      <c r="AM146" s="59">
        <f t="shared" si="113"/>
        <v>293.33333333333638</v>
      </c>
      <c r="AN146" s="59">
        <f ca="1">AVERAGE(OFFSET($AM$3,0,0,'Données projet'!$E$10+1,1))-AVERAGE(OFFSET($H$3,0,0,'Données projet'!$E$10+1,1))</f>
        <v>230.58262378842818</v>
      </c>
      <c r="AO146" s="59">
        <f t="shared" si="144"/>
        <v>235.68746142880792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19.350275522855707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19.350275522855707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411.74824080000053</v>
      </c>
      <c r="BF146" s="13">
        <f t="shared" si="145"/>
        <v>94.15441323509782</v>
      </c>
      <c r="BG146" s="20">
        <f t="shared" si="115"/>
        <v>881.11378911112968</v>
      </c>
      <c r="BH146" s="59">
        <f t="shared" si="116"/>
        <v>1174.447122444463</v>
      </c>
      <c r="BI146" s="59">
        <f ca="1">AVERAGE(OFFSET($BH$3,0,0,'Données projet'!$E$11+1,1))-AVERAGE(OFFSET($H$3,0,0,'Données projet'!$E$11+1,1))</f>
        <v>581.88778927327667</v>
      </c>
      <c r="BJ146" s="59">
        <f t="shared" si="146"/>
        <v>269.67340993773422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55.952864002898004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55.952864002898004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433.04556360000061</v>
      </c>
      <c r="CA146" s="13">
        <f t="shared" si="147"/>
        <v>98.444883262542476</v>
      </c>
      <c r="CB146" s="20">
        <f t="shared" si="118"/>
        <v>925.67919495226249</v>
      </c>
      <c r="CC146" s="59">
        <f t="shared" si="119"/>
        <v>1219.0125282855959</v>
      </c>
      <c r="CD146" s="59">
        <f ca="1">AVERAGE(OFFSET($CC$3,0,0,'Données projet'!$E$12+1,1))-AVERAGE(OFFSET($H$3,0,0,'Données projet'!$E$12+1,1))</f>
        <v>609.60019207204277</v>
      </c>
      <c r="CE146" s="59">
        <f t="shared" si="148"/>
        <v>281.42238288764503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58.846977658220311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58.846977658220311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1.5999999999905867E-2</v>
      </c>
      <c r="CU146" s="17">
        <f>CT146*VLOOKUP('Données projet'!$B$13,Paramètres!$A$1:$I$89,3,0)*VLOOKUP('Données projet'!$B$13,Paramètres!$A$1:$I$89,5,0)</f>
        <v>1.2729599999925107E-2</v>
      </c>
      <c r="CV146" s="13">
        <f t="shared" si="149"/>
        <v>9.7491417338934176E-3</v>
      </c>
      <c r="CW146" s="20">
        <f t="shared" si="121"/>
        <v>3.9150475186400593E-2</v>
      </c>
      <c r="CX146" s="59">
        <f t="shared" si="122"/>
        <v>293.37248380851969</v>
      </c>
      <c r="CY146" s="59">
        <f ca="1">AVERAGE(OFFSET($CX$3,0,0,'Données projet'!$E$13+1,1))-AVERAGE(OFFSET($H$3,0,0,'Données projet'!$E$13+1,1))</f>
        <v>172.13940525084604</v>
      </c>
      <c r="CZ146" s="59">
        <f t="shared" si="150"/>
        <v>172.82328007157236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13.128433963901857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13.128433963901857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1.7053025658242404E-13</v>
      </c>
      <c r="DP146" s="17">
        <f>DO146*VLOOKUP('Données projet'!$B$14,Paramètres!$A$1:$I$89,3,0)*VLOOKUP('Données projet'!$B$14,Paramètres!$A$1:$I$89,5,0)</f>
        <v>1.250327841262333E-13</v>
      </c>
      <c r="DQ146" s="13">
        <f t="shared" si="151"/>
        <v>1.8301318724634299E-12</v>
      </c>
      <c r="DR146" s="20">
        <f t="shared" si="124"/>
        <v>3.405245110226996E-12</v>
      </c>
      <c r="DS146" s="59">
        <f t="shared" si="125"/>
        <v>293.33333333333672</v>
      </c>
      <c r="DT146" s="59">
        <f ca="1">AVERAGE(OFFSET($DS$3,0,0,'Données projet'!$E$14+1,1))-AVERAGE(OFFSET($H$3,0,0,'Données projet'!$E$14+1,1))</f>
        <v>197.34725966440715</v>
      </c>
      <c r="DU146" s="59">
        <f t="shared" si="152"/>
        <v>240.16326570529532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6.9361306451345799</v>
      </c>
      <c r="EB146" s="21">
        <f>EXP(-LN(2)/25)*EB145+(1-EXP(-LN(2)/25))/(LN(2)/25)*Calculateur!DW146*Calculateur!DY146*VLOOKUP('Données projet'!$B$14,Paramètres!$A$1:$I$89,3,0)*0.475*44/12</f>
        <v>2.3372453624764469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9.2733760076110272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5.6843418860808015E-14</v>
      </c>
      <c r="EK146" s="17">
        <f>EJ146*VLOOKUP('Données projet'!$B$15,Paramètres!$A$1:$I$89,3,0)*VLOOKUP('Données projet'!$B$15,Paramètres!$A$1:$I$89,5,0)</f>
        <v>4.4337866711430253E-14</v>
      </c>
      <c r="EL146" s="13">
        <f t="shared" si="153"/>
        <v>7.3222115536967035E-13</v>
      </c>
      <c r="EM146" s="20">
        <f t="shared" si="127"/>
        <v>1.3525069634579169E-12</v>
      </c>
      <c r="EN146" s="59">
        <f t="shared" si="128"/>
        <v>293.33333333333468</v>
      </c>
      <c r="EO146" s="59">
        <f ca="1">AVERAGE(OFFSET($EN$3,0,0,'Données projet'!$E$15+1,1))-AVERAGE(OFFSET($H$3,0,0,'Données projet'!$E$15+1,1))</f>
        <v>288.82868507674738</v>
      </c>
      <c r="EP146" s="59">
        <f t="shared" si="154"/>
        <v>283.48738729114024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23.834274506409933</v>
      </c>
      <c r="EW146" s="21">
        <f>EXP(-LN(2)/25)*EW145+(1-EXP(-LN(2)/25))/(LN(2)/25)*Calculateur!ER146*Calculateur!ET146*VLOOKUP('Données projet'!$B$15,Paramètres!$A$1:$I$89,3,0)*0.475*44/12</f>
        <v>6.5419075975522993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30.376182103962233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>
        <f>VLOOKUP(A147,'Données projet'!$A$35:$I$55,2,0)</f>
        <v>463.23</v>
      </c>
      <c r="L147" s="12">
        <f>VLOOKUP(A147,'Données projet'!$A$35:$I$55,9,0)</f>
        <v>8.1590000000000025</v>
      </c>
      <c r="M147" s="12">
        <f t="array" ref="M147">INDEX(L:L,MIN(IF(ISNUMBER(L147:L343),ROW(L147:L343),"")))</f>
        <v>8.1590000000000025</v>
      </c>
      <c r="N147" s="13">
        <f>IF('Données projet'!$A$36&gt;35,N146+M147-V146,IF(A147&lt;'Données projet'!$A$36,$K$205^A147,IF(A147='Données projet'!$A$36,'Données projet'!$B$36,N146+M147-V146)))</f>
        <v>463.23000000000059</v>
      </c>
      <c r="O147" s="13">
        <f>N147*VLOOKUP('Données projet'!$B$9,Paramètres!$A$1:$I$89,3,0)*VLOOKUP('Données projet'!$B$9,Paramètres!$A$1:$I$89,5,0)</f>
        <v>419.13050400000049</v>
      </c>
      <c r="P147" s="13">
        <f t="shared" si="141"/>
        <v>95.644473208887277</v>
      </c>
      <c r="Q147" s="20">
        <f t="shared" si="108"/>
        <v>896.56641863881293</v>
      </c>
      <c r="R147" s="59">
        <f t="shared" si="109"/>
        <v>1189.8997519721463</v>
      </c>
      <c r="S147" s="59">
        <f ca="1">AVERAGE(OFFSET($R$3,0,0,'Données projet'!$E$9+1,1))-AVERAGE(OFFSET($H$3,0,0,'Données projet'!$E$9+1,1))</f>
        <v>581.88778927327667</v>
      </c>
      <c r="T147" s="59">
        <f t="shared" si="142"/>
        <v>269.67340993773422</v>
      </c>
      <c r="U147" s="15">
        <f>IF(ISNA(VLOOKUP(A147,'Données projet'!$A$35:$I$55,3,0)),0,VLOOKUP(A147,'Données projet'!$A$35:$I$55,3,0))</f>
        <v>12</v>
      </c>
      <c r="V147" s="15">
        <f>IF(ISNA(VLOOKUP(A147,'Données projet'!$A$35:$I$55,4,0)),0,VLOOKUP(A147,'Données projet'!$A$35:$I$55,4,0))</f>
        <v>56.01</v>
      </c>
      <c r="W147" s="16">
        <f>IF(ISNA(VLOOKUP(A147,'Données projet'!$A$35:$I$55,5,0)),0%,VLOOKUP(A147,'Données projet'!$A$35:$I$55,5,0)*VLOOKUP('Données projet'!$B$9,Paramètres!$A$1:$I$89,7,0))</f>
        <v>0.25800000000000001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69.309560312196439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69.309560312196439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1.7053025658242404E-13</v>
      </c>
      <c r="AJ147" s="13">
        <f>AI147*VLOOKUP('Données projet'!$B$10,Paramètres!$A$1:$I$89,3,0)*VLOOKUP('Données projet'!$B$10,Paramètres!$A$1:$I$89,5,0)</f>
        <v>1.1173142411280423E-13</v>
      </c>
      <c r="AK147" s="13">
        <f t="shared" si="143"/>
        <v>1.6569896290553793E-12</v>
      </c>
      <c r="AL147" s="20">
        <f t="shared" si="112"/>
        <v>3.0805225009345862E-12</v>
      </c>
      <c r="AM147" s="59">
        <f t="shared" si="113"/>
        <v>293.33333333333638</v>
      </c>
      <c r="AN147" s="59">
        <f ca="1">AVERAGE(OFFSET($AM$3,0,0,'Données projet'!$E$10+1,1))-AVERAGE(OFFSET($H$3,0,0,'Données projet'!$E$10+1,1))</f>
        <v>230.58262378842818</v>
      </c>
      <c r="AO147" s="59">
        <f t="shared" si="144"/>
        <v>235.68746142880792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18.970828422355176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18.970828422355176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419.13050400000049</v>
      </c>
      <c r="BF147" s="13">
        <f t="shared" si="145"/>
        <v>95.644473208887277</v>
      </c>
      <c r="BG147" s="20">
        <f t="shared" si="115"/>
        <v>896.56641863881293</v>
      </c>
      <c r="BH147" s="59">
        <f t="shared" si="116"/>
        <v>1189.8997519721463</v>
      </c>
      <c r="BI147" s="59">
        <f ca="1">AVERAGE(OFFSET($BH$3,0,0,'Données projet'!$E$11+1,1))-AVERAGE(OFFSET($H$3,0,0,'Données projet'!$E$11+1,1))</f>
        <v>581.88778927327667</v>
      </c>
      <c r="BJ147" s="59">
        <f t="shared" si="146"/>
        <v>269.67340993773422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69.309560312196439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69.309560312196439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440.80966800000061</v>
      </c>
      <c r="CA147" s="13">
        <f t="shared" si="147"/>
        <v>100.00284294954746</v>
      </c>
      <c r="CB147" s="20">
        <f t="shared" si="118"/>
        <v>941.91512323712925</v>
      </c>
      <c r="CC147" s="59">
        <f t="shared" si="119"/>
        <v>1235.2484565704626</v>
      </c>
      <c r="CD147" s="59">
        <f ca="1">AVERAGE(OFFSET($CC$3,0,0,'Données projet'!$E$12+1,1))-AVERAGE(OFFSET($H$3,0,0,'Données projet'!$E$12+1,1))</f>
        <v>609.60019207204277</v>
      </c>
      <c r="CE147" s="59">
        <f t="shared" si="148"/>
        <v>281.42238288764503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72.894537569723838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72.894537569723838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1.5999999999905867E-2</v>
      </c>
      <c r="CU147" s="17">
        <f>CT147*VLOOKUP('Données projet'!$B$13,Paramètres!$A$1:$I$89,3,0)*VLOOKUP('Données projet'!$B$13,Paramètres!$A$1:$I$89,5,0)</f>
        <v>1.2729599999925107E-2</v>
      </c>
      <c r="CV147" s="13">
        <f t="shared" si="149"/>
        <v>9.7491417338934176E-3</v>
      </c>
      <c r="CW147" s="20">
        <f t="shared" si="121"/>
        <v>3.9150475186400593E-2</v>
      </c>
      <c r="CX147" s="59">
        <f t="shared" si="122"/>
        <v>293.37248380851969</v>
      </c>
      <c r="CY147" s="59">
        <f ca="1">AVERAGE(OFFSET($CX$3,0,0,'Données projet'!$E$13+1,1))-AVERAGE(OFFSET($H$3,0,0,'Données projet'!$E$13+1,1))</f>
        <v>172.13940525084604</v>
      </c>
      <c r="CZ147" s="59">
        <f t="shared" si="150"/>
        <v>172.82328007157236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12.87099338142378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12.87099338142378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1.7053025658242404E-13</v>
      </c>
      <c r="DP147" s="17">
        <f>DO147*VLOOKUP('Données projet'!$B$14,Paramètres!$A$1:$I$89,3,0)*VLOOKUP('Données projet'!$B$14,Paramètres!$A$1:$I$89,5,0)</f>
        <v>1.250327841262333E-13</v>
      </c>
      <c r="DQ147" s="13">
        <f t="shared" si="151"/>
        <v>1.8301318724634299E-12</v>
      </c>
      <c r="DR147" s="20">
        <f t="shared" si="124"/>
        <v>3.405245110226996E-12</v>
      </c>
      <c r="DS147" s="59">
        <f t="shared" si="125"/>
        <v>293.33333333333672</v>
      </c>
      <c r="DT147" s="59">
        <f ca="1">AVERAGE(OFFSET($DS$3,0,0,'Données projet'!$E$14+1,1))-AVERAGE(OFFSET($H$3,0,0,'Données projet'!$E$14+1,1))</f>
        <v>197.34725966440715</v>
      </c>
      <c r="DU147" s="59">
        <f t="shared" si="152"/>
        <v>240.16326570529532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6.8001173538054447</v>
      </c>
      <c r="EB147" s="21">
        <f>EXP(-LN(2)/25)*EB146+(1-EXP(-LN(2)/25))/(LN(2)/25)*Calculateur!DW147*Calculateur!DY147*VLOOKUP('Données projet'!$B$14,Paramètres!$A$1:$I$89,3,0)*0.475*44/12</f>
        <v>2.2733332651291365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9.0734506189345812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5.6843418860808015E-14</v>
      </c>
      <c r="EK147" s="17">
        <f>EJ147*VLOOKUP('Données projet'!$B$15,Paramètres!$A$1:$I$89,3,0)*VLOOKUP('Données projet'!$B$15,Paramètres!$A$1:$I$89,5,0)</f>
        <v>4.4337866711430253E-14</v>
      </c>
      <c r="EL147" s="13">
        <f t="shared" si="153"/>
        <v>7.3222115536967035E-13</v>
      </c>
      <c r="EM147" s="20">
        <f t="shared" si="127"/>
        <v>1.3525069634579169E-12</v>
      </c>
      <c r="EN147" s="59">
        <f t="shared" si="128"/>
        <v>293.33333333333468</v>
      </c>
      <c r="EO147" s="59">
        <f ca="1">AVERAGE(OFFSET($EN$3,0,0,'Données projet'!$E$15+1,1))-AVERAGE(OFFSET($H$3,0,0,'Données projet'!$E$15+1,1))</f>
        <v>288.82868507674738</v>
      </c>
      <c r="EP147" s="59">
        <f t="shared" si="154"/>
        <v>283.48738729114024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23.366898920811227</v>
      </c>
      <c r="EW147" s="21">
        <f>EXP(-LN(2)/25)*EW146+(1-EXP(-LN(2)/25))/(LN(2)/25)*Calculateur!ER147*Calculateur!ET147*VLOOKUP('Données projet'!$B$15,Paramètres!$A$1:$I$89,3,0)*0.475*44/12</f>
        <v>6.3630187902732631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29.729917711084489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8.3249999999999993</v>
      </c>
      <c r="N148" s="13">
        <f>IF('Données projet'!$A$36&gt;35,N147+M148-V147,IF(A148&lt;'Données projet'!$A$36,$K$205^A148,IF(A148='Données projet'!$A$36,'Données projet'!$B$36,N147+M148-V147)))</f>
        <v>415.54500000000058</v>
      </c>
      <c r="O148" s="13">
        <f>N148*VLOOKUP('Données projet'!$B$9,Paramètres!$A$1:$I$89,3,0)*VLOOKUP('Données projet'!$B$9,Paramètres!$A$1:$I$89,5,0)</f>
        <v>375.98511600000052</v>
      </c>
      <c r="P148" s="13">
        <f t="shared" si="141"/>
        <v>86.890611547517153</v>
      </c>
      <c r="Q148" s="20">
        <f t="shared" si="108"/>
        <v>806.17522547859323</v>
      </c>
      <c r="R148" s="59">
        <f t="shared" si="109"/>
        <v>1099.5085588119266</v>
      </c>
      <c r="S148" s="59">
        <f ca="1">AVERAGE(OFFSET($R$3,0,0,'Données projet'!$E$9+1,1))-AVERAGE(OFFSET($H$3,0,0,'Données projet'!$E$9+1,1))</f>
        <v>581.88778927327667</v>
      </c>
      <c r="T148" s="59">
        <f t="shared" si="142"/>
        <v>269.67340993773422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67.950442109131785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67.950442109131785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1.7053025658242404E-13</v>
      </c>
      <c r="AJ148" s="13">
        <f>AI148*VLOOKUP('Données projet'!$B$10,Paramètres!$A$1:$I$89,3,0)*VLOOKUP('Données projet'!$B$10,Paramètres!$A$1:$I$89,5,0)</f>
        <v>1.1173142411280423E-13</v>
      </c>
      <c r="AK148" s="13">
        <f t="shared" si="143"/>
        <v>1.6569896290553793E-12</v>
      </c>
      <c r="AL148" s="20">
        <f t="shared" si="112"/>
        <v>3.0805225009345862E-12</v>
      </c>
      <c r="AM148" s="59">
        <f t="shared" si="113"/>
        <v>293.33333333333638</v>
      </c>
      <c r="AN148" s="59">
        <f ca="1">AVERAGE(OFFSET($AM$3,0,0,'Données projet'!$E$10+1,1))-AVERAGE(OFFSET($H$3,0,0,'Données projet'!$E$10+1,1))</f>
        <v>230.58262378842818</v>
      </c>
      <c r="AO148" s="59">
        <f t="shared" si="144"/>
        <v>235.68746142880792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18.598822048055581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18.598822048055581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375.98511600000052</v>
      </c>
      <c r="BF148" s="13">
        <f t="shared" si="145"/>
        <v>86.890611547517153</v>
      </c>
      <c r="BG148" s="20">
        <f t="shared" si="115"/>
        <v>806.17522547859323</v>
      </c>
      <c r="BH148" s="59">
        <f t="shared" si="116"/>
        <v>1099.5085588119266</v>
      </c>
      <c r="BI148" s="59">
        <f ca="1">AVERAGE(OFFSET($BH$3,0,0,'Données projet'!$E$11+1,1))-AVERAGE(OFFSET($H$3,0,0,'Données projet'!$E$11+1,1))</f>
        <v>581.88778927327667</v>
      </c>
      <c r="BJ148" s="59">
        <f t="shared" si="146"/>
        <v>269.67340993773422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67.950442109131785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67.950442109131785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395.43262200000055</v>
      </c>
      <c r="CA148" s="13">
        <f t="shared" si="147"/>
        <v>90.850081440660546</v>
      </c>
      <c r="CB148" s="20">
        <f t="shared" si="118"/>
        <v>846.94237515915131</v>
      </c>
      <c r="CC148" s="59">
        <f t="shared" si="119"/>
        <v>1140.2757084924847</v>
      </c>
      <c r="CD148" s="59">
        <f ca="1">AVERAGE(OFFSET($CC$3,0,0,'Données projet'!$E$12+1,1))-AVERAGE(OFFSET($H$3,0,0,'Données projet'!$E$12+1,1))</f>
        <v>609.60019207204277</v>
      </c>
      <c r="CE148" s="59">
        <f t="shared" si="148"/>
        <v>281.42238288764503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71.465120149259278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71.465120149259278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1.5999999999905867E-2</v>
      </c>
      <c r="CU148" s="17">
        <f>CT148*VLOOKUP('Données projet'!$B$13,Paramètres!$A$1:$I$89,3,0)*VLOOKUP('Données projet'!$B$13,Paramètres!$A$1:$I$89,5,0)</f>
        <v>1.2729599999925107E-2</v>
      </c>
      <c r="CV148" s="13">
        <f t="shared" si="149"/>
        <v>9.7491417338934176E-3</v>
      </c>
      <c r="CW148" s="20">
        <f t="shared" si="121"/>
        <v>3.9150475186400593E-2</v>
      </c>
      <c r="CX148" s="59">
        <f t="shared" si="122"/>
        <v>293.37248380851969</v>
      </c>
      <c r="CY148" s="59">
        <f ca="1">AVERAGE(OFFSET($CX$3,0,0,'Données projet'!$E$13+1,1))-AVERAGE(OFFSET($H$3,0,0,'Données projet'!$E$13+1,1))</f>
        <v>172.13940525084604</v>
      </c>
      <c r="CZ148" s="59">
        <f t="shared" si="150"/>
        <v>172.82328007157236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12.618601051744847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12.618601051744847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1.7053025658242404E-13</v>
      </c>
      <c r="DP148" s="17">
        <f>DO148*VLOOKUP('Données projet'!$B$14,Paramètres!$A$1:$I$89,3,0)*VLOOKUP('Données projet'!$B$14,Paramètres!$A$1:$I$89,5,0)</f>
        <v>1.250327841262333E-13</v>
      </c>
      <c r="DQ148" s="13">
        <f t="shared" si="151"/>
        <v>1.8301318724634299E-12</v>
      </c>
      <c r="DR148" s="20">
        <f t="shared" si="124"/>
        <v>3.405245110226996E-12</v>
      </c>
      <c r="DS148" s="59">
        <f t="shared" si="125"/>
        <v>293.33333333333672</v>
      </c>
      <c r="DT148" s="59">
        <f ca="1">AVERAGE(OFFSET($DS$3,0,0,'Données projet'!$E$14+1,1))-AVERAGE(OFFSET($H$3,0,0,'Données projet'!$E$14+1,1))</f>
        <v>197.34725966440715</v>
      </c>
      <c r="DU148" s="59">
        <f t="shared" si="152"/>
        <v>240.16326570529532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6.6667712001593582</v>
      </c>
      <c r="EB148" s="21">
        <f>EXP(-LN(2)/25)*EB147+(1-EXP(-LN(2)/25))/(LN(2)/25)*Calculateur!DW148*Calculateur!DY148*VLOOKUP('Données projet'!$B$14,Paramètres!$A$1:$I$89,3,0)*0.475*44/12</f>
        <v>2.2111688474447795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8.8779400476041381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5.6843418860808015E-14</v>
      </c>
      <c r="EK148" s="17">
        <f>EJ148*VLOOKUP('Données projet'!$B$15,Paramètres!$A$1:$I$89,3,0)*VLOOKUP('Données projet'!$B$15,Paramètres!$A$1:$I$89,5,0)</f>
        <v>4.4337866711430253E-14</v>
      </c>
      <c r="EL148" s="13">
        <f t="shared" si="153"/>
        <v>7.3222115536967035E-13</v>
      </c>
      <c r="EM148" s="20">
        <f t="shared" si="127"/>
        <v>1.3525069634579169E-12</v>
      </c>
      <c r="EN148" s="59">
        <f t="shared" si="128"/>
        <v>293.33333333333468</v>
      </c>
      <c r="EO148" s="59">
        <f ca="1">AVERAGE(OFFSET($EN$3,0,0,'Données projet'!$E$15+1,1))-AVERAGE(OFFSET($H$3,0,0,'Données projet'!$E$15+1,1))</f>
        <v>288.82868507674738</v>
      </c>
      <c r="EP148" s="59">
        <f t="shared" si="154"/>
        <v>283.48738729114024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22.908688285375153</v>
      </c>
      <c r="EW148" s="21">
        <f>EXP(-LN(2)/25)*EW147+(1-EXP(-LN(2)/25))/(LN(2)/25)*Calculateur!ER148*Calculateur!ET148*VLOOKUP('Données projet'!$B$15,Paramètres!$A$1:$I$89,3,0)*0.475*44/12</f>
        <v>6.1890217068366251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29.097709992211776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8.3249999999999993</v>
      </c>
      <c r="N149" s="13">
        <f>IF('Données projet'!$A$36&gt;35,N148+M149-V148,IF(A149&lt;'Données projet'!$A$36,$K$205^A149,IF(A149='Données projet'!$A$36,'Données projet'!$B$36,N148+M149-V148)))</f>
        <v>423.87000000000057</v>
      </c>
      <c r="O149" s="13">
        <f>N149*VLOOKUP('Données projet'!$B$9,Paramètres!$A$1:$I$89,3,0)*VLOOKUP('Données projet'!$B$9,Paramètres!$A$1:$I$89,5,0)</f>
        <v>383.51757600000053</v>
      </c>
      <c r="P149" s="13">
        <f t="shared" si="141"/>
        <v>88.426967368766455</v>
      </c>
      <c r="Q149" s="20">
        <f t="shared" si="108"/>
        <v>821.97007970060247</v>
      </c>
      <c r="R149" s="59">
        <f t="shared" si="109"/>
        <v>1115.3034130339358</v>
      </c>
      <c r="S149" s="59">
        <f ca="1">AVERAGE(OFFSET($R$3,0,0,'Données projet'!$E$9+1,1))-AVERAGE(OFFSET($H$3,0,0,'Données projet'!$E$9+1,1))</f>
        <v>581.88778927327667</v>
      </c>
      <c r="T149" s="59">
        <f t="shared" si="142"/>
        <v>269.67340993773422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66.617975385048979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66.617975385048979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1.7053025658242404E-13</v>
      </c>
      <c r="AJ149" s="13">
        <f>AI149*VLOOKUP('Données projet'!$B$10,Paramètres!$A$1:$I$89,3,0)*VLOOKUP('Données projet'!$B$10,Paramètres!$A$1:$I$89,5,0)</f>
        <v>1.1173142411280423E-13</v>
      </c>
      <c r="AK149" s="13">
        <f t="shared" si="143"/>
        <v>1.6569896290553793E-12</v>
      </c>
      <c r="AL149" s="20">
        <f t="shared" si="112"/>
        <v>3.0805225009345862E-12</v>
      </c>
      <c r="AM149" s="59">
        <f t="shared" si="113"/>
        <v>293.33333333333638</v>
      </c>
      <c r="AN149" s="59">
        <f ca="1">AVERAGE(OFFSET($AM$3,0,0,'Données projet'!$E$10+1,1))-AVERAGE(OFFSET($H$3,0,0,'Données projet'!$E$10+1,1))</f>
        <v>230.58262378842818</v>
      </c>
      <c r="AO149" s="59">
        <f t="shared" si="144"/>
        <v>235.68746142880792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18.234110491854519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18.234110491854519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383.51757600000053</v>
      </c>
      <c r="BF149" s="13">
        <f t="shared" si="145"/>
        <v>88.426967368766455</v>
      </c>
      <c r="BG149" s="20">
        <f t="shared" si="115"/>
        <v>821.97007970060247</v>
      </c>
      <c r="BH149" s="59">
        <f t="shared" si="116"/>
        <v>1115.3034130339358</v>
      </c>
      <c r="BI149" s="59">
        <f ca="1">AVERAGE(OFFSET($BH$3,0,0,'Données projet'!$E$11+1,1))-AVERAGE(OFFSET($H$3,0,0,'Données projet'!$E$11+1,1))</f>
        <v>581.88778927327667</v>
      </c>
      <c r="BJ149" s="59">
        <f t="shared" si="146"/>
        <v>269.67340993773422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66.617975385048979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66.617975385048979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403.35469200000057</v>
      </c>
      <c r="CA149" s="13">
        <f t="shared" si="147"/>
        <v>92.456446604818723</v>
      </c>
      <c r="CB149" s="20">
        <f t="shared" si="118"/>
        <v>863.5377330700602</v>
      </c>
      <c r="CC149" s="59">
        <f t="shared" si="119"/>
        <v>1156.8710664033936</v>
      </c>
      <c r="CD149" s="59">
        <f ca="1">AVERAGE(OFFSET($CC$3,0,0,'Données projet'!$E$12+1,1))-AVERAGE(OFFSET($H$3,0,0,'Données projet'!$E$12+1,1))</f>
        <v>609.60019207204277</v>
      </c>
      <c r="CE149" s="59">
        <f t="shared" si="148"/>
        <v>281.42238288764503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70.0637327325515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70.0637327325515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1.5999999999905867E-2</v>
      </c>
      <c r="CU149" s="17">
        <f>CT149*VLOOKUP('Données projet'!$B$13,Paramètres!$A$1:$I$89,3,0)*VLOOKUP('Données projet'!$B$13,Paramètres!$A$1:$I$89,5,0)</f>
        <v>1.2729599999925107E-2</v>
      </c>
      <c r="CV149" s="13">
        <f t="shared" si="149"/>
        <v>9.7491417338934176E-3</v>
      </c>
      <c r="CW149" s="20">
        <f t="shared" si="121"/>
        <v>3.9150475186400593E-2</v>
      </c>
      <c r="CX149" s="59">
        <f t="shared" si="122"/>
        <v>293.37248380851969</v>
      </c>
      <c r="CY149" s="59">
        <f ca="1">AVERAGE(OFFSET($CX$3,0,0,'Données projet'!$E$13+1,1))-AVERAGE(OFFSET($H$3,0,0,'Données projet'!$E$13+1,1))</f>
        <v>172.13940525084604</v>
      </c>
      <c r="CZ149" s="59">
        <f t="shared" si="150"/>
        <v>172.82328007157236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12.371157981706796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12.371157981706796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1.7053025658242404E-13</v>
      </c>
      <c r="DP149" s="17">
        <f>DO149*VLOOKUP('Données projet'!$B$14,Paramètres!$A$1:$I$89,3,0)*VLOOKUP('Données projet'!$B$14,Paramètres!$A$1:$I$89,5,0)</f>
        <v>1.250327841262333E-13</v>
      </c>
      <c r="DQ149" s="13">
        <f t="shared" si="151"/>
        <v>1.8301318724634299E-12</v>
      </c>
      <c r="DR149" s="20">
        <f t="shared" si="124"/>
        <v>3.405245110226996E-12</v>
      </c>
      <c r="DS149" s="59">
        <f t="shared" si="125"/>
        <v>293.33333333333672</v>
      </c>
      <c r="DT149" s="59">
        <f ca="1">AVERAGE(OFFSET($DS$3,0,0,'Données projet'!$E$14+1,1))-AVERAGE(OFFSET($H$3,0,0,'Données projet'!$E$14+1,1))</f>
        <v>197.34725966440715</v>
      </c>
      <c r="DU149" s="59">
        <f t="shared" si="152"/>
        <v>240.16326570529532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6.5360398832531486</v>
      </c>
      <c r="EB149" s="21">
        <f>EXP(-LN(2)/25)*EB148+(1-EXP(-LN(2)/25))/(LN(2)/25)*Calculateur!DW149*Calculateur!DY149*VLOOKUP('Données projet'!$B$14,Paramètres!$A$1:$I$89,3,0)*0.475*44/12</f>
        <v>2.1507043190310862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8.6867442022842347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5.6843418860808015E-14</v>
      </c>
      <c r="EK149" s="17">
        <f>EJ149*VLOOKUP('Données projet'!$B$15,Paramètres!$A$1:$I$89,3,0)*VLOOKUP('Données projet'!$B$15,Paramètres!$A$1:$I$89,5,0)</f>
        <v>4.4337866711430253E-14</v>
      </c>
      <c r="EL149" s="13">
        <f t="shared" si="153"/>
        <v>7.3222115536967035E-13</v>
      </c>
      <c r="EM149" s="20">
        <f t="shared" si="127"/>
        <v>1.3525069634579169E-12</v>
      </c>
      <c r="EN149" s="59">
        <f t="shared" si="128"/>
        <v>293.33333333333468</v>
      </c>
      <c r="EO149" s="59">
        <f ca="1">AVERAGE(OFFSET($EN$3,0,0,'Données projet'!$E$15+1,1))-AVERAGE(OFFSET($H$3,0,0,'Données projet'!$E$15+1,1))</f>
        <v>288.82868507674738</v>
      </c>
      <c r="EP149" s="59">
        <f t="shared" si="154"/>
        <v>283.48738729114024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22.459462881019089</v>
      </c>
      <c r="EW149" s="21">
        <f>EXP(-LN(2)/25)*EW148+(1-EXP(-LN(2)/25))/(LN(2)/25)*Calculateur!ER149*Calculateur!ET149*VLOOKUP('Données projet'!$B$15,Paramètres!$A$1:$I$89,3,0)*0.475*44/12</f>
        <v>6.0197825827966716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28.479245463815761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8.3249999999999993</v>
      </c>
      <c r="N150" s="13">
        <f>IF('Données projet'!$A$36&gt;35,N149+M150-V149,IF(A150&lt;'Données projet'!$A$36,$K$205^A150,IF(A150='Données projet'!$A$36,'Données projet'!$B$36,N149+M150-V149)))</f>
        <v>432.19500000000056</v>
      </c>
      <c r="O150" s="13">
        <f>N150*VLOOKUP('Données projet'!$B$9,Paramètres!$A$1:$I$89,3,0)*VLOOKUP('Données projet'!$B$9,Paramètres!$A$1:$I$89,5,0)</f>
        <v>391.05003600000049</v>
      </c>
      <c r="P150" s="13">
        <f t="shared" si="141"/>
        <v>89.959814624965674</v>
      </c>
      <c r="Q150" s="20">
        <f t="shared" si="108"/>
        <v>837.75882317181595</v>
      </c>
      <c r="R150" s="59">
        <f t="shared" si="109"/>
        <v>1131.0921565051492</v>
      </c>
      <c r="S150" s="59">
        <f ca="1">AVERAGE(OFFSET($R$3,0,0,'Données projet'!$E$9+1,1))-AVERAGE(OFFSET($H$3,0,0,'Données projet'!$E$9+1,1))</f>
        <v>581.88778927327667</v>
      </c>
      <c r="T150" s="59">
        <f t="shared" si="142"/>
        <v>269.67340993773422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65.311637520700984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65.311637520700984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1.7053025658242404E-13</v>
      </c>
      <c r="AJ150" s="13">
        <f>AI150*VLOOKUP('Données projet'!$B$10,Paramètres!$A$1:$I$89,3,0)*VLOOKUP('Données projet'!$B$10,Paramètres!$A$1:$I$89,5,0)</f>
        <v>1.1173142411280423E-13</v>
      </c>
      <c r="AK150" s="13">
        <f t="shared" si="143"/>
        <v>1.6569896290553793E-12</v>
      </c>
      <c r="AL150" s="20">
        <f t="shared" si="112"/>
        <v>3.0805225009345862E-12</v>
      </c>
      <c r="AM150" s="59">
        <f t="shared" si="113"/>
        <v>293.33333333333638</v>
      </c>
      <c r="AN150" s="59">
        <f ca="1">AVERAGE(OFFSET($AM$3,0,0,'Données projet'!$E$10+1,1))-AVERAGE(OFFSET($H$3,0,0,'Données projet'!$E$10+1,1))</f>
        <v>230.58262378842818</v>
      </c>
      <c r="AO150" s="59">
        <f t="shared" si="144"/>
        <v>235.68746142880792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17.876550706818474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17.876550706818474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391.05003600000049</v>
      </c>
      <c r="BF150" s="13">
        <f t="shared" si="145"/>
        <v>89.959814624965674</v>
      </c>
      <c r="BG150" s="20">
        <f t="shared" si="115"/>
        <v>837.75882317181595</v>
      </c>
      <c r="BH150" s="59">
        <f t="shared" si="116"/>
        <v>1131.0921565051492</v>
      </c>
      <c r="BI150" s="59">
        <f ca="1">AVERAGE(OFFSET($BH$3,0,0,'Données projet'!$E$11+1,1))-AVERAGE(OFFSET($H$3,0,0,'Données projet'!$E$11+1,1))</f>
        <v>581.88778927327667</v>
      </c>
      <c r="BJ150" s="59">
        <f t="shared" si="146"/>
        <v>269.67340993773422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65.311637520700984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65.311637520700984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411.27676200000059</v>
      </c>
      <c r="CA150" s="13">
        <f t="shared" si="147"/>
        <v>94.05914332407977</v>
      </c>
      <c r="CB150" s="20">
        <f t="shared" si="118"/>
        <v>880.12670177277323</v>
      </c>
      <c r="CC150" s="59">
        <f t="shared" si="119"/>
        <v>1173.4600351061065</v>
      </c>
      <c r="CD150" s="59">
        <f ca="1">AVERAGE(OFFSET($CC$3,0,0,'Données projet'!$E$12+1,1))-AVERAGE(OFFSET($H$3,0,0,'Données projet'!$E$12+1,1))</f>
        <v>609.60019207204277</v>
      </c>
      <c r="CE150" s="59">
        <f t="shared" si="148"/>
        <v>281.42238288764503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68.689825668323437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68.689825668323437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1.5999999999905867E-2</v>
      </c>
      <c r="CU150" s="17">
        <f>CT150*VLOOKUP('Données projet'!$B$13,Paramètres!$A$1:$I$89,3,0)*VLOOKUP('Données projet'!$B$13,Paramètres!$A$1:$I$89,5,0)</f>
        <v>1.2729599999925107E-2</v>
      </c>
      <c r="CV150" s="13">
        <f t="shared" si="149"/>
        <v>9.7491417338934176E-3</v>
      </c>
      <c r="CW150" s="20">
        <f t="shared" si="121"/>
        <v>3.9150475186400593E-2</v>
      </c>
      <c r="CX150" s="59">
        <f t="shared" si="122"/>
        <v>293.37248380851969</v>
      </c>
      <c r="CY150" s="59">
        <f ca="1">AVERAGE(OFFSET($CX$3,0,0,'Données projet'!$E$13+1,1))-AVERAGE(OFFSET($H$3,0,0,'Données projet'!$E$13+1,1))</f>
        <v>172.13940525084604</v>
      </c>
      <c r="CZ150" s="59">
        <f t="shared" si="150"/>
        <v>172.82328007157236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12.128567119346823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12.128567119346823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1.7053025658242404E-13</v>
      </c>
      <c r="DP150" s="17">
        <f>DO150*VLOOKUP('Données projet'!$B$14,Paramètres!$A$1:$I$89,3,0)*VLOOKUP('Données projet'!$B$14,Paramètres!$A$1:$I$89,5,0)</f>
        <v>1.250327841262333E-13</v>
      </c>
      <c r="DQ150" s="13">
        <f t="shared" si="151"/>
        <v>1.8301318724634299E-12</v>
      </c>
      <c r="DR150" s="20">
        <f t="shared" si="124"/>
        <v>3.405245110226996E-12</v>
      </c>
      <c r="DS150" s="59">
        <f t="shared" si="125"/>
        <v>293.33333333333672</v>
      </c>
      <c r="DT150" s="59">
        <f ca="1">AVERAGE(OFFSET($DS$3,0,0,'Données projet'!$E$14+1,1))-AVERAGE(OFFSET($H$3,0,0,'Données projet'!$E$14+1,1))</f>
        <v>197.34725966440715</v>
      </c>
      <c r="DU150" s="59">
        <f t="shared" si="152"/>
        <v>240.16326570529532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6.4078721277332402</v>
      </c>
      <c r="EB150" s="21">
        <f>EXP(-LN(2)/25)*EB149+(1-EXP(-LN(2)/25))/(LN(2)/25)*Calculateur!DW150*Calculateur!DY150*VLOOKUP('Données projet'!$B$14,Paramètres!$A$1:$I$89,3,0)*0.475*44/12</f>
        <v>2.0918931963265566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8.4997653240597977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5.6843418860808015E-14</v>
      </c>
      <c r="EK150" s="17">
        <f>EJ150*VLOOKUP('Données projet'!$B$15,Paramètres!$A$1:$I$89,3,0)*VLOOKUP('Données projet'!$B$15,Paramètres!$A$1:$I$89,5,0)</f>
        <v>4.4337866711430253E-14</v>
      </c>
      <c r="EL150" s="13">
        <f t="shared" si="153"/>
        <v>7.3222115536967035E-13</v>
      </c>
      <c r="EM150" s="20">
        <f t="shared" si="127"/>
        <v>1.3525069634579169E-12</v>
      </c>
      <c r="EN150" s="59">
        <f t="shared" si="128"/>
        <v>293.33333333333468</v>
      </c>
      <c r="EO150" s="59">
        <f ca="1">AVERAGE(OFFSET($EN$3,0,0,'Données projet'!$E$15+1,1))-AVERAGE(OFFSET($H$3,0,0,'Données projet'!$E$15+1,1))</f>
        <v>288.82868507674738</v>
      </c>
      <c r="EP150" s="59">
        <f t="shared" si="154"/>
        <v>283.48738729114024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22.019046512842007</v>
      </c>
      <c r="EW150" s="21">
        <f>EXP(-LN(2)/25)*EW149+(1-EXP(-LN(2)/25))/(LN(2)/25)*Calculateur!ER150*Calculateur!ET150*VLOOKUP('Données projet'!$B$15,Paramètres!$A$1:$I$89,3,0)*0.475*44/12</f>
        <v>5.8551713115034891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27.874217824345497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8.3249999999999993</v>
      </c>
      <c r="N151" s="13">
        <f>IF('Données projet'!$A$36&gt;35,N150+M151-V150,IF(A151&lt;'Données projet'!$A$36,$K$205^A151,IF(A151='Données projet'!$A$36,'Données projet'!$B$36,N150+M151-V150)))</f>
        <v>440.52000000000055</v>
      </c>
      <c r="O151" s="13">
        <f>N151*VLOOKUP('Données projet'!$B$9,Paramètres!$A$1:$I$89,3,0)*VLOOKUP('Données projet'!$B$9,Paramètres!$A$1:$I$89,5,0)</f>
        <v>398.5824960000005</v>
      </c>
      <c r="P151" s="13">
        <f t="shared" si="141"/>
        <v>91.489228690064536</v>
      </c>
      <c r="Q151" s="20">
        <f t="shared" si="108"/>
        <v>853.54158716852999</v>
      </c>
      <c r="R151" s="59">
        <f t="shared" si="109"/>
        <v>1146.8749205018632</v>
      </c>
      <c r="S151" s="59">
        <f ca="1">AVERAGE(OFFSET($R$3,0,0,'Données projet'!$E$9+1,1))-AVERAGE(OFFSET($H$3,0,0,'Données projet'!$E$9+1,1))</f>
        <v>581.88778927327667</v>
      </c>
      <c r="T151" s="59">
        <f t="shared" si="142"/>
        <v>269.67340993773422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64.030916145085428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64.030916145085428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1.7053025658242404E-13</v>
      </c>
      <c r="AJ151" s="13">
        <f>AI151*VLOOKUP('Données projet'!$B$10,Paramètres!$A$1:$I$89,3,0)*VLOOKUP('Données projet'!$B$10,Paramètres!$A$1:$I$89,5,0)</f>
        <v>1.1173142411280423E-13</v>
      </c>
      <c r="AK151" s="13">
        <f t="shared" si="143"/>
        <v>1.6569896290553793E-12</v>
      </c>
      <c r="AL151" s="20">
        <f t="shared" si="112"/>
        <v>3.0805225009345862E-12</v>
      </c>
      <c r="AM151" s="59">
        <f t="shared" si="113"/>
        <v>293.33333333333638</v>
      </c>
      <c r="AN151" s="59">
        <f ca="1">AVERAGE(OFFSET($AM$3,0,0,'Données projet'!$E$10+1,1))-AVERAGE(OFFSET($H$3,0,0,'Données projet'!$E$10+1,1))</f>
        <v>230.58262378842818</v>
      </c>
      <c r="AO151" s="59">
        <f t="shared" si="144"/>
        <v>235.68746142880792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17.526002451077051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17.526002451077051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398.5824960000005</v>
      </c>
      <c r="BF151" s="13">
        <f t="shared" si="145"/>
        <v>91.489228690064536</v>
      </c>
      <c r="BG151" s="20">
        <f t="shared" si="115"/>
        <v>853.54158716852999</v>
      </c>
      <c r="BH151" s="59">
        <f t="shared" si="116"/>
        <v>1146.8749205018632</v>
      </c>
      <c r="BI151" s="59">
        <f ca="1">AVERAGE(OFFSET($BH$3,0,0,'Données projet'!$E$11+1,1))-AVERAGE(OFFSET($H$3,0,0,'Données projet'!$E$11+1,1))</f>
        <v>581.88778927327667</v>
      </c>
      <c r="BJ151" s="59">
        <f t="shared" si="146"/>
        <v>269.67340993773422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64.030916145085428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64.030916145085428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419.19883200000055</v>
      </c>
      <c r="CA151" s="13">
        <f t="shared" si="147"/>
        <v>95.658250407067044</v>
      </c>
      <c r="CB151" s="20">
        <f t="shared" si="118"/>
        <v>896.70941852564249</v>
      </c>
      <c r="CC151" s="59">
        <f t="shared" si="119"/>
        <v>1190.0427518589759</v>
      </c>
      <c r="CD151" s="59">
        <f ca="1">AVERAGE(OFFSET($CC$3,0,0,'Données projet'!$E$12+1,1))-AVERAGE(OFFSET($H$3,0,0,'Données projet'!$E$12+1,1))</f>
        <v>609.60019207204277</v>
      </c>
      <c r="CE151" s="59">
        <f t="shared" si="148"/>
        <v>281.42238288764503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67.342860083624316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67.342860083624316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1.5999999999905867E-2</v>
      </c>
      <c r="CU151" s="17">
        <f>CT151*VLOOKUP('Données projet'!$B$13,Paramètres!$A$1:$I$89,3,0)*VLOOKUP('Données projet'!$B$13,Paramètres!$A$1:$I$89,5,0)</f>
        <v>1.2729599999925107E-2</v>
      </c>
      <c r="CV151" s="13">
        <f t="shared" si="149"/>
        <v>9.7491417338934176E-3</v>
      </c>
      <c r="CW151" s="20">
        <f t="shared" si="121"/>
        <v>3.9150475186400593E-2</v>
      </c>
      <c r="CX151" s="59">
        <f t="shared" si="122"/>
        <v>293.37248380851969</v>
      </c>
      <c r="CY151" s="59">
        <f ca="1">AVERAGE(OFFSET($CX$3,0,0,'Données projet'!$E$13+1,1))-AVERAGE(OFFSET($H$3,0,0,'Données projet'!$E$13+1,1))</f>
        <v>172.13940525084604</v>
      </c>
      <c r="CZ151" s="59">
        <f t="shared" si="150"/>
        <v>172.82328007157236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11.890733315831913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11.890733315831913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1.7053025658242404E-13</v>
      </c>
      <c r="DP151" s="17">
        <f>DO151*VLOOKUP('Données projet'!$B$14,Paramètres!$A$1:$I$89,3,0)*VLOOKUP('Données projet'!$B$14,Paramètres!$A$1:$I$89,5,0)</f>
        <v>1.250327841262333E-13</v>
      </c>
      <c r="DQ151" s="13">
        <f t="shared" si="151"/>
        <v>1.8301318724634299E-12</v>
      </c>
      <c r="DR151" s="20">
        <f t="shared" si="124"/>
        <v>3.405245110226996E-12</v>
      </c>
      <c r="DS151" s="59">
        <f t="shared" si="125"/>
        <v>293.33333333333672</v>
      </c>
      <c r="DT151" s="59">
        <f ca="1">AVERAGE(OFFSET($DS$3,0,0,'Données projet'!$E$14+1,1))-AVERAGE(OFFSET($H$3,0,0,'Données projet'!$E$14+1,1))</f>
        <v>197.34725966440715</v>
      </c>
      <c r="DU151" s="59">
        <f t="shared" si="152"/>
        <v>240.16326570529532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6.2822176637244649</v>
      </c>
      <c r="EB151" s="21">
        <f>EXP(-LN(2)/25)*EB150+(1-EXP(-LN(2)/25))/(LN(2)/25)*Calculateur!DW151*Calculateur!DY151*VLOOKUP('Données projet'!$B$14,Paramètres!$A$1:$I$89,3,0)*0.475*44/12</f>
        <v>2.0346902668651246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8.3169079305895899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5.6843418860808015E-14</v>
      </c>
      <c r="EK151" s="17">
        <f>EJ151*VLOOKUP('Données projet'!$B$15,Paramètres!$A$1:$I$89,3,0)*VLOOKUP('Données projet'!$B$15,Paramètres!$A$1:$I$89,5,0)</f>
        <v>4.4337866711430253E-14</v>
      </c>
      <c r="EL151" s="13">
        <f t="shared" si="153"/>
        <v>7.3222115536967035E-13</v>
      </c>
      <c r="EM151" s="20">
        <f t="shared" si="127"/>
        <v>1.3525069634579169E-12</v>
      </c>
      <c r="EN151" s="59">
        <f t="shared" si="128"/>
        <v>293.33333333333468</v>
      </c>
      <c r="EO151" s="59">
        <f ca="1">AVERAGE(OFFSET($EN$3,0,0,'Données projet'!$E$15+1,1))-AVERAGE(OFFSET($H$3,0,0,'Données projet'!$E$15+1,1))</f>
        <v>288.82868507674738</v>
      </c>
      <c r="EP151" s="59">
        <f t="shared" si="154"/>
        <v>283.48738729114024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21.587266441017416</v>
      </c>
      <c r="EW151" s="21">
        <f>EXP(-LN(2)/25)*EW150+(1-EXP(-LN(2)/25))/(LN(2)/25)*Calculateur!ER151*Calculateur!ET151*VLOOKUP('Données projet'!$B$15,Paramètres!$A$1:$I$89,3,0)*0.475*44/12</f>
        <v>5.695061344080349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27.282327785097763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8.3249999999999993</v>
      </c>
      <c r="N152" s="13">
        <f>IF('Données projet'!$A$36&gt;35,N151+M152-V151,IF(A152&lt;'Données projet'!$A$36,$K$205^A152,IF(A152='Données projet'!$A$36,'Données projet'!$B$36,N151+M152-V151)))</f>
        <v>448.84500000000054</v>
      </c>
      <c r="O152" s="13">
        <f>N152*VLOOKUP('Données projet'!$B$9,Paramètres!$A$1:$I$89,3,0)*VLOOKUP('Données projet'!$B$9,Paramètres!$A$1:$I$89,5,0)</f>
        <v>406.11495600000046</v>
      </c>
      <c r="P152" s="13">
        <f t="shared" si="141"/>
        <v>93.015281926133852</v>
      </c>
      <c r="Q152" s="20">
        <f t="shared" si="108"/>
        <v>869.31849772135058</v>
      </c>
      <c r="R152" s="59">
        <f t="shared" si="109"/>
        <v>1162.651831054684</v>
      </c>
      <c r="S152" s="59">
        <f ca="1">AVERAGE(OFFSET($R$3,0,0,'Données projet'!$E$9+1,1))-AVERAGE(OFFSET($H$3,0,0,'Données projet'!$E$9+1,1))</f>
        <v>581.88778927327667</v>
      </c>
      <c r="T152" s="59">
        <f t="shared" si="142"/>
        <v>269.67340993773422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62.775308934482787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62.775308934482787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1.7053025658242404E-13</v>
      </c>
      <c r="AJ152" s="13">
        <f>AI152*VLOOKUP('Données projet'!$B$10,Paramètres!$A$1:$I$89,3,0)*VLOOKUP('Données projet'!$B$10,Paramètres!$A$1:$I$89,5,0)</f>
        <v>1.1173142411280423E-13</v>
      </c>
      <c r="AK152" s="13">
        <f t="shared" si="143"/>
        <v>1.6569896290553793E-12</v>
      </c>
      <c r="AL152" s="20">
        <f t="shared" si="112"/>
        <v>3.0805225009345862E-12</v>
      </c>
      <c r="AM152" s="59">
        <f t="shared" si="113"/>
        <v>293.33333333333638</v>
      </c>
      <c r="AN152" s="59">
        <f ca="1">AVERAGE(OFFSET($AM$3,0,0,'Données projet'!$E$10+1,1))-AVERAGE(OFFSET($H$3,0,0,'Données projet'!$E$10+1,1))</f>
        <v>230.58262378842818</v>
      </c>
      <c r="AO152" s="59">
        <f t="shared" si="144"/>
        <v>235.68746142880792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17.182328232817394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17.182328232817394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406.11495600000046</v>
      </c>
      <c r="BF152" s="13">
        <f t="shared" si="145"/>
        <v>93.015281926133852</v>
      </c>
      <c r="BG152" s="20">
        <f t="shared" si="115"/>
        <v>869.31849772135058</v>
      </c>
      <c r="BH152" s="59">
        <f t="shared" si="116"/>
        <v>1162.651831054684</v>
      </c>
      <c r="BI152" s="59">
        <f ca="1">AVERAGE(OFFSET($BH$3,0,0,'Données projet'!$E$11+1,1))-AVERAGE(OFFSET($H$3,0,0,'Données projet'!$E$11+1,1))</f>
        <v>581.88778927327667</v>
      </c>
      <c r="BJ152" s="59">
        <f t="shared" si="146"/>
        <v>269.67340993773422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62.775308934482787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62.775308934482787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427.12090200000046</v>
      </c>
      <c r="CA152" s="13">
        <f t="shared" si="147"/>
        <v>97.253843513278113</v>
      </c>
      <c r="CB152" s="20">
        <f t="shared" si="118"/>
        <v>913.28601510229339</v>
      </c>
      <c r="CC152" s="59">
        <f t="shared" si="119"/>
        <v>1206.6193484356268</v>
      </c>
      <c r="CD152" s="59">
        <f ca="1">AVERAGE(OFFSET($CC$3,0,0,'Données projet'!$E$12+1,1))-AVERAGE(OFFSET($H$3,0,0,'Données projet'!$E$12+1,1))</f>
        <v>609.60019207204277</v>
      </c>
      <c r="CE152" s="59">
        <f t="shared" si="148"/>
        <v>281.42238288764503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66.022307672473261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66.022307672473261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1.5999999999905867E-2</v>
      </c>
      <c r="CU152" s="17">
        <f>CT152*VLOOKUP('Données projet'!$B$13,Paramètres!$A$1:$I$89,3,0)*VLOOKUP('Données projet'!$B$13,Paramètres!$A$1:$I$89,5,0)</f>
        <v>1.2729599999925107E-2</v>
      </c>
      <c r="CV152" s="13">
        <f t="shared" si="149"/>
        <v>9.7491417338934176E-3</v>
      </c>
      <c r="CW152" s="20">
        <f t="shared" si="121"/>
        <v>3.9150475186400593E-2</v>
      </c>
      <c r="CX152" s="59">
        <f t="shared" si="122"/>
        <v>293.37248380851969</v>
      </c>
      <c r="CY152" s="59">
        <f ca="1">AVERAGE(OFFSET($CX$3,0,0,'Données projet'!$E$13+1,1))-AVERAGE(OFFSET($H$3,0,0,'Données projet'!$E$13+1,1))</f>
        <v>172.13940525084604</v>
      </c>
      <c r="CZ152" s="59">
        <f t="shared" si="150"/>
        <v>172.82328007157236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11.657563288139634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11.657563288139634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1.7053025658242404E-13</v>
      </c>
      <c r="DP152" s="17">
        <f>DO152*VLOOKUP('Données projet'!$B$14,Paramètres!$A$1:$I$89,3,0)*VLOOKUP('Données projet'!$B$14,Paramètres!$A$1:$I$89,5,0)</f>
        <v>1.250327841262333E-13</v>
      </c>
      <c r="DQ152" s="13">
        <f t="shared" si="151"/>
        <v>1.8301318724634299E-12</v>
      </c>
      <c r="DR152" s="20">
        <f t="shared" si="124"/>
        <v>3.405245110226996E-12</v>
      </c>
      <c r="DS152" s="59">
        <f t="shared" si="125"/>
        <v>293.33333333333672</v>
      </c>
      <c r="DT152" s="59">
        <f ca="1">AVERAGE(OFFSET($DS$3,0,0,'Données projet'!$E$14+1,1))-AVERAGE(OFFSET($H$3,0,0,'Données projet'!$E$14+1,1))</f>
        <v>197.34725966440715</v>
      </c>
      <c r="DU152" s="59">
        <f t="shared" si="152"/>
        <v>240.16326570529532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6.1590272071132466</v>
      </c>
      <c r="EB152" s="21">
        <f>EXP(-LN(2)/25)*EB151+(1-EXP(-LN(2)/25))/(LN(2)/25)*Calculateur!DW152*Calculateur!DY152*VLOOKUP('Données projet'!$B$14,Paramètres!$A$1:$I$89,3,0)*0.475*44/12</f>
        <v>1.979051554517987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8.1380787616312329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5.6843418860808015E-14</v>
      </c>
      <c r="EK152" s="17">
        <f>EJ152*VLOOKUP('Données projet'!$B$15,Paramètres!$A$1:$I$89,3,0)*VLOOKUP('Données projet'!$B$15,Paramètres!$A$1:$I$89,5,0)</f>
        <v>4.4337866711430253E-14</v>
      </c>
      <c r="EL152" s="13">
        <f t="shared" si="153"/>
        <v>7.3222115536967035E-13</v>
      </c>
      <c r="EM152" s="20">
        <f t="shared" si="127"/>
        <v>1.3525069634579169E-12</v>
      </c>
      <c r="EN152" s="59">
        <f t="shared" si="128"/>
        <v>293.33333333333468</v>
      </c>
      <c r="EO152" s="59">
        <f ca="1">AVERAGE(OFFSET($EN$3,0,0,'Données projet'!$E$15+1,1))-AVERAGE(OFFSET($H$3,0,0,'Données projet'!$E$15+1,1))</f>
        <v>288.82868507674738</v>
      </c>
      <c r="EP152" s="59">
        <f t="shared" si="154"/>
        <v>283.48738729114024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21.163953313041468</v>
      </c>
      <c r="EW152" s="21">
        <f>EXP(-LN(2)/25)*EW151+(1-EXP(-LN(2)/25))/(LN(2)/25)*Calculateur!ER152*Calculateur!ET152*VLOOKUP('Données projet'!$B$15,Paramètres!$A$1:$I$89,3,0)*0.475*44/12</f>
        <v>5.5393295921362125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26.70328290517768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8.3249999999999993</v>
      </c>
      <c r="N153" s="13">
        <f>IF('Données projet'!$A$36&gt;35,N152+M153-V152,IF(A153&lt;'Données projet'!$A$36,$K$205^A153,IF(A153='Données projet'!$A$36,'Données projet'!$B$36,N152+M153-V152)))</f>
        <v>457.17000000000053</v>
      </c>
      <c r="O153" s="13">
        <f>N153*VLOOKUP('Données projet'!$B$9,Paramètres!$A$1:$I$89,3,0)*VLOOKUP('Données projet'!$B$9,Paramètres!$A$1:$I$89,5,0)</f>
        <v>413.64741600000042</v>
      </c>
      <c r="P153" s="13">
        <f t="shared" si="141"/>
        <v>94.538043857309361</v>
      </c>
      <c r="Q153" s="20">
        <f t="shared" si="108"/>
        <v>885.0896759181478</v>
      </c>
      <c r="R153" s="59">
        <f t="shared" si="109"/>
        <v>1178.4230092514811</v>
      </c>
      <c r="S153" s="59">
        <f ca="1">AVERAGE(OFFSET($R$3,0,0,'Données projet'!$E$9+1,1))-AVERAGE(OFFSET($H$3,0,0,'Données projet'!$E$9+1,1))</f>
        <v>581.88778927327667</v>
      </c>
      <c r="T153" s="59">
        <f t="shared" si="142"/>
        <v>269.67340993773422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61.544323415435287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61.544323415435287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1.7053025658242404E-13</v>
      </c>
      <c r="AJ153" s="13">
        <f>AI153*VLOOKUP('Données projet'!$B$10,Paramètres!$A$1:$I$89,3,0)*VLOOKUP('Données projet'!$B$10,Paramètres!$A$1:$I$89,5,0)</f>
        <v>1.1173142411280423E-13</v>
      </c>
      <c r="AK153" s="13">
        <f t="shared" si="143"/>
        <v>1.6569896290553793E-12</v>
      </c>
      <c r="AL153" s="20">
        <f t="shared" si="112"/>
        <v>3.0805225009345862E-12</v>
      </c>
      <c r="AM153" s="59">
        <f t="shared" si="113"/>
        <v>293.33333333333638</v>
      </c>
      <c r="AN153" s="59">
        <f ca="1">AVERAGE(OFFSET($AM$3,0,0,'Données projet'!$E$10+1,1))-AVERAGE(OFFSET($H$3,0,0,'Données projet'!$E$10+1,1))</f>
        <v>230.58262378842818</v>
      </c>
      <c r="AO153" s="59">
        <f t="shared" si="144"/>
        <v>235.68746142880792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16.845393256357234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16.845393256357234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413.64741600000042</v>
      </c>
      <c r="BF153" s="13">
        <f t="shared" si="145"/>
        <v>94.538043857309361</v>
      </c>
      <c r="BG153" s="20">
        <f t="shared" si="115"/>
        <v>885.0896759181478</v>
      </c>
      <c r="BH153" s="59">
        <f t="shared" si="116"/>
        <v>1178.4230092514811</v>
      </c>
      <c r="BI153" s="59">
        <f ca="1">AVERAGE(OFFSET($BH$3,0,0,'Données projet'!$E$11+1,1))-AVERAGE(OFFSET($H$3,0,0,'Données projet'!$E$11+1,1))</f>
        <v>581.88778927327667</v>
      </c>
      <c r="BJ153" s="59">
        <f t="shared" si="146"/>
        <v>269.67340993773422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61.544323415435287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61.544323415435287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435.04297200000053</v>
      </c>
      <c r="CA153" s="13">
        <f t="shared" si="147"/>
        <v>98.84599533495539</v>
      </c>
      <c r="CB153" s="20">
        <f t="shared" si="118"/>
        <v>929.85661810838155</v>
      </c>
      <c r="CC153" s="59">
        <f t="shared" si="119"/>
        <v>1223.1899514417148</v>
      </c>
      <c r="CD153" s="59">
        <f ca="1">AVERAGE(OFFSET($CC$3,0,0,'Données projet'!$E$12+1,1))-AVERAGE(OFFSET($H$3,0,0,'Données projet'!$E$12+1,1))</f>
        <v>609.60019207204277</v>
      </c>
      <c r="CE153" s="59">
        <f t="shared" si="148"/>
        <v>281.42238288764503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64.727650488647441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64.727650488647441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1.5999999999905867E-2</v>
      </c>
      <c r="CU153" s="17">
        <f>CT153*VLOOKUP('Données projet'!$B$13,Paramètres!$A$1:$I$89,3,0)*VLOOKUP('Données projet'!$B$13,Paramètres!$A$1:$I$89,5,0)</f>
        <v>1.2729599999925107E-2</v>
      </c>
      <c r="CV153" s="13">
        <f t="shared" si="149"/>
        <v>9.7491417338934176E-3</v>
      </c>
      <c r="CW153" s="20">
        <f t="shared" si="121"/>
        <v>3.9150475186400593E-2</v>
      </c>
      <c r="CX153" s="59">
        <f t="shared" si="122"/>
        <v>293.37248380851969</v>
      </c>
      <c r="CY153" s="59">
        <f ca="1">AVERAGE(OFFSET($CX$3,0,0,'Données projet'!$E$13+1,1))-AVERAGE(OFFSET($H$3,0,0,'Données projet'!$E$13+1,1))</f>
        <v>172.13940525084604</v>
      </c>
      <c r="CZ153" s="59">
        <f t="shared" si="150"/>
        <v>172.82328007157236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11.428965582470727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11.428965582470727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1.7053025658242404E-13</v>
      </c>
      <c r="DP153" s="17">
        <f>DO153*VLOOKUP('Données projet'!$B$14,Paramètres!$A$1:$I$89,3,0)*VLOOKUP('Données projet'!$B$14,Paramètres!$A$1:$I$89,5,0)</f>
        <v>1.250327841262333E-13</v>
      </c>
      <c r="DQ153" s="13">
        <f t="shared" si="151"/>
        <v>1.8301318724634299E-12</v>
      </c>
      <c r="DR153" s="20">
        <f t="shared" si="124"/>
        <v>3.405245110226996E-12</v>
      </c>
      <c r="DS153" s="59">
        <f t="shared" si="125"/>
        <v>293.33333333333672</v>
      </c>
      <c r="DT153" s="59">
        <f ca="1">AVERAGE(OFFSET($DS$3,0,0,'Données projet'!$E$14+1,1))-AVERAGE(OFFSET($H$3,0,0,'Données projet'!$E$14+1,1))</f>
        <v>197.34725966440715</v>
      </c>
      <c r="DU153" s="59">
        <f t="shared" si="152"/>
        <v>240.16326570529532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6.0382524402174154</v>
      </c>
      <c r="EB153" s="21">
        <f>EXP(-LN(2)/25)*EB152+(1-EXP(-LN(2)/25))/(LN(2)/25)*Calculateur!DW153*Calculateur!DY153*VLOOKUP('Données projet'!$B$14,Paramètres!$A$1:$I$89,3,0)*0.475*44/12</f>
        <v>1.9249342856858946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7.9631867259033102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5.6843418860808015E-14</v>
      </c>
      <c r="EK153" s="17">
        <f>EJ153*VLOOKUP('Données projet'!$B$15,Paramètres!$A$1:$I$89,3,0)*VLOOKUP('Données projet'!$B$15,Paramètres!$A$1:$I$89,5,0)</f>
        <v>4.4337866711430253E-14</v>
      </c>
      <c r="EL153" s="13">
        <f t="shared" si="153"/>
        <v>7.3222115536967035E-13</v>
      </c>
      <c r="EM153" s="20">
        <f t="shared" si="127"/>
        <v>1.3525069634579169E-12</v>
      </c>
      <c r="EN153" s="59">
        <f t="shared" si="128"/>
        <v>293.33333333333468</v>
      </c>
      <c r="EO153" s="59">
        <f ca="1">AVERAGE(OFFSET($EN$3,0,0,'Données projet'!$E$15+1,1))-AVERAGE(OFFSET($H$3,0,0,'Données projet'!$E$15+1,1))</f>
        <v>288.82868507674738</v>
      </c>
      <c r="EP153" s="59">
        <f t="shared" si="154"/>
        <v>283.48738729114024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20.748941097309615</v>
      </c>
      <c r="EW153" s="21">
        <f>EXP(-LN(2)/25)*EW152+(1-EXP(-LN(2)/25))/(LN(2)/25)*Calculateur!ER153*Calculateur!ET153*VLOOKUP('Données projet'!$B$15,Paramètres!$A$1:$I$89,3,0)*0.475*44/12</f>
        <v>5.3878563331385649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26.13679743044818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8.3249999999999993</v>
      </c>
      <c r="N154" s="13">
        <f>IF('Données projet'!$A$36&gt;35,N153+M154-V153,IF(A154&lt;'Données projet'!$A$36,$K$205^A154,IF(A154='Données projet'!$A$36,'Données projet'!$B$36,N153+M154-V153)))</f>
        <v>465.49500000000052</v>
      </c>
      <c r="O154" s="13">
        <f>N154*VLOOKUP('Données projet'!$B$9,Paramètres!$A$1:$I$89,3,0)*VLOOKUP('Données projet'!$B$9,Paramètres!$A$1:$I$89,5,0)</f>
        <v>421.17987600000043</v>
      </c>
      <c r="P154" s="13">
        <f t="shared" si="141"/>
        <v>96.057581330707137</v>
      </c>
      <c r="Q154" s="20">
        <f t="shared" ref="Q154:Q203" si="162">(O154+P154)*0.475*44/12</f>
        <v>900.85523818431557</v>
      </c>
      <c r="R154" s="59">
        <f t="shared" si="109"/>
        <v>1194.1885715176488</v>
      </c>
      <c r="S154" s="59">
        <f ca="1">AVERAGE(OFFSET($R$3,0,0,'Données projet'!$E$9+1,1))-AVERAGE(OFFSET($H$3,0,0,'Données projet'!$E$9+1,1))</f>
        <v>581.88778927327667</v>
      </c>
      <c r="T154" s="59">
        <f t="shared" si="142"/>
        <v>269.67340993773422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60.33747677158928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60.33747677158928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1.7053025658242404E-13</v>
      </c>
      <c r="AJ154" s="13">
        <f>AI154*VLOOKUP('Données projet'!$B$10,Paramètres!$A$1:$I$89,3,0)*VLOOKUP('Données projet'!$B$10,Paramètres!$A$1:$I$89,5,0)</f>
        <v>1.1173142411280423E-13</v>
      </c>
      <c r="AK154" s="13">
        <f t="shared" ref="AK154:AK203" si="164">EXP(-1.0587+0.8836*LN(AJ154)+0.284)</f>
        <v>1.6569896290553793E-12</v>
      </c>
      <c r="AL154" s="20">
        <f t="shared" ref="AL154:AL203" si="165">(AJ154+AK154)*0.475*44/12</f>
        <v>3.0805225009345862E-12</v>
      </c>
      <c r="AM154" s="59">
        <f t="shared" si="113"/>
        <v>293.33333333333638</v>
      </c>
      <c r="AN154" s="59">
        <f ca="1">AVERAGE(OFFSET($AM$3,0,0,'Données projet'!$E$10+1,1))-AVERAGE(OFFSET($H$3,0,0,'Données projet'!$E$10+1,1))</f>
        <v>230.58262378842818</v>
      </c>
      <c r="AO154" s="59">
        <f t="shared" si="144"/>
        <v>235.68746142880792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16.515065369275415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16.515065369275415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421.17987600000043</v>
      </c>
      <c r="BF154" s="13">
        <f t="shared" ref="BF154:BF203" si="167">EXP(-1.0587+0.8836*LN(BE154)+0.284)</f>
        <v>96.057581330707137</v>
      </c>
      <c r="BG154" s="20">
        <f t="shared" ref="BG154:BG203" si="168">(BE154+BF154)*0.475*44/12</f>
        <v>900.85523818431557</v>
      </c>
      <c r="BH154" s="59">
        <f t="shared" si="116"/>
        <v>1194.1885715176488</v>
      </c>
      <c r="BI154" s="59">
        <f ca="1">AVERAGE(OFFSET($BH$3,0,0,'Données projet'!$E$11+1,1))-AVERAGE(OFFSET($H$3,0,0,'Données projet'!$E$11+1,1))</f>
        <v>581.88778927327667</v>
      </c>
      <c r="BJ154" s="59">
        <f t="shared" si="146"/>
        <v>269.67340993773422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60.33747677158928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60.33747677158928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442.96504200000049</v>
      </c>
      <c r="CA154" s="13">
        <f t="shared" ref="CA154:CA203" si="170">EXP(-1.0587+0.8836*LN(BZ154)+0.284)</f>
        <v>100.43477576533398</v>
      </c>
      <c r="CB154" s="20">
        <f t="shared" ref="CB154:CB203" si="171">(BZ154+CA154)*0.475*44/12</f>
        <v>946.42134927462405</v>
      </c>
      <c r="CC154" s="59">
        <f t="shared" si="119"/>
        <v>1239.7546826079574</v>
      </c>
      <c r="CD154" s="59">
        <f ca="1">AVERAGE(OFFSET($CC$3,0,0,'Données projet'!$E$12+1,1))-AVERAGE(OFFSET($H$3,0,0,'Données projet'!$E$12+1,1))</f>
        <v>609.60019207204277</v>
      </c>
      <c r="CE154" s="59">
        <f t="shared" si="148"/>
        <v>281.42238288764503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63.458380742533542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63.458380742533542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1.5999999999905867E-2</v>
      </c>
      <c r="CU154" s="17">
        <f>CT154*VLOOKUP('Données projet'!$B$13,Paramètres!$A$1:$I$89,3,0)*VLOOKUP('Données projet'!$B$13,Paramètres!$A$1:$I$89,5,0)</f>
        <v>1.2729599999925107E-2</v>
      </c>
      <c r="CV154" s="13">
        <f t="shared" ref="CV154:CV203" si="173">EXP(-1.0587+0.8836*LN(CU154)+0.284)</f>
        <v>9.7491417338934176E-3</v>
      </c>
      <c r="CW154" s="20">
        <f t="shared" ref="CW154:CW203" si="174">(CU154+CV154)*0.475*44/12</f>
        <v>3.9150475186400593E-2</v>
      </c>
      <c r="CX154" s="59">
        <f t="shared" si="122"/>
        <v>293.37248380851969</v>
      </c>
      <c r="CY154" s="59">
        <f ca="1">AVERAGE(OFFSET($CX$3,0,0,'Données projet'!$E$13+1,1))-AVERAGE(OFFSET($H$3,0,0,'Données projet'!$E$13+1,1))</f>
        <v>172.13940525084604</v>
      </c>
      <c r="CZ154" s="59">
        <f t="shared" si="150"/>
        <v>172.82328007157236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11.204850538379155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11.204850538379155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1.7053025658242404E-13</v>
      </c>
      <c r="DP154" s="17">
        <f>DO154*VLOOKUP('Données projet'!$B$14,Paramètres!$A$1:$I$89,3,0)*VLOOKUP('Données projet'!$B$14,Paramètres!$A$1:$I$89,5,0)</f>
        <v>1.250327841262333E-13</v>
      </c>
      <c r="DQ154" s="13">
        <f t="shared" ref="DQ154:DQ203" si="176">EXP(-1.0587+0.8836*LN(DP154)+0.284)</f>
        <v>1.8301318724634299E-12</v>
      </c>
      <c r="DR154" s="20">
        <f t="shared" ref="DR154:DR203" si="177">(DP154+DQ154)*0.475*44/12</f>
        <v>3.405245110226996E-12</v>
      </c>
      <c r="DS154" s="59">
        <f t="shared" si="125"/>
        <v>293.33333333333672</v>
      </c>
      <c r="DT154" s="59">
        <f ca="1">AVERAGE(OFFSET($DS$3,0,0,'Données projet'!$E$14+1,1))-AVERAGE(OFFSET($H$3,0,0,'Données projet'!$E$14+1,1))</f>
        <v>197.34725966440715</v>
      </c>
      <c r="DU154" s="59">
        <f t="shared" si="152"/>
        <v>240.16326570529532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5.9198459928350768</v>
      </c>
      <c r="EB154" s="21">
        <f>EXP(-LN(2)/25)*EB153+(1-EXP(-LN(2)/25))/(LN(2)/25)*Calculateur!DW154*Calculateur!DY154*VLOOKUP('Données projet'!$B$14,Paramètres!$A$1:$I$89,3,0)*0.475*44/12</f>
        <v>1.8722968564159193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7.7921428492509959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5.6843418860808015E-14</v>
      </c>
      <c r="EK154" s="17">
        <f>EJ154*VLOOKUP('Données projet'!$B$15,Paramètres!$A$1:$I$89,3,0)*VLOOKUP('Données projet'!$B$15,Paramètres!$A$1:$I$89,5,0)</f>
        <v>4.4337866711430253E-14</v>
      </c>
      <c r="EL154" s="13">
        <f t="shared" ref="EL154:EL203" si="179">EXP(-1.0587+0.8836*LN(EK154)+0.284)</f>
        <v>7.3222115536967035E-13</v>
      </c>
      <c r="EM154" s="20">
        <f t="shared" ref="EM154:EM203" si="180">(EK154+EL154)*0.475*44/12</f>
        <v>1.3525069634579169E-12</v>
      </c>
      <c r="EN154" s="59">
        <f t="shared" si="128"/>
        <v>293.33333333333468</v>
      </c>
      <c r="EO154" s="59">
        <f ca="1">AVERAGE(OFFSET($EN$3,0,0,'Données projet'!$E$15+1,1))-AVERAGE(OFFSET($H$3,0,0,'Données projet'!$E$15+1,1))</f>
        <v>288.82868507674738</v>
      </c>
      <c r="EP154" s="59">
        <f t="shared" si="154"/>
        <v>283.48738729114024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20.342067017995806</v>
      </c>
      <c r="EW154" s="21">
        <f>EXP(-LN(2)/25)*EW153+(1-EXP(-LN(2)/25))/(LN(2)/25)*Calculateur!ER154*Calculateur!ET154*VLOOKUP('Données projet'!$B$15,Paramètres!$A$1:$I$89,3,0)*0.475*44/12</f>
        <v>5.2405251183738404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25.582592136369648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8.3249999999999993</v>
      </c>
      <c r="N155" s="13">
        <f>IF('Données projet'!$A$36&gt;35,N154+M155-V154,IF(A155&lt;'Données projet'!$A$36,$K$205^A155,IF(A155='Données projet'!$A$36,'Données projet'!$B$36,N154+M155-V154)))</f>
        <v>473.8200000000005</v>
      </c>
      <c r="O155" s="13">
        <f>N155*VLOOKUP('Données projet'!$B$9,Paramètres!$A$1:$I$89,3,0)*VLOOKUP('Données projet'!$B$9,Paramètres!$A$1:$I$89,5,0)</f>
        <v>428.71233600000051</v>
      </c>
      <c r="P155" s="13">
        <f t="shared" si="141"/>
        <v>97.57395866550209</v>
      </c>
      <c r="Q155" s="20">
        <f t="shared" si="162"/>
        <v>916.61529654241701</v>
      </c>
      <c r="R155" s="59">
        <f t="shared" si="109"/>
        <v>1209.9486298757504</v>
      </c>
      <c r="S155" s="59">
        <f ca="1">AVERAGE(OFFSET($R$3,0,0,'Données projet'!$E$9+1,1))-AVERAGE(OFFSET($H$3,0,0,'Données projet'!$E$9+1,1))</f>
        <v>581.88778927327667</v>
      </c>
      <c r="T155" s="59">
        <f t="shared" si="142"/>
        <v>269.67340993773422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59.154295654325324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59.154295654325324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1.7053025658242404E-13</v>
      </c>
      <c r="AJ155" s="13">
        <f>AI155*VLOOKUP('Données projet'!$B$10,Paramètres!$A$1:$I$89,3,0)*VLOOKUP('Données projet'!$B$10,Paramètres!$A$1:$I$89,5,0)</f>
        <v>1.1173142411280423E-13</v>
      </c>
      <c r="AK155" s="13">
        <f t="shared" si="164"/>
        <v>1.6569896290553793E-12</v>
      </c>
      <c r="AL155" s="20">
        <f t="shared" si="165"/>
        <v>3.0805225009345862E-12</v>
      </c>
      <c r="AM155" s="59">
        <f t="shared" si="113"/>
        <v>293.33333333333638</v>
      </c>
      <c r="AN155" s="59">
        <f ca="1">AVERAGE(OFFSET($AM$3,0,0,'Données projet'!$E$10+1,1))-AVERAGE(OFFSET($H$3,0,0,'Données projet'!$E$10+1,1))</f>
        <v>230.58262378842818</v>
      </c>
      <c r="AO155" s="59">
        <f t="shared" si="144"/>
        <v>235.68746142880792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16.191215010579153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16.191215010579153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428.71233600000051</v>
      </c>
      <c r="BF155" s="13">
        <f t="shared" si="167"/>
        <v>97.57395866550209</v>
      </c>
      <c r="BG155" s="20">
        <f t="shared" si="168"/>
        <v>916.61529654241701</v>
      </c>
      <c r="BH155" s="59">
        <f t="shared" si="116"/>
        <v>1209.9486298757504</v>
      </c>
      <c r="BI155" s="59">
        <f ca="1">AVERAGE(OFFSET($BH$3,0,0,'Données projet'!$E$11+1,1))-AVERAGE(OFFSET($H$3,0,0,'Données projet'!$E$11+1,1))</f>
        <v>581.88778927327667</v>
      </c>
      <c r="BJ155" s="59">
        <f t="shared" si="146"/>
        <v>269.67340993773422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59.154295654325324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59.154295654325324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450.88711200000051</v>
      </c>
      <c r="CA155" s="13">
        <f t="shared" si="170"/>
        <v>102.02025205451328</v>
      </c>
      <c r="CB155" s="20">
        <f t="shared" si="171"/>
        <v>962.98032572827799</v>
      </c>
      <c r="CC155" s="59">
        <f t="shared" si="119"/>
        <v>1256.3136590616114</v>
      </c>
      <c r="CD155" s="59">
        <f ca="1">AVERAGE(OFFSET($CC$3,0,0,'Données projet'!$E$12+1,1))-AVERAGE(OFFSET($H$3,0,0,'Données projet'!$E$12+1,1))</f>
        <v>609.60019207204277</v>
      </c>
      <c r="CE155" s="59">
        <f t="shared" si="148"/>
        <v>281.42238288764503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62.21400060196283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62.21400060196283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1.5999999999905867E-2</v>
      </c>
      <c r="CU155" s="17">
        <f>CT155*VLOOKUP('Données projet'!$B$13,Paramètres!$A$1:$I$89,3,0)*VLOOKUP('Données projet'!$B$13,Paramètres!$A$1:$I$89,5,0)</f>
        <v>1.2729599999925107E-2</v>
      </c>
      <c r="CV155" s="13">
        <f t="shared" si="173"/>
        <v>9.7491417338934176E-3</v>
      </c>
      <c r="CW155" s="20">
        <f t="shared" si="174"/>
        <v>3.9150475186400593E-2</v>
      </c>
      <c r="CX155" s="59">
        <f t="shared" si="122"/>
        <v>293.37248380851969</v>
      </c>
      <c r="CY155" s="59">
        <f ca="1">AVERAGE(OFFSET($CX$3,0,0,'Données projet'!$E$13+1,1))-AVERAGE(OFFSET($H$3,0,0,'Données projet'!$E$13+1,1))</f>
        <v>172.13940525084604</v>
      </c>
      <c r="CZ155" s="59">
        <f t="shared" si="150"/>
        <v>172.82328007157236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10.985130253605538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10.985130253605538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1.7053025658242404E-13</v>
      </c>
      <c r="DP155" s="17">
        <f>DO155*VLOOKUP('Données projet'!$B$14,Paramètres!$A$1:$I$89,3,0)*VLOOKUP('Données projet'!$B$14,Paramètres!$A$1:$I$89,5,0)</f>
        <v>1.250327841262333E-13</v>
      </c>
      <c r="DQ155" s="13">
        <f t="shared" si="176"/>
        <v>1.8301318724634299E-12</v>
      </c>
      <c r="DR155" s="20">
        <f t="shared" si="177"/>
        <v>3.405245110226996E-12</v>
      </c>
      <c r="DS155" s="59">
        <f t="shared" si="125"/>
        <v>293.33333333333672</v>
      </c>
      <c r="DT155" s="59">
        <f ca="1">AVERAGE(OFFSET($DS$3,0,0,'Données projet'!$E$14+1,1))-AVERAGE(OFFSET($H$3,0,0,'Données projet'!$E$14+1,1))</f>
        <v>197.34725966440715</v>
      </c>
      <c r="DU155" s="59">
        <f t="shared" si="152"/>
        <v>240.16326570529532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5.8037614236651045</v>
      </c>
      <c r="EB155" s="21">
        <f>EXP(-LN(2)/25)*EB154+(1-EXP(-LN(2)/25))/(LN(2)/25)*Calculateur!DW155*Calculateur!DY155*VLOOKUP('Données projet'!$B$14,Paramètres!$A$1:$I$89,3,0)*0.475*44/12</f>
        <v>1.8210988004174133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7.6248602240825178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5.6843418860808015E-14</v>
      </c>
      <c r="EK155" s="17">
        <f>EJ155*VLOOKUP('Données projet'!$B$15,Paramètres!$A$1:$I$89,3,0)*VLOOKUP('Données projet'!$B$15,Paramètres!$A$1:$I$89,5,0)</f>
        <v>4.4337866711430253E-14</v>
      </c>
      <c r="EL155" s="13">
        <f t="shared" si="179"/>
        <v>7.3222115536967035E-13</v>
      </c>
      <c r="EM155" s="20">
        <f t="shared" si="180"/>
        <v>1.3525069634579169E-12</v>
      </c>
      <c r="EN155" s="59">
        <f t="shared" si="128"/>
        <v>293.33333333333468</v>
      </c>
      <c r="EO155" s="59">
        <f ca="1">AVERAGE(OFFSET($EN$3,0,0,'Données projet'!$E$15+1,1))-AVERAGE(OFFSET($H$3,0,0,'Données projet'!$E$15+1,1))</f>
        <v>288.82868507674738</v>
      </c>
      <c r="EP155" s="59">
        <f t="shared" si="154"/>
        <v>283.48738729114024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19.943171491208656</v>
      </c>
      <c r="EW155" s="21">
        <f>EXP(-LN(2)/25)*EW154+(1-EXP(-LN(2)/25))/(LN(2)/25)*Calculateur!ER155*Calculateur!ET155*VLOOKUP('Données projet'!$B$15,Paramètres!$A$1:$I$89,3,0)*0.475*44/12</f>
        <v>5.0972226834246692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25.040394174633324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8.3249999999999993</v>
      </c>
      <c r="N156" s="13">
        <f>IF('Données projet'!$A$36&gt;35,N155+M156-V155,IF(A156&lt;'Données projet'!$A$36,$K$205^A156,IF(A156='Données projet'!$A$36,'Données projet'!$B$36,N155+M156-V155)))</f>
        <v>482.14500000000049</v>
      </c>
      <c r="O156" s="13">
        <f>N156*VLOOKUP('Données projet'!$B$9,Paramètres!$A$1:$I$89,3,0)*VLOOKUP('Données projet'!$B$9,Paramètres!$A$1:$I$89,5,0)</f>
        <v>436.24479600000041</v>
      </c>
      <c r="P156" s="13">
        <f t="shared" si="141"/>
        <v>99.087237791231857</v>
      </c>
      <c r="Q156" s="20">
        <f t="shared" si="162"/>
        <v>932.36995885306271</v>
      </c>
      <c r="R156" s="59">
        <f t="shared" si="109"/>
        <v>1225.7032921863961</v>
      </c>
      <c r="S156" s="59">
        <f ca="1">AVERAGE(OFFSET($R$3,0,0,'Données projet'!$E$9+1,1))-AVERAGE(OFFSET($H$3,0,0,'Données projet'!$E$9+1,1))</f>
        <v>581.88778927327667</v>
      </c>
      <c r="T156" s="59">
        <f t="shared" si="142"/>
        <v>269.67340993773422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57.994315997101694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57.994315997101694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1.7053025658242404E-13</v>
      </c>
      <c r="AJ156" s="13">
        <f>AI156*VLOOKUP('Données projet'!$B$10,Paramètres!$A$1:$I$89,3,0)*VLOOKUP('Données projet'!$B$10,Paramètres!$A$1:$I$89,5,0)</f>
        <v>1.1173142411280423E-13</v>
      </c>
      <c r="AK156" s="13">
        <f t="shared" si="164"/>
        <v>1.6569896290553793E-12</v>
      </c>
      <c r="AL156" s="20">
        <f t="shared" si="165"/>
        <v>3.0805225009345862E-12</v>
      </c>
      <c r="AM156" s="59">
        <f t="shared" si="113"/>
        <v>293.33333333333638</v>
      </c>
      <c r="AN156" s="59">
        <f ca="1">AVERAGE(OFFSET($AM$3,0,0,'Données projet'!$E$10+1,1))-AVERAGE(OFFSET($H$3,0,0,'Données projet'!$E$10+1,1))</f>
        <v>230.58262378842818</v>
      </c>
      <c r="AO156" s="59">
        <f t="shared" si="144"/>
        <v>235.68746142880792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15.873715159887711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15.873715159887711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436.24479600000041</v>
      </c>
      <c r="BF156" s="13">
        <f t="shared" si="167"/>
        <v>99.087237791231857</v>
      </c>
      <c r="BG156" s="20">
        <f t="shared" si="168"/>
        <v>932.36995885306271</v>
      </c>
      <c r="BH156" s="59">
        <f t="shared" si="116"/>
        <v>1225.7032921863961</v>
      </c>
      <c r="BI156" s="59">
        <f ca="1">AVERAGE(OFFSET($BH$3,0,0,'Données projet'!$E$11+1,1))-AVERAGE(OFFSET($H$3,0,0,'Données projet'!$E$11+1,1))</f>
        <v>581.88778927327667</v>
      </c>
      <c r="BJ156" s="59">
        <f t="shared" si="146"/>
        <v>269.67340993773422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57.994315997101694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57.994315997101694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458.80918200000048</v>
      </c>
      <c r="CA156" s="13">
        <f t="shared" si="170"/>
        <v>103.60248895406399</v>
      </c>
      <c r="CB156" s="20">
        <f t="shared" si="171"/>
        <v>979.53366024499553</v>
      </c>
      <c r="CC156" s="59">
        <f t="shared" si="119"/>
        <v>1272.8669935783289</v>
      </c>
      <c r="CD156" s="59">
        <f ca="1">AVERAGE(OFFSET($CC$3,0,0,'Données projet'!$E$12+1,1))-AVERAGE(OFFSET($H$3,0,0,'Données projet'!$E$12+1,1))</f>
        <v>609.60019207204277</v>
      </c>
      <c r="CE156" s="59">
        <f t="shared" si="148"/>
        <v>281.42238288764503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60.994021996951773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60.994021996951773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1.5999999999905867E-2</v>
      </c>
      <c r="CU156" s="17">
        <f>CT156*VLOOKUP('Données projet'!$B$13,Paramètres!$A$1:$I$89,3,0)*VLOOKUP('Données projet'!$B$13,Paramètres!$A$1:$I$89,5,0)</f>
        <v>1.2729599999925107E-2</v>
      </c>
      <c r="CV156" s="13">
        <f t="shared" si="173"/>
        <v>9.7491417338934176E-3</v>
      </c>
      <c r="CW156" s="20">
        <f t="shared" si="174"/>
        <v>3.9150475186400593E-2</v>
      </c>
      <c r="CX156" s="59">
        <f t="shared" si="122"/>
        <v>293.37248380851969</v>
      </c>
      <c r="CY156" s="59">
        <f ca="1">AVERAGE(OFFSET($CX$3,0,0,'Données projet'!$E$13+1,1))-AVERAGE(OFFSET($H$3,0,0,'Données projet'!$E$13+1,1))</f>
        <v>172.13940525084604</v>
      </c>
      <c r="CZ156" s="59">
        <f t="shared" si="150"/>
        <v>172.82328007157236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10.769718549600192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10.769718549600192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1.7053025658242404E-13</v>
      </c>
      <c r="DP156" s="17">
        <f>DO156*VLOOKUP('Données projet'!$B$14,Paramètres!$A$1:$I$89,3,0)*VLOOKUP('Données projet'!$B$14,Paramètres!$A$1:$I$89,5,0)</f>
        <v>1.250327841262333E-13</v>
      </c>
      <c r="DQ156" s="13">
        <f t="shared" si="176"/>
        <v>1.8301318724634299E-12</v>
      </c>
      <c r="DR156" s="20">
        <f t="shared" si="177"/>
        <v>3.405245110226996E-12</v>
      </c>
      <c r="DS156" s="59">
        <f t="shared" si="125"/>
        <v>293.33333333333672</v>
      </c>
      <c r="DT156" s="59">
        <f ca="1">AVERAGE(OFFSET($DS$3,0,0,'Données projet'!$E$14+1,1))-AVERAGE(OFFSET($H$3,0,0,'Données projet'!$E$14+1,1))</f>
        <v>197.34725966440715</v>
      </c>
      <c r="DU156" s="59">
        <f t="shared" si="152"/>
        <v>240.16326570529532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5.6899532020919601</v>
      </c>
      <c r="EB156" s="21">
        <f>EXP(-LN(2)/25)*EB155+(1-EXP(-LN(2)/25))/(LN(2)/25)*Calculateur!DW156*Calculateur!DY156*VLOOKUP('Données projet'!$B$14,Paramètres!$A$1:$I$89,3,0)*0.475*44/12</f>
        <v>1.7713007579525755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7.4612539600445356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5.6843418860808015E-14</v>
      </c>
      <c r="EK156" s="17">
        <f>EJ156*VLOOKUP('Données projet'!$B$15,Paramètres!$A$1:$I$89,3,0)*VLOOKUP('Données projet'!$B$15,Paramètres!$A$1:$I$89,5,0)</f>
        <v>4.4337866711430253E-14</v>
      </c>
      <c r="EL156" s="13">
        <f t="shared" si="179"/>
        <v>7.3222115536967035E-13</v>
      </c>
      <c r="EM156" s="20">
        <f t="shared" si="180"/>
        <v>1.3525069634579169E-12</v>
      </c>
      <c r="EN156" s="59">
        <f t="shared" si="128"/>
        <v>293.33333333333468</v>
      </c>
      <c r="EO156" s="59">
        <f ca="1">AVERAGE(OFFSET($EN$3,0,0,'Données projet'!$E$15+1,1))-AVERAGE(OFFSET($H$3,0,0,'Données projet'!$E$15+1,1))</f>
        <v>288.82868507674738</v>
      </c>
      <c r="EP156" s="59">
        <f t="shared" si="154"/>
        <v>283.48738729114024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19.552098062399555</v>
      </c>
      <c r="EW156" s="21">
        <f>EXP(-LN(2)/25)*EW155+(1-EXP(-LN(2)/25))/(LN(2)/25)*Calculateur!ER156*Calculateur!ET156*VLOOKUP('Données projet'!$B$15,Paramètres!$A$1:$I$89,3,0)*0.475*44/12</f>
        <v>4.9578388610951309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24.509936923494685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>
        <f>VLOOKUP(A157,'Données projet'!$A$35:$I$55,2,0)</f>
        <v>490.47</v>
      </c>
      <c r="L157" s="12">
        <f>VLOOKUP(A157,'Données projet'!$A$35:$I$55,9,0)</f>
        <v>8.3249999999999993</v>
      </c>
      <c r="M157" s="12">
        <f t="array" ref="M157">INDEX(L:L,MIN(IF(ISNUMBER(L157:L353),ROW(L157:L353),"")))</f>
        <v>8.3249999999999993</v>
      </c>
      <c r="N157" s="13">
        <f>IF('Données projet'!$A$36&gt;35,N156+M157-V156,IF(A157&lt;'Données projet'!$A$36,$K$205^A157,IF(A157='Données projet'!$A$36,'Données projet'!$B$36,N156+M157-V156)))</f>
        <v>490.47000000000048</v>
      </c>
      <c r="O157" s="13">
        <f>N157*VLOOKUP('Données projet'!$B$9,Paramètres!$A$1:$I$89,3,0)*VLOOKUP('Données projet'!$B$9,Paramètres!$A$1:$I$89,5,0)</f>
        <v>443.77725600000048</v>
      </c>
      <c r="P157" s="13">
        <f t="shared" si="141"/>
        <v>100.59747837627934</v>
      </c>
      <c r="Q157" s="20">
        <f t="shared" si="162"/>
        <v>948.11932903868717</v>
      </c>
      <c r="R157" s="59">
        <f t="shared" si="109"/>
        <v>1241.4526623720205</v>
      </c>
      <c r="S157" s="59">
        <f ca="1">AVERAGE(OFFSET($R$3,0,0,'Données projet'!$E$9+1,1))-AVERAGE(OFFSET($H$3,0,0,'Données projet'!$E$9+1,1))</f>
        <v>581.88778927327667</v>
      </c>
      <c r="T157" s="59">
        <f t="shared" si="142"/>
        <v>269.67340993773422</v>
      </c>
      <c r="U157" s="15">
        <f>IF(ISNA(VLOOKUP(A157,'Données projet'!$A$35:$I$55,3,0)),0,VLOOKUP(A157,'Données projet'!$A$35:$I$55,3,0))</f>
        <v>13</v>
      </c>
      <c r="V157" s="15">
        <f>IF(ISNA(VLOOKUP(A157,'Données projet'!$A$35:$I$55,4,0)),0,VLOOKUP(A157,'Données projet'!$A$35:$I$55,4,0))</f>
        <v>55.13</v>
      </c>
      <c r="W157" s="16">
        <f>IF(ISNA(VLOOKUP(A157,'Données projet'!$A$35:$I$55,5,0)),0%,VLOOKUP(A157,'Données projet'!$A$35:$I$55,5,0)*VLOOKUP('Données projet'!$B$9,Paramètres!$A$1:$I$89,7,0))</f>
        <v>0.25800000000000001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71.083888549708462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71.083888549708462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1.7053025658242404E-13</v>
      </c>
      <c r="AJ157" s="13">
        <f>AI157*VLOOKUP('Données projet'!$B$10,Paramètres!$A$1:$I$89,3,0)*VLOOKUP('Données projet'!$B$10,Paramètres!$A$1:$I$89,5,0)</f>
        <v>1.1173142411280423E-13</v>
      </c>
      <c r="AK157" s="13">
        <f t="shared" si="164"/>
        <v>1.6569896290553793E-12</v>
      </c>
      <c r="AL157" s="20">
        <f t="shared" si="165"/>
        <v>3.0805225009345862E-12</v>
      </c>
      <c r="AM157" s="59">
        <f t="shared" si="113"/>
        <v>293.33333333333638</v>
      </c>
      <c r="AN157" s="59">
        <f ca="1">AVERAGE(OFFSET($AM$3,0,0,'Données projet'!$E$10+1,1))-AVERAGE(OFFSET($H$3,0,0,'Données projet'!$E$10+1,1))</f>
        <v>230.58262378842818</v>
      </c>
      <c r="AO157" s="59">
        <f t="shared" si="144"/>
        <v>235.68746142880792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15.562441287612542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15.562441287612542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443.77725600000048</v>
      </c>
      <c r="BF157" s="13">
        <f t="shared" si="167"/>
        <v>100.59747837627934</v>
      </c>
      <c r="BG157" s="20">
        <f t="shared" si="168"/>
        <v>948.11932903868717</v>
      </c>
      <c r="BH157" s="59">
        <f t="shared" si="116"/>
        <v>1241.4526623720205</v>
      </c>
      <c r="BI157" s="59">
        <f ca="1">AVERAGE(OFFSET($BH$3,0,0,'Données projet'!$E$11+1,1))-AVERAGE(OFFSET($H$3,0,0,'Données projet'!$E$11+1,1))</f>
        <v>581.88778927327667</v>
      </c>
      <c r="BJ157" s="59">
        <f t="shared" si="146"/>
        <v>269.67340993773422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71.083888549708462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71.083888549708462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466.7312520000005</v>
      </c>
      <c r="CA157" s="13">
        <f t="shared" si="170"/>
        <v>105.18154885136397</v>
      </c>
      <c r="CB157" s="20">
        <f t="shared" si="171"/>
        <v>996.08146148279309</v>
      </c>
      <c r="CC157" s="59">
        <f t="shared" si="119"/>
        <v>1289.4147948161265</v>
      </c>
      <c r="CD157" s="59">
        <f ca="1">AVERAGE(OFFSET($CC$3,0,0,'Données projet'!$E$12+1,1))-AVERAGE(OFFSET($H$3,0,0,'Données projet'!$E$12+1,1))</f>
        <v>609.60019207204277</v>
      </c>
      <c r="CE157" s="59">
        <f t="shared" si="148"/>
        <v>281.42238288764503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74.760641405727867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74.760641405727867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1.5999999999905867E-2</v>
      </c>
      <c r="CU157" s="17">
        <f>CT157*VLOOKUP('Données projet'!$B$13,Paramètres!$A$1:$I$89,3,0)*VLOOKUP('Données projet'!$B$13,Paramètres!$A$1:$I$89,5,0)</f>
        <v>1.2729599999925107E-2</v>
      </c>
      <c r="CV157" s="13">
        <f t="shared" si="173"/>
        <v>9.7491417338934176E-3</v>
      </c>
      <c r="CW157" s="20">
        <f t="shared" si="174"/>
        <v>3.9150475186400593E-2</v>
      </c>
      <c r="CX157" s="59">
        <f t="shared" si="122"/>
        <v>293.37248380851969</v>
      </c>
      <c r="CY157" s="59">
        <f ca="1">AVERAGE(OFFSET($CX$3,0,0,'Données projet'!$E$13+1,1))-AVERAGE(OFFSET($H$3,0,0,'Données projet'!$E$13+1,1))</f>
        <v>172.13940525084604</v>
      </c>
      <c r="CZ157" s="59">
        <f t="shared" si="150"/>
        <v>172.82328007157236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10.558530937722225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10.558530937722225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1.7053025658242404E-13</v>
      </c>
      <c r="DP157" s="17">
        <f>DO157*VLOOKUP('Données projet'!$B$14,Paramètres!$A$1:$I$89,3,0)*VLOOKUP('Données projet'!$B$14,Paramètres!$A$1:$I$89,5,0)</f>
        <v>1.250327841262333E-13</v>
      </c>
      <c r="DQ157" s="13">
        <f t="shared" si="176"/>
        <v>1.8301318724634299E-12</v>
      </c>
      <c r="DR157" s="20">
        <f t="shared" si="177"/>
        <v>3.405245110226996E-12</v>
      </c>
      <c r="DS157" s="59">
        <f t="shared" si="125"/>
        <v>293.33333333333672</v>
      </c>
      <c r="DT157" s="59">
        <f ca="1">AVERAGE(OFFSET($DS$3,0,0,'Données projet'!$E$14+1,1))-AVERAGE(OFFSET($H$3,0,0,'Données projet'!$E$14+1,1))</f>
        <v>197.34725966440715</v>
      </c>
      <c r="DU157" s="59">
        <f t="shared" si="152"/>
        <v>240.16326570529532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5.5783766903277039</v>
      </c>
      <c r="EB157" s="21">
        <f>EXP(-LN(2)/25)*EB156+(1-EXP(-LN(2)/25))/(LN(2)/25)*Calculateur!DW157*Calculateur!DY157*VLOOKUP('Données projet'!$B$14,Paramètres!$A$1:$I$89,3,0)*0.475*44/12</f>
        <v>1.7228644455777038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7.3012411359054079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5.6843418860808015E-14</v>
      </c>
      <c r="EK157" s="17">
        <f>EJ157*VLOOKUP('Données projet'!$B$15,Paramètres!$A$1:$I$89,3,0)*VLOOKUP('Données projet'!$B$15,Paramètres!$A$1:$I$89,5,0)</f>
        <v>4.4337866711430253E-14</v>
      </c>
      <c r="EL157" s="13">
        <f t="shared" si="179"/>
        <v>7.3222115536967035E-13</v>
      </c>
      <c r="EM157" s="20">
        <f t="shared" si="180"/>
        <v>1.3525069634579169E-12</v>
      </c>
      <c r="EN157" s="59">
        <f t="shared" si="128"/>
        <v>293.33333333333468</v>
      </c>
      <c r="EO157" s="59">
        <f ca="1">AVERAGE(OFFSET($EN$3,0,0,'Données projet'!$E$15+1,1))-AVERAGE(OFFSET($H$3,0,0,'Données projet'!$E$15+1,1))</f>
        <v>288.82868507674738</v>
      </c>
      <c r="EP157" s="59">
        <f t="shared" si="154"/>
        <v>283.48738729114024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19.168693344998161</v>
      </c>
      <c r="EW157" s="21">
        <f>EXP(-LN(2)/25)*EW156+(1-EXP(-LN(2)/25))/(LN(2)/25)*Calculateur!ER157*Calculateur!ET157*VLOOKUP('Données projet'!$B$15,Paramètres!$A$1:$I$89,3,0)*0.475*44/12</f>
        <v>4.8222664967170701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23.990959841715231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8.4429999999999943</v>
      </c>
      <c r="N158" s="13">
        <f>IF('Données projet'!$A$36&gt;35,N157+M158-V157,IF(A158&lt;'Données projet'!$A$36,$K$205^A158,IF(A158='Données projet'!$A$36,'Données projet'!$B$36,N157+M158-V157)))</f>
        <v>443.78300000000047</v>
      </c>
      <c r="O158" s="13">
        <f>N158*VLOOKUP('Données projet'!$B$9,Paramètres!$A$1:$I$89,3,0)*VLOOKUP('Données projet'!$B$9,Paramètres!$A$1:$I$89,5,0)</f>
        <v>401.53485840000047</v>
      </c>
      <c r="P158" s="13">
        <f t="shared" si="141"/>
        <v>92.087764815279797</v>
      </c>
      <c r="Q158" s="20">
        <f t="shared" si="162"/>
        <v>859.72606876661303</v>
      </c>
      <c r="R158" s="59">
        <f t="shared" si="109"/>
        <v>1153.0594020999463</v>
      </c>
      <c r="S158" s="59">
        <f ca="1">AVERAGE(OFFSET($R$3,0,0,'Données projet'!$E$9+1,1))-AVERAGE(OFFSET($H$3,0,0,'Données projet'!$E$9+1,1))</f>
        <v>581.88778927327667</v>
      </c>
      <c r="T158" s="59">
        <f t="shared" si="142"/>
        <v>269.67340993773422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69.689976852139552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69.689976852139552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1.7053025658242404E-13</v>
      </c>
      <c r="AJ158" s="13">
        <f>AI158*VLOOKUP('Données projet'!$B$10,Paramètres!$A$1:$I$89,3,0)*VLOOKUP('Données projet'!$B$10,Paramètres!$A$1:$I$89,5,0)</f>
        <v>1.1173142411280423E-13</v>
      </c>
      <c r="AK158" s="13">
        <f t="shared" si="164"/>
        <v>1.6569896290553793E-12</v>
      </c>
      <c r="AL158" s="20">
        <f t="shared" si="165"/>
        <v>3.0805225009345862E-12</v>
      </c>
      <c r="AM158" s="59">
        <f t="shared" si="113"/>
        <v>293.33333333333638</v>
      </c>
      <c r="AN158" s="59">
        <f ca="1">AVERAGE(OFFSET($AM$3,0,0,'Données projet'!$E$10+1,1))-AVERAGE(OFFSET($H$3,0,0,'Données projet'!$E$10+1,1))</f>
        <v>230.58262378842818</v>
      </c>
      <c r="AO158" s="59">
        <f t="shared" si="144"/>
        <v>235.68746142880792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15.257271306114372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15.257271306114372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401.53485840000047</v>
      </c>
      <c r="BF158" s="13">
        <f t="shared" si="167"/>
        <v>92.087764815279797</v>
      </c>
      <c r="BG158" s="20">
        <f t="shared" si="168"/>
        <v>859.72606876661303</v>
      </c>
      <c r="BH158" s="59">
        <f t="shared" si="116"/>
        <v>1153.0594020999463</v>
      </c>
      <c r="BI158" s="59">
        <f ca="1">AVERAGE(OFFSET($BH$3,0,0,'Données projet'!$E$11+1,1))-AVERAGE(OFFSET($H$3,0,0,'Données projet'!$E$11+1,1))</f>
        <v>581.88778927327667</v>
      </c>
      <c r="BJ158" s="59">
        <f t="shared" si="146"/>
        <v>269.67340993773422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69.689976852139552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69.689976852139552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422.30390280000046</v>
      </c>
      <c r="CA158" s="13">
        <f t="shared" si="170"/>
        <v>96.284060891681165</v>
      </c>
      <c r="CB158" s="20">
        <f t="shared" si="171"/>
        <v>903.20737009634547</v>
      </c>
      <c r="CC158" s="59">
        <f t="shared" si="119"/>
        <v>1196.5407034296788</v>
      </c>
      <c r="CD158" s="59">
        <f ca="1">AVERAGE(OFFSET($CC$3,0,0,'Données projet'!$E$12+1,1))-AVERAGE(OFFSET($H$3,0,0,'Données projet'!$E$12+1,1))</f>
        <v>609.60019207204277</v>
      </c>
      <c r="CE158" s="59">
        <f t="shared" si="148"/>
        <v>281.42238288764503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73.294630827250231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73.294630827250231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1.5999999999905867E-2</v>
      </c>
      <c r="CU158" s="17">
        <f>CT158*VLOOKUP('Données projet'!$B$13,Paramètres!$A$1:$I$89,3,0)*VLOOKUP('Données projet'!$B$13,Paramètres!$A$1:$I$89,5,0)</f>
        <v>1.2729599999925107E-2</v>
      </c>
      <c r="CV158" s="13">
        <f t="shared" si="173"/>
        <v>9.7491417338934176E-3</v>
      </c>
      <c r="CW158" s="20">
        <f t="shared" si="174"/>
        <v>3.9150475186400593E-2</v>
      </c>
      <c r="CX158" s="59">
        <f t="shared" si="122"/>
        <v>293.37248380851969</v>
      </c>
      <c r="CY158" s="59">
        <f ca="1">AVERAGE(OFFSET($CX$3,0,0,'Données projet'!$E$13+1,1))-AVERAGE(OFFSET($H$3,0,0,'Données projet'!$E$13+1,1))</f>
        <v>172.13940525084604</v>
      </c>
      <c r="CZ158" s="59">
        <f t="shared" si="150"/>
        <v>172.82328007157236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10.35148458610146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10.35148458610146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1.7053025658242404E-13</v>
      </c>
      <c r="DP158" s="17">
        <f>DO158*VLOOKUP('Données projet'!$B$14,Paramètres!$A$1:$I$89,3,0)*VLOOKUP('Données projet'!$B$14,Paramètres!$A$1:$I$89,5,0)</f>
        <v>1.250327841262333E-13</v>
      </c>
      <c r="DQ158" s="13">
        <f t="shared" si="176"/>
        <v>1.8301318724634299E-12</v>
      </c>
      <c r="DR158" s="20">
        <f t="shared" si="177"/>
        <v>3.405245110226996E-12</v>
      </c>
      <c r="DS158" s="59">
        <f t="shared" si="125"/>
        <v>293.33333333333672</v>
      </c>
      <c r="DT158" s="59">
        <f ca="1">AVERAGE(OFFSET($DS$3,0,0,'Données projet'!$E$14+1,1))-AVERAGE(OFFSET($H$3,0,0,'Données projet'!$E$14+1,1))</f>
        <v>197.34725966440715</v>
      </c>
      <c r="DU158" s="59">
        <f t="shared" si="152"/>
        <v>240.16326570529532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5.4689881259041924</v>
      </c>
      <c r="EB158" s="21">
        <f>EXP(-LN(2)/25)*EB157+(1-EXP(-LN(2)/25))/(LN(2)/25)*Calculateur!DW158*Calculateur!DY158*VLOOKUP('Données projet'!$B$14,Paramètres!$A$1:$I$89,3,0)*0.475*44/12</f>
        <v>1.6757526267118779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7.1447407526160704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5.6843418860808015E-14</v>
      </c>
      <c r="EK158" s="17">
        <f>EJ158*VLOOKUP('Données projet'!$B$15,Paramètres!$A$1:$I$89,3,0)*VLOOKUP('Données projet'!$B$15,Paramètres!$A$1:$I$89,5,0)</f>
        <v>4.4337866711430253E-14</v>
      </c>
      <c r="EL158" s="13">
        <f t="shared" si="179"/>
        <v>7.3222115536967035E-13</v>
      </c>
      <c r="EM158" s="20">
        <f t="shared" si="180"/>
        <v>1.3525069634579169E-12</v>
      </c>
      <c r="EN158" s="59">
        <f t="shared" si="128"/>
        <v>293.33333333333468</v>
      </c>
      <c r="EO158" s="59">
        <f ca="1">AVERAGE(OFFSET($EN$3,0,0,'Données projet'!$E$15+1,1))-AVERAGE(OFFSET($H$3,0,0,'Données projet'!$E$15+1,1))</f>
        <v>288.82868507674738</v>
      </c>
      <c r="EP158" s="59">
        <f t="shared" si="154"/>
        <v>283.48738729114024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18.792806960251223</v>
      </c>
      <c r="EW158" s="21">
        <f>EXP(-LN(2)/25)*EW157+(1-EXP(-LN(2)/25))/(LN(2)/25)*Calculateur!ER158*Calculateur!ET158*VLOOKUP('Données projet'!$B$15,Paramètres!$A$1:$I$89,3,0)*0.475*44/12</f>
        <v>4.6904013657723684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23.483208326023593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8.4429999999999943</v>
      </c>
      <c r="N159" s="13">
        <f>IF('Données projet'!$A$36&gt;35,N158+M159-V158,IF(A159&lt;'Données projet'!$A$36,$K$205^A159,IF(A159='Données projet'!$A$36,'Données projet'!$B$36,N158+M159-V158)))</f>
        <v>452.22600000000045</v>
      </c>
      <c r="O159" s="13">
        <f>N159*VLOOKUP('Données projet'!$B$9,Paramètres!$A$1:$I$89,3,0)*VLOOKUP('Données projet'!$B$9,Paramètres!$A$1:$I$89,5,0)</f>
        <v>409.1740848000004</v>
      </c>
      <c r="P159" s="13">
        <f t="shared" si="141"/>
        <v>93.634108404325715</v>
      </c>
      <c r="Q159" s="20">
        <f t="shared" si="162"/>
        <v>875.72426983086791</v>
      </c>
      <c r="R159" s="59">
        <f t="shared" si="109"/>
        <v>1169.0576031642013</v>
      </c>
      <c r="S159" s="59">
        <f ca="1">AVERAGE(OFFSET($R$3,0,0,'Données projet'!$E$9+1,1))-AVERAGE(OFFSET($H$3,0,0,'Données projet'!$E$9+1,1))</f>
        <v>581.88778927327667</v>
      </c>
      <c r="T159" s="59">
        <f t="shared" si="142"/>
        <v>269.67340993773422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68.323398912757781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68.323398912757781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1.7053025658242404E-13</v>
      </c>
      <c r="AJ159" s="13">
        <f>AI159*VLOOKUP('Données projet'!$B$10,Paramètres!$A$1:$I$89,3,0)*VLOOKUP('Données projet'!$B$10,Paramètres!$A$1:$I$89,5,0)</f>
        <v>1.1173142411280423E-13</v>
      </c>
      <c r="AK159" s="13">
        <f t="shared" si="164"/>
        <v>1.6569896290553793E-12</v>
      </c>
      <c r="AL159" s="20">
        <f t="shared" si="165"/>
        <v>3.0805225009345862E-12</v>
      </c>
      <c r="AM159" s="59">
        <f t="shared" si="113"/>
        <v>293.33333333333638</v>
      </c>
      <c r="AN159" s="59">
        <f ca="1">AVERAGE(OFFSET($AM$3,0,0,'Données projet'!$E$10+1,1))-AVERAGE(OFFSET($H$3,0,0,'Données projet'!$E$10+1,1))</f>
        <v>230.58262378842818</v>
      </c>
      <c r="AO159" s="59">
        <f t="shared" si="144"/>
        <v>235.68746142880792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14.958085521818074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14.958085521818074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409.1740848000004</v>
      </c>
      <c r="BF159" s="13">
        <f t="shared" si="167"/>
        <v>93.634108404325715</v>
      </c>
      <c r="BG159" s="20">
        <f t="shared" si="168"/>
        <v>875.72426983086791</v>
      </c>
      <c r="BH159" s="59">
        <f t="shared" si="116"/>
        <v>1169.0576031642013</v>
      </c>
      <c r="BI159" s="59">
        <f ca="1">AVERAGE(OFFSET($BH$3,0,0,'Données projet'!$E$11+1,1))-AVERAGE(OFFSET($H$3,0,0,'Données projet'!$E$11+1,1))</f>
        <v>581.88778927327667</v>
      </c>
      <c r="BJ159" s="59">
        <f t="shared" si="146"/>
        <v>269.67340993773422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68.323398912757781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68.323398912757781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430.33826160000041</v>
      </c>
      <c r="CA159" s="13">
        <f t="shared" si="170"/>
        <v>97.900868950665071</v>
      </c>
      <c r="CB159" s="20">
        <f t="shared" si="171"/>
        <v>920.01648570907571</v>
      </c>
      <c r="CC159" s="59">
        <f t="shared" si="119"/>
        <v>1213.3498190424091</v>
      </c>
      <c r="CD159" s="59">
        <f ca="1">AVERAGE(OFFSET($CC$3,0,0,'Données projet'!$E$12+1,1))-AVERAGE(OFFSET($H$3,0,0,'Données projet'!$E$12+1,1))</f>
        <v>609.60019207204277</v>
      </c>
      <c r="CE159" s="59">
        <f t="shared" si="148"/>
        <v>281.42238288764503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71.85736782203837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71.85736782203837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1.5999999999905867E-2</v>
      </c>
      <c r="CU159" s="17">
        <f>CT159*VLOOKUP('Données projet'!$B$13,Paramètres!$A$1:$I$89,3,0)*VLOOKUP('Données projet'!$B$13,Paramètres!$A$1:$I$89,5,0)</f>
        <v>1.2729599999925107E-2</v>
      </c>
      <c r="CV159" s="13">
        <f t="shared" si="173"/>
        <v>9.7491417338934176E-3</v>
      </c>
      <c r="CW159" s="20">
        <f t="shared" si="174"/>
        <v>3.9150475186400593E-2</v>
      </c>
      <c r="CX159" s="59">
        <f t="shared" si="122"/>
        <v>293.37248380851969</v>
      </c>
      <c r="CY159" s="59">
        <f ca="1">AVERAGE(OFFSET($CX$3,0,0,'Données projet'!$E$13+1,1))-AVERAGE(OFFSET($H$3,0,0,'Données projet'!$E$13+1,1))</f>
        <v>172.13940525084604</v>
      </c>
      <c r="CZ159" s="59">
        <f t="shared" si="150"/>
        <v>172.82328007157236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10.148498287150174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10.148498287150174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1.7053025658242404E-13</v>
      </c>
      <c r="DP159" s="17">
        <f>DO159*VLOOKUP('Données projet'!$B$14,Paramètres!$A$1:$I$89,3,0)*VLOOKUP('Données projet'!$B$14,Paramètres!$A$1:$I$89,5,0)</f>
        <v>1.250327841262333E-13</v>
      </c>
      <c r="DQ159" s="13">
        <f t="shared" si="176"/>
        <v>1.8301318724634299E-12</v>
      </c>
      <c r="DR159" s="20">
        <f t="shared" si="177"/>
        <v>3.405245110226996E-12</v>
      </c>
      <c r="DS159" s="59">
        <f t="shared" si="125"/>
        <v>293.33333333333672</v>
      </c>
      <c r="DT159" s="59">
        <f ca="1">AVERAGE(OFFSET($DS$3,0,0,'Données projet'!$E$14+1,1))-AVERAGE(OFFSET($H$3,0,0,'Données projet'!$E$14+1,1))</f>
        <v>197.34725966440715</v>
      </c>
      <c r="DU159" s="59">
        <f t="shared" si="152"/>
        <v>240.16326570529532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5.3617446045085897</v>
      </c>
      <c r="EB159" s="21">
        <f>EXP(-LN(2)/25)*EB158+(1-EXP(-LN(2)/25))/(LN(2)/25)*Calculateur!DW159*Calculateur!DY159*VLOOKUP('Données projet'!$B$14,Paramètres!$A$1:$I$89,3,0)*0.475*44/12</f>
        <v>1.6299290830104409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6.9916736875190306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5.6843418860808015E-14</v>
      </c>
      <c r="EK159" s="17">
        <f>EJ159*VLOOKUP('Données projet'!$B$15,Paramètres!$A$1:$I$89,3,0)*VLOOKUP('Données projet'!$B$15,Paramètres!$A$1:$I$89,5,0)</f>
        <v>4.4337866711430253E-14</v>
      </c>
      <c r="EL159" s="13">
        <f t="shared" si="179"/>
        <v>7.3222115536967035E-13</v>
      </c>
      <c r="EM159" s="20">
        <f t="shared" si="180"/>
        <v>1.3525069634579169E-12</v>
      </c>
      <c r="EN159" s="59">
        <f t="shared" si="128"/>
        <v>293.33333333333468</v>
      </c>
      <c r="EO159" s="59">
        <f ca="1">AVERAGE(OFFSET($EN$3,0,0,'Données projet'!$E$15+1,1))-AVERAGE(OFFSET($H$3,0,0,'Données projet'!$E$15+1,1))</f>
        <v>288.82868507674738</v>
      </c>
      <c r="EP159" s="59">
        <f t="shared" si="154"/>
        <v>283.48738729114024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18.424291478241116</v>
      </c>
      <c r="EW159" s="21">
        <f>EXP(-LN(2)/25)*EW158+(1-EXP(-LN(2)/25))/(LN(2)/25)*Calculateur!ER159*Calculateur!ET159*VLOOKUP('Données projet'!$B$15,Paramètres!$A$1:$I$89,3,0)*0.475*44/12</f>
        <v>4.562142093767835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22.986433572008952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8.4429999999999943</v>
      </c>
      <c r="N160" s="13">
        <f>IF('Données projet'!$A$36&gt;35,N159+M160-V159,IF(A160&lt;'Données projet'!$A$36,$K$205^A160,IF(A160='Données projet'!$A$36,'Données projet'!$B$36,N159+M160-V159)))</f>
        <v>460.66900000000044</v>
      </c>
      <c r="O160" s="13">
        <f>N160*VLOOKUP('Données projet'!$B$9,Paramètres!$A$1:$I$89,3,0)*VLOOKUP('Données projet'!$B$9,Paramètres!$A$1:$I$89,5,0)</f>
        <v>416.81331120000038</v>
      </c>
      <c r="P160" s="13">
        <f t="shared" si="141"/>
        <v>95.177094964322421</v>
      </c>
      <c r="Q160" s="20">
        <f t="shared" si="162"/>
        <v>891.71662406952885</v>
      </c>
      <c r="R160" s="59">
        <f t="shared" si="109"/>
        <v>1185.0499574028622</v>
      </c>
      <c r="S160" s="59">
        <f ca="1">AVERAGE(OFFSET($R$3,0,0,'Données projet'!$E$9+1,1))-AVERAGE(OFFSET($H$3,0,0,'Données projet'!$E$9+1,1))</f>
        <v>581.88778927327667</v>
      </c>
      <c r="T160" s="59">
        <f t="shared" si="142"/>
        <v>269.67340993773422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66.983618733237051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66.983618733237051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1.7053025658242404E-13</v>
      </c>
      <c r="AJ160" s="13">
        <f>AI160*VLOOKUP('Données projet'!$B$10,Paramètres!$A$1:$I$89,3,0)*VLOOKUP('Données projet'!$B$10,Paramètres!$A$1:$I$89,5,0)</f>
        <v>1.1173142411280423E-13</v>
      </c>
      <c r="AK160" s="13">
        <f t="shared" si="164"/>
        <v>1.6569896290553793E-12</v>
      </c>
      <c r="AL160" s="20">
        <f t="shared" si="165"/>
        <v>3.0805225009345862E-12</v>
      </c>
      <c r="AM160" s="59">
        <f t="shared" si="113"/>
        <v>293.33333333333638</v>
      </c>
      <c r="AN160" s="59">
        <f ca="1">AVERAGE(OFFSET($AM$3,0,0,'Données projet'!$E$10+1,1))-AVERAGE(OFFSET($H$3,0,0,'Données projet'!$E$10+1,1))</f>
        <v>230.58262378842818</v>
      </c>
      <c r="AO160" s="59">
        <f t="shared" si="144"/>
        <v>235.68746142880792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14.664766588266517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14.664766588266517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416.81331120000038</v>
      </c>
      <c r="BF160" s="13">
        <f t="shared" si="167"/>
        <v>95.177094964322421</v>
      </c>
      <c r="BG160" s="20">
        <f t="shared" si="168"/>
        <v>891.71662406952885</v>
      </c>
      <c r="BH160" s="59">
        <f t="shared" si="116"/>
        <v>1185.0499574028622</v>
      </c>
      <c r="BI160" s="59">
        <f ca="1">AVERAGE(OFFSET($BH$3,0,0,'Données projet'!$E$11+1,1))-AVERAGE(OFFSET($H$3,0,0,'Données projet'!$E$11+1,1))</f>
        <v>581.88778927327667</v>
      </c>
      <c r="BJ160" s="59">
        <f t="shared" si="146"/>
        <v>269.67340993773422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66.983618733237051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66.983618733237051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438.37262040000041</v>
      </c>
      <c r="CA160" s="13">
        <f t="shared" si="170"/>
        <v>99.514167006012443</v>
      </c>
      <c r="CB160" s="20">
        <f t="shared" si="171"/>
        <v>936.81948806547246</v>
      </c>
      <c r="CC160" s="59">
        <f t="shared" si="119"/>
        <v>1230.1528213988058</v>
      </c>
      <c r="CD160" s="59">
        <f ca="1">AVERAGE(OFFSET($CC$3,0,0,'Données projet'!$E$12+1,1))-AVERAGE(OFFSET($H$3,0,0,'Données projet'!$E$12+1,1))</f>
        <v>609.60019207204277</v>
      </c>
      <c r="CE160" s="59">
        <f t="shared" si="148"/>
        <v>281.42238288764503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70.448288667714849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70.448288667714849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1.5999999999905867E-2</v>
      </c>
      <c r="CU160" s="17">
        <f>CT160*VLOOKUP('Données projet'!$B$13,Paramètres!$A$1:$I$89,3,0)*VLOOKUP('Données projet'!$B$13,Paramètres!$A$1:$I$89,5,0)</f>
        <v>1.2729599999925107E-2</v>
      </c>
      <c r="CV160" s="13">
        <f t="shared" si="173"/>
        <v>9.7491417338934176E-3</v>
      </c>
      <c r="CW160" s="20">
        <f t="shared" si="174"/>
        <v>3.9150475186400593E-2</v>
      </c>
      <c r="CX160" s="59">
        <f t="shared" si="122"/>
        <v>293.37248380851969</v>
      </c>
      <c r="CY160" s="59">
        <f ca="1">AVERAGE(OFFSET($CX$3,0,0,'Données projet'!$E$13+1,1))-AVERAGE(OFFSET($H$3,0,0,'Données projet'!$E$13+1,1))</f>
        <v>172.13940525084604</v>
      </c>
      <c r="CZ160" s="59">
        <f t="shared" si="150"/>
        <v>172.82328007157236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9.949492425711906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9.949492425711906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1.7053025658242404E-13</v>
      </c>
      <c r="DP160" s="17">
        <f>DO160*VLOOKUP('Données projet'!$B$14,Paramètres!$A$1:$I$89,3,0)*VLOOKUP('Données projet'!$B$14,Paramètres!$A$1:$I$89,5,0)</f>
        <v>1.250327841262333E-13</v>
      </c>
      <c r="DQ160" s="13">
        <f t="shared" si="176"/>
        <v>1.8301318724634299E-12</v>
      </c>
      <c r="DR160" s="20">
        <f t="shared" si="177"/>
        <v>3.405245110226996E-12</v>
      </c>
      <c r="DS160" s="59">
        <f t="shared" si="125"/>
        <v>293.33333333333672</v>
      </c>
      <c r="DT160" s="59">
        <f ca="1">AVERAGE(OFFSET($DS$3,0,0,'Données projet'!$E$14+1,1))-AVERAGE(OFFSET($H$3,0,0,'Données projet'!$E$14+1,1))</f>
        <v>197.34725966440715</v>
      </c>
      <c r="DU160" s="59">
        <f t="shared" si="152"/>
        <v>240.16326570529532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5.256604063155466</v>
      </c>
      <c r="EB160" s="21">
        <f>EXP(-LN(2)/25)*EB159+(1-EXP(-LN(2)/25))/(LN(2)/25)*Calculateur!DW160*Calculateur!DY160*VLOOKUP('Données projet'!$B$14,Paramètres!$A$1:$I$89,3,0)*0.475*44/12</f>
        <v>1.5853585865212751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6.8419626496767414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5.6843418860808015E-14</v>
      </c>
      <c r="EK160" s="17">
        <f>EJ160*VLOOKUP('Données projet'!$B$15,Paramètres!$A$1:$I$89,3,0)*VLOOKUP('Données projet'!$B$15,Paramètres!$A$1:$I$89,5,0)</f>
        <v>4.4337866711430253E-14</v>
      </c>
      <c r="EL160" s="13">
        <f t="shared" si="179"/>
        <v>7.3222115536967035E-13</v>
      </c>
      <c r="EM160" s="20">
        <f t="shared" si="180"/>
        <v>1.3525069634579169E-12</v>
      </c>
      <c r="EN160" s="59">
        <f t="shared" si="128"/>
        <v>293.33333333333468</v>
      </c>
      <c r="EO160" s="59">
        <f ca="1">AVERAGE(OFFSET($EN$3,0,0,'Données projet'!$E$15+1,1))-AVERAGE(OFFSET($H$3,0,0,'Données projet'!$E$15+1,1))</f>
        <v>288.82868507674738</v>
      </c>
      <c r="EP160" s="59">
        <f t="shared" si="154"/>
        <v>283.48738729114024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18.063002360060977</v>
      </c>
      <c r="EW160" s="21">
        <f>EXP(-LN(2)/25)*EW159+(1-EXP(-LN(2)/25))/(LN(2)/25)*Calculateur!ER160*Calculateur!ET160*VLOOKUP('Données projet'!$B$15,Paramètres!$A$1:$I$89,3,0)*0.475*44/12</f>
        <v>4.437390078301128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22.500392438362105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8.4429999999999943</v>
      </c>
      <c r="N161" s="13">
        <f>IF('Données projet'!$A$36&gt;35,N160+M161-V160,IF(A161&lt;'Données projet'!$A$36,$K$205^A161,IF(A161='Données projet'!$A$36,'Données projet'!$B$36,N160+M161-V160)))</f>
        <v>469.11200000000042</v>
      </c>
      <c r="O161" s="13">
        <f>N161*VLOOKUP('Données projet'!$B$9,Paramètres!$A$1:$I$89,3,0)*VLOOKUP('Données projet'!$B$9,Paramètres!$A$1:$I$89,5,0)</f>
        <v>424.45253760000043</v>
      </c>
      <c r="P161" s="13">
        <f t="shared" si="141"/>
        <v>96.716793118095666</v>
      </c>
      <c r="Q161" s="20">
        <f t="shared" si="162"/>
        <v>907.70325100068385</v>
      </c>
      <c r="R161" s="59">
        <f t="shared" si="109"/>
        <v>1201.0365843340171</v>
      </c>
      <c r="S161" s="59">
        <f ca="1">AVERAGE(OFFSET($R$3,0,0,'Données projet'!$E$9+1,1))-AVERAGE(OFFSET($H$3,0,0,'Données projet'!$E$9+1,1))</f>
        <v>581.88778927327667</v>
      </c>
      <c r="T161" s="59">
        <f t="shared" si="142"/>
        <v>269.67340993773422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65.670110825851509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65.670110825851509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1.7053025658242404E-13</v>
      </c>
      <c r="AJ161" s="13">
        <f>AI161*VLOOKUP('Données projet'!$B$10,Paramètres!$A$1:$I$89,3,0)*VLOOKUP('Données projet'!$B$10,Paramètres!$A$1:$I$89,5,0)</f>
        <v>1.1173142411280423E-13</v>
      </c>
      <c r="AK161" s="13">
        <f t="shared" si="164"/>
        <v>1.6569896290553793E-12</v>
      </c>
      <c r="AL161" s="20">
        <f t="shared" si="165"/>
        <v>3.0805225009345862E-12</v>
      </c>
      <c r="AM161" s="59">
        <f t="shared" si="113"/>
        <v>293.33333333333638</v>
      </c>
      <c r="AN161" s="59">
        <f ca="1">AVERAGE(OFFSET($AM$3,0,0,'Données projet'!$E$10+1,1))-AVERAGE(OFFSET($H$3,0,0,'Données projet'!$E$10+1,1))</f>
        <v>230.58262378842818</v>
      </c>
      <c r="AO161" s="59">
        <f t="shared" si="144"/>
        <v>235.68746142880792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14.377199460095021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14.377199460095021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424.45253760000043</v>
      </c>
      <c r="BF161" s="13">
        <f t="shared" si="167"/>
        <v>96.716793118095666</v>
      </c>
      <c r="BG161" s="20">
        <f t="shared" si="168"/>
        <v>907.70325100068385</v>
      </c>
      <c r="BH161" s="59">
        <f t="shared" si="116"/>
        <v>1201.0365843340171</v>
      </c>
      <c r="BI161" s="59">
        <f ca="1">AVERAGE(OFFSET($BH$3,0,0,'Données projet'!$E$11+1,1))-AVERAGE(OFFSET($H$3,0,0,'Données projet'!$E$11+1,1))</f>
        <v>581.88778927327667</v>
      </c>
      <c r="BJ161" s="59">
        <f t="shared" si="146"/>
        <v>269.67340993773422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65.670110825851509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65.670110825851509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446.40697920000036</v>
      </c>
      <c r="CA161" s="13">
        <f t="shared" si="170"/>
        <v>101.12402680758419</v>
      </c>
      <c r="CB161" s="20">
        <f t="shared" si="171"/>
        <v>953.61650212987649</v>
      </c>
      <c r="CC161" s="59">
        <f t="shared" si="119"/>
        <v>1246.9498354632099</v>
      </c>
      <c r="CD161" s="59">
        <f ca="1">AVERAGE(OFFSET($CC$3,0,0,'Données projet'!$E$12+1,1))-AVERAGE(OFFSET($H$3,0,0,'Données projet'!$E$12+1,1))</f>
        <v>609.60019207204277</v>
      </c>
      <c r="CE161" s="59">
        <f t="shared" si="148"/>
        <v>281.42238288764503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69.066840696154188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69.066840696154188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1.5999999999905867E-2</v>
      </c>
      <c r="CU161" s="17">
        <f>CT161*VLOOKUP('Données projet'!$B$13,Paramètres!$A$1:$I$89,3,0)*VLOOKUP('Données projet'!$B$13,Paramètres!$A$1:$I$89,5,0)</f>
        <v>1.2729599999925107E-2</v>
      </c>
      <c r="CV161" s="13">
        <f t="shared" si="173"/>
        <v>9.7491417338934176E-3</v>
      </c>
      <c r="CW161" s="20">
        <f t="shared" si="174"/>
        <v>3.9150475186400593E-2</v>
      </c>
      <c r="CX161" s="59">
        <f t="shared" si="122"/>
        <v>293.37248380851969</v>
      </c>
      <c r="CY161" s="59">
        <f ca="1">AVERAGE(OFFSET($CX$3,0,0,'Données projet'!$E$13+1,1))-AVERAGE(OFFSET($H$3,0,0,'Données projet'!$E$13+1,1))</f>
        <v>172.13940525084604</v>
      </c>
      <c r="CZ161" s="59">
        <f t="shared" si="150"/>
        <v>172.82328007157236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9.7543889478348511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9.7543889478348511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1.7053025658242404E-13</v>
      </c>
      <c r="DP161" s="17">
        <f>DO161*VLOOKUP('Données projet'!$B$14,Paramètres!$A$1:$I$89,3,0)*VLOOKUP('Données projet'!$B$14,Paramètres!$A$1:$I$89,5,0)</f>
        <v>1.250327841262333E-13</v>
      </c>
      <c r="DQ161" s="13">
        <f t="shared" si="176"/>
        <v>1.8301318724634299E-12</v>
      </c>
      <c r="DR161" s="20">
        <f t="shared" si="177"/>
        <v>3.405245110226996E-12</v>
      </c>
      <c r="DS161" s="59">
        <f t="shared" si="125"/>
        <v>293.33333333333672</v>
      </c>
      <c r="DT161" s="59">
        <f ca="1">AVERAGE(OFFSET($DS$3,0,0,'Données projet'!$E$14+1,1))-AVERAGE(OFFSET($H$3,0,0,'Données projet'!$E$14+1,1))</f>
        <v>197.34725966440715</v>
      </c>
      <c r="DU161" s="59">
        <f t="shared" si="152"/>
        <v>240.16326570529532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5.1535252636888789</v>
      </c>
      <c r="EB161" s="21">
        <f>EXP(-LN(2)/25)*EB160+(1-EXP(-LN(2)/25))/(LN(2)/25)*Calculateur!DW161*Calculateur!DY161*VLOOKUP('Données projet'!$B$14,Paramètres!$A$1:$I$89,3,0)*0.475*44/12</f>
        <v>1.5420068726024663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6.6955321362913454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5.6843418860808015E-14</v>
      </c>
      <c r="EK161" s="17">
        <f>EJ161*VLOOKUP('Données projet'!$B$15,Paramètres!$A$1:$I$89,3,0)*VLOOKUP('Données projet'!$B$15,Paramètres!$A$1:$I$89,5,0)</f>
        <v>4.4337866711430253E-14</v>
      </c>
      <c r="EL161" s="13">
        <f t="shared" si="179"/>
        <v>7.3222115536967035E-13</v>
      </c>
      <c r="EM161" s="20">
        <f t="shared" si="180"/>
        <v>1.3525069634579169E-12</v>
      </c>
      <c r="EN161" s="59">
        <f t="shared" si="128"/>
        <v>293.33333333333468</v>
      </c>
      <c r="EO161" s="59">
        <f ca="1">AVERAGE(OFFSET($EN$3,0,0,'Données projet'!$E$15+1,1))-AVERAGE(OFFSET($H$3,0,0,'Données projet'!$E$15+1,1))</f>
        <v>288.82868507674738</v>
      </c>
      <c r="EP161" s="59">
        <f t="shared" si="154"/>
        <v>283.48738729114024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17.708797901123749</v>
      </c>
      <c r="EW161" s="21">
        <f>EXP(-LN(2)/25)*EW160+(1-EXP(-LN(2)/25))/(LN(2)/25)*Calculateur!ER161*Calculateur!ET161*VLOOKUP('Données projet'!$B$15,Paramètres!$A$1:$I$89,3,0)*0.475*44/12</f>
        <v>4.3160494132577814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22.024847314381532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8.4429999999999943</v>
      </c>
      <c r="N162" s="13">
        <f>IF('Données projet'!$A$36&gt;35,N161+M162-V161,IF(A162&lt;'Données projet'!$A$36,$K$205^A162,IF(A162='Données projet'!$A$36,'Données projet'!$B$36,N161+M162-V161)))</f>
        <v>477.5550000000004</v>
      </c>
      <c r="O162" s="13">
        <f>N162*VLOOKUP('Données projet'!$B$9,Paramètres!$A$1:$I$89,3,0)*VLOOKUP('Données projet'!$B$9,Paramètres!$A$1:$I$89,5,0)</f>
        <v>432.09176400000035</v>
      </c>
      <c r="P162" s="13">
        <f t="shared" si="141"/>
        <v>98.253268876899142</v>
      </c>
      <c r="Q162" s="20">
        <f t="shared" si="162"/>
        <v>923.68426559393322</v>
      </c>
      <c r="R162" s="59">
        <f t="shared" si="109"/>
        <v>1217.0175989272666</v>
      </c>
      <c r="S162" s="59">
        <f ca="1">AVERAGE(OFFSET($R$3,0,0,'Données projet'!$E$9+1,1))-AVERAGE(OFFSET($H$3,0,0,'Données projet'!$E$9+1,1))</f>
        <v>581.88778927327667</v>
      </c>
      <c r="T162" s="59">
        <f t="shared" si="142"/>
        <v>269.67340993773422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64.382360007369087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64.382360007369087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1.7053025658242404E-13</v>
      </c>
      <c r="AJ162" s="13">
        <f>AI162*VLOOKUP('Données projet'!$B$10,Paramètres!$A$1:$I$89,3,0)*VLOOKUP('Données projet'!$B$10,Paramètres!$A$1:$I$89,5,0)</f>
        <v>1.1173142411280423E-13</v>
      </c>
      <c r="AK162" s="13">
        <f t="shared" si="164"/>
        <v>1.6569896290553793E-12</v>
      </c>
      <c r="AL162" s="20">
        <f t="shared" si="165"/>
        <v>3.0805225009345862E-12</v>
      </c>
      <c r="AM162" s="59">
        <f t="shared" si="113"/>
        <v>293.33333333333638</v>
      </c>
      <c r="AN162" s="59">
        <f ca="1">AVERAGE(OFFSET($AM$3,0,0,'Données projet'!$E$10+1,1))-AVERAGE(OFFSET($H$3,0,0,'Données projet'!$E$10+1,1))</f>
        <v>230.58262378842818</v>
      </c>
      <c r="AO162" s="59">
        <f t="shared" si="144"/>
        <v>235.68746142880792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14.095271347908339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14.095271347908339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432.09176400000035</v>
      </c>
      <c r="BF162" s="13">
        <f t="shared" si="167"/>
        <v>98.253268876899142</v>
      </c>
      <c r="BG162" s="20">
        <f t="shared" si="168"/>
        <v>923.68426559393322</v>
      </c>
      <c r="BH162" s="59">
        <f t="shared" si="116"/>
        <v>1217.0175989272666</v>
      </c>
      <c r="BI162" s="59">
        <f ca="1">AVERAGE(OFFSET($BH$3,0,0,'Données projet'!$E$11+1,1))-AVERAGE(OFFSET($H$3,0,0,'Données projet'!$E$11+1,1))</f>
        <v>581.88778927327667</v>
      </c>
      <c r="BJ162" s="59">
        <f t="shared" si="146"/>
        <v>269.67340993773422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64.382360007369087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64.382360007369087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454.44133800000043</v>
      </c>
      <c r="CA162" s="13">
        <f t="shared" si="170"/>
        <v>102.73051737466415</v>
      </c>
      <c r="CB162" s="20">
        <f t="shared" si="171"/>
        <v>970.40764811087411</v>
      </c>
      <c r="CC162" s="59">
        <f t="shared" si="119"/>
        <v>1263.7409814442074</v>
      </c>
      <c r="CD162" s="59">
        <f ca="1">AVERAGE(OFFSET($CC$3,0,0,'Données projet'!$E$12+1,1))-AVERAGE(OFFSET($H$3,0,0,'Données projet'!$E$12+1,1))</f>
        <v>609.60019207204277</v>
      </c>
      <c r="CE162" s="59">
        <f t="shared" si="148"/>
        <v>281.42238288764503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67.712482076715773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67.712482076715773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1.5999999999905867E-2</v>
      </c>
      <c r="CU162" s="17">
        <f>CT162*VLOOKUP('Données projet'!$B$13,Paramètres!$A$1:$I$89,3,0)*VLOOKUP('Données projet'!$B$13,Paramètres!$A$1:$I$89,5,0)</f>
        <v>1.2729599999925107E-2</v>
      </c>
      <c r="CV162" s="13">
        <f t="shared" si="173"/>
        <v>9.7491417338934176E-3</v>
      </c>
      <c r="CW162" s="20">
        <f t="shared" si="174"/>
        <v>3.9150475186400593E-2</v>
      </c>
      <c r="CX162" s="59">
        <f t="shared" si="122"/>
        <v>293.37248380851969</v>
      </c>
      <c r="CY162" s="59">
        <f ca="1">AVERAGE(OFFSET($CX$3,0,0,'Données projet'!$E$13+1,1))-AVERAGE(OFFSET($H$3,0,0,'Données projet'!$E$13+1,1))</f>
        <v>172.13940525084604</v>
      </c>
      <c r="CZ162" s="59">
        <f t="shared" si="150"/>
        <v>172.82328007157236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9.5631113301575947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9.5631113301575947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1.7053025658242404E-13</v>
      </c>
      <c r="DP162" s="17">
        <f>DO162*VLOOKUP('Données projet'!$B$14,Paramètres!$A$1:$I$89,3,0)*VLOOKUP('Données projet'!$B$14,Paramètres!$A$1:$I$89,5,0)</f>
        <v>1.250327841262333E-13</v>
      </c>
      <c r="DQ162" s="13">
        <f t="shared" si="176"/>
        <v>1.8301318724634299E-12</v>
      </c>
      <c r="DR162" s="20">
        <f t="shared" si="177"/>
        <v>3.405245110226996E-12</v>
      </c>
      <c r="DS162" s="59">
        <f t="shared" si="125"/>
        <v>293.33333333333672</v>
      </c>
      <c r="DT162" s="59">
        <f ca="1">AVERAGE(OFFSET($DS$3,0,0,'Données projet'!$E$14+1,1))-AVERAGE(OFFSET($H$3,0,0,'Données projet'!$E$14+1,1))</f>
        <v>197.34725966440715</v>
      </c>
      <c r="DU162" s="59">
        <f t="shared" si="152"/>
        <v>240.16326570529532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5.0524677766079718</v>
      </c>
      <c r="EB162" s="21">
        <f>EXP(-LN(2)/25)*EB161+(1-EXP(-LN(2)/25))/(LN(2)/25)*Calculateur!DW162*Calculateur!DY162*VLOOKUP('Données projet'!$B$14,Paramètres!$A$1:$I$89,3,0)*0.475*44/12</f>
        <v>1.4998406135805347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6.5523083901885064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5.6843418860808015E-14</v>
      </c>
      <c r="EK162" s="17">
        <f>EJ162*VLOOKUP('Données projet'!$B$15,Paramètres!$A$1:$I$89,3,0)*VLOOKUP('Données projet'!$B$15,Paramètres!$A$1:$I$89,5,0)</f>
        <v>4.4337866711430253E-14</v>
      </c>
      <c r="EL162" s="13">
        <f t="shared" si="179"/>
        <v>7.3222115536967035E-13</v>
      </c>
      <c r="EM162" s="20">
        <f t="shared" si="180"/>
        <v>1.3525069634579169E-12</v>
      </c>
      <c r="EN162" s="59">
        <f t="shared" si="128"/>
        <v>293.33333333333468</v>
      </c>
      <c r="EO162" s="59">
        <f ca="1">AVERAGE(OFFSET($EN$3,0,0,'Données projet'!$E$15+1,1))-AVERAGE(OFFSET($H$3,0,0,'Données projet'!$E$15+1,1))</f>
        <v>288.82868507674738</v>
      </c>
      <c r="EP162" s="59">
        <f t="shared" si="154"/>
        <v>283.48738729114024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17.361539175582891</v>
      </c>
      <c r="EW162" s="21">
        <f>EXP(-LN(2)/25)*EW161+(1-EXP(-LN(2)/25))/(LN(2)/25)*Calculateur!ER162*Calculateur!ET162*VLOOKUP('Données projet'!$B$15,Paramètres!$A$1:$I$89,3,0)*0.475*44/12</f>
        <v>4.1980268150810733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21.559565990663963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8.4429999999999943</v>
      </c>
      <c r="N163" s="13">
        <f>IF('Données projet'!$A$36&gt;35,N162+M163-V162,IF(A163&lt;'Données projet'!$A$36,$K$205^A163,IF(A163='Données projet'!$A$36,'Données projet'!$B$36,N162+M163-V162)))</f>
        <v>485.99800000000039</v>
      </c>
      <c r="O163" s="13">
        <f>N163*VLOOKUP('Données projet'!$B$9,Paramètres!$A$1:$I$89,3,0)*VLOOKUP('Données projet'!$B$9,Paramètres!$A$1:$I$89,5,0)</f>
        <v>439.73099040000034</v>
      </c>
      <c r="P163" s="13">
        <f t="shared" si="141"/>
        <v>99.786585784186272</v>
      </c>
      <c r="Q163" s="20">
        <f t="shared" si="162"/>
        <v>939.65977852079175</v>
      </c>
      <c r="R163" s="59">
        <f t="shared" si="109"/>
        <v>1232.9931118541251</v>
      </c>
      <c r="S163" s="59">
        <f ca="1">AVERAGE(OFFSET($R$3,0,0,'Données projet'!$E$9+1,1))-AVERAGE(OFFSET($H$3,0,0,'Données projet'!$E$9+1,1))</f>
        <v>581.88778927327667</v>
      </c>
      <c r="T163" s="59">
        <f t="shared" si="142"/>
        <v>269.67340993773422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63.119861196986655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63.119861196986655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1.7053025658242404E-13</v>
      </c>
      <c r="AJ163" s="13">
        <f>AI163*VLOOKUP('Données projet'!$B$10,Paramètres!$A$1:$I$89,3,0)*VLOOKUP('Données projet'!$B$10,Paramètres!$A$1:$I$89,5,0)</f>
        <v>1.1173142411280423E-13</v>
      </c>
      <c r="AK163" s="13">
        <f t="shared" si="164"/>
        <v>1.6569896290553793E-12</v>
      </c>
      <c r="AL163" s="20">
        <f t="shared" si="165"/>
        <v>3.0805225009345862E-12</v>
      </c>
      <c r="AM163" s="59">
        <f t="shared" si="113"/>
        <v>293.33333333333638</v>
      </c>
      <c r="AN163" s="59">
        <f ca="1">AVERAGE(OFFSET($AM$3,0,0,'Données projet'!$E$10+1,1))-AVERAGE(OFFSET($H$3,0,0,'Données projet'!$E$10+1,1))</f>
        <v>230.58262378842818</v>
      </c>
      <c r="AO163" s="59">
        <f t="shared" si="144"/>
        <v>235.68746142880792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13.81887167404247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13.81887167404247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439.73099040000034</v>
      </c>
      <c r="BF163" s="13">
        <f t="shared" si="167"/>
        <v>99.786585784186272</v>
      </c>
      <c r="BG163" s="20">
        <f t="shared" si="168"/>
        <v>939.65977852079175</v>
      </c>
      <c r="BH163" s="59">
        <f t="shared" si="116"/>
        <v>1232.9931118541251</v>
      </c>
      <c r="BI163" s="59">
        <f ca="1">AVERAGE(OFFSET($BH$3,0,0,'Données projet'!$E$11+1,1))-AVERAGE(OFFSET($H$3,0,0,'Données projet'!$E$11+1,1))</f>
        <v>581.88778927327667</v>
      </c>
      <c r="BJ163" s="59">
        <f t="shared" si="146"/>
        <v>269.67340993773422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63.119861196986655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63.119861196986655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462.47569680000038</v>
      </c>
      <c r="CA163" s="13">
        <f t="shared" si="170"/>
        <v>104.33370514628203</v>
      </c>
      <c r="CB163" s="20">
        <f t="shared" si="171"/>
        <v>987.19304172310842</v>
      </c>
      <c r="CC163" s="59">
        <f t="shared" si="119"/>
        <v>1280.5263750564418</v>
      </c>
      <c r="CD163" s="59">
        <f ca="1">AVERAGE(OFFSET($CC$3,0,0,'Données projet'!$E$12+1,1))-AVERAGE(OFFSET($H$3,0,0,'Données projet'!$E$12+1,1))</f>
        <v>609.60019207204277</v>
      </c>
      <c r="CE163" s="59">
        <f t="shared" si="148"/>
        <v>281.42238288764503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66.384681603727358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66.384681603727358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1.5999999999905867E-2</v>
      </c>
      <c r="CU163" s="17">
        <f>CT163*VLOOKUP('Données projet'!$B$13,Paramètres!$A$1:$I$89,3,0)*VLOOKUP('Données projet'!$B$13,Paramètres!$A$1:$I$89,5,0)</f>
        <v>1.2729599999925107E-2</v>
      </c>
      <c r="CV163" s="13">
        <f t="shared" si="173"/>
        <v>9.7491417338934176E-3</v>
      </c>
      <c r="CW163" s="20">
        <f t="shared" si="174"/>
        <v>3.9150475186400593E-2</v>
      </c>
      <c r="CX163" s="59">
        <f t="shared" si="122"/>
        <v>293.37248380851969</v>
      </c>
      <c r="CY163" s="59">
        <f ca="1">AVERAGE(OFFSET($CX$3,0,0,'Données projet'!$E$13+1,1))-AVERAGE(OFFSET($H$3,0,0,'Données projet'!$E$13+1,1))</f>
        <v>172.13940525084604</v>
      </c>
      <c r="CZ163" s="59">
        <f t="shared" si="150"/>
        <v>172.82328007157236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9.3755845498951622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9.3755845498951622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1.7053025658242404E-13</v>
      </c>
      <c r="DP163" s="17">
        <f>DO163*VLOOKUP('Données projet'!$B$14,Paramètres!$A$1:$I$89,3,0)*VLOOKUP('Données projet'!$B$14,Paramètres!$A$1:$I$89,5,0)</f>
        <v>1.250327841262333E-13</v>
      </c>
      <c r="DQ163" s="13">
        <f t="shared" si="176"/>
        <v>1.8301318724634299E-12</v>
      </c>
      <c r="DR163" s="20">
        <f t="shared" si="177"/>
        <v>3.405245110226996E-12</v>
      </c>
      <c r="DS163" s="59">
        <f t="shared" si="125"/>
        <v>293.33333333333672</v>
      </c>
      <c r="DT163" s="59">
        <f ca="1">AVERAGE(OFFSET($DS$3,0,0,'Données projet'!$E$14+1,1))-AVERAGE(OFFSET($H$3,0,0,'Données projet'!$E$14+1,1))</f>
        <v>197.34725966440715</v>
      </c>
      <c r="DU163" s="59">
        <f t="shared" si="152"/>
        <v>240.16326570529532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4.9533919652097405</v>
      </c>
      <c r="EB163" s="21">
        <f>EXP(-LN(2)/25)*EB162+(1-EXP(-LN(2)/25))/(LN(2)/25)*Calculateur!DW163*Calculateur!DY163*VLOOKUP('Données projet'!$B$14,Paramètres!$A$1:$I$89,3,0)*0.475*44/12</f>
        <v>1.458827393128985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6.4122193583387253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5.6843418860808015E-14</v>
      </c>
      <c r="EK163" s="17">
        <f>EJ163*VLOOKUP('Données projet'!$B$15,Paramètres!$A$1:$I$89,3,0)*VLOOKUP('Données projet'!$B$15,Paramètres!$A$1:$I$89,5,0)</f>
        <v>4.4337866711430253E-14</v>
      </c>
      <c r="EL163" s="13">
        <f t="shared" si="179"/>
        <v>7.3222115536967035E-13</v>
      </c>
      <c r="EM163" s="20">
        <f t="shared" si="180"/>
        <v>1.3525069634579169E-12</v>
      </c>
      <c r="EN163" s="59">
        <f t="shared" si="128"/>
        <v>293.33333333333468</v>
      </c>
      <c r="EO163" s="59">
        <f ca="1">AVERAGE(OFFSET($EN$3,0,0,'Données projet'!$E$15+1,1))-AVERAGE(OFFSET($H$3,0,0,'Données projet'!$E$15+1,1))</f>
        <v>288.82868507674738</v>
      </c>
      <c r="EP163" s="59">
        <f t="shared" si="154"/>
        <v>283.48738729114024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17.021089981842984</v>
      </c>
      <c r="EW163" s="21">
        <f>EXP(-LN(2)/25)*EW162+(1-EXP(-LN(2)/25))/(LN(2)/25)*Calculateur!ER163*Calculateur!ET163*VLOOKUP('Données projet'!$B$15,Paramètres!$A$1:$I$89,3,0)*0.475*44/12</f>
        <v>4.0832315510580459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21.104321532901029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8.4429999999999943</v>
      </c>
      <c r="N164" s="13">
        <f>IF('Données projet'!$A$36&gt;35,N163+M164-V163,IF(A164&lt;'Données projet'!$A$36,$K$205^A164,IF(A164='Données projet'!$A$36,'Données projet'!$B$36,N163+M164-V163)))</f>
        <v>494.44100000000037</v>
      </c>
      <c r="O164" s="13">
        <f>N164*VLOOKUP('Données projet'!$B$9,Paramètres!$A$1:$I$89,3,0)*VLOOKUP('Données projet'!$B$9,Paramètres!$A$1:$I$89,5,0)</f>
        <v>447.37021680000026</v>
      </c>
      <c r="P164" s="13">
        <f t="shared" si="141"/>
        <v>101.3168050491076</v>
      </c>
      <c r="Q164" s="20">
        <f t="shared" si="162"/>
        <v>955.62989638719603</v>
      </c>
      <c r="R164" s="59">
        <f t="shared" si="109"/>
        <v>1248.9632297205294</v>
      </c>
      <c r="S164" s="59">
        <f ca="1">AVERAGE(OFFSET($R$3,0,0,'Données projet'!$E$9+1,1))-AVERAGE(OFFSET($H$3,0,0,'Données projet'!$E$9+1,1))</f>
        <v>581.88778927327667</v>
      </c>
      <c r="T164" s="59">
        <f t="shared" si="142"/>
        <v>269.67340993773422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61.882119218227587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61.882119218227587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1.7053025658242404E-13</v>
      </c>
      <c r="AJ164" s="13">
        <f>AI164*VLOOKUP('Données projet'!$B$10,Paramètres!$A$1:$I$89,3,0)*VLOOKUP('Données projet'!$B$10,Paramètres!$A$1:$I$89,5,0)</f>
        <v>1.1173142411280423E-13</v>
      </c>
      <c r="AK164" s="13">
        <f t="shared" si="164"/>
        <v>1.6569896290553793E-12</v>
      </c>
      <c r="AL164" s="20">
        <f t="shared" si="165"/>
        <v>3.0805225009345862E-12</v>
      </c>
      <c r="AM164" s="59">
        <f t="shared" si="113"/>
        <v>293.33333333333638</v>
      </c>
      <c r="AN164" s="59">
        <f ca="1">AVERAGE(OFFSET($AM$3,0,0,'Données projet'!$E$10+1,1))-AVERAGE(OFFSET($H$3,0,0,'Données projet'!$E$10+1,1))</f>
        <v>230.58262378842818</v>
      </c>
      <c r="AO164" s="59">
        <f t="shared" si="144"/>
        <v>235.68746142880792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13.547892029193955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13.547892029193955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447.37021680000026</v>
      </c>
      <c r="BF164" s="13">
        <f t="shared" si="167"/>
        <v>101.3168050491076</v>
      </c>
      <c r="BG164" s="20">
        <f t="shared" si="168"/>
        <v>955.62989638719603</v>
      </c>
      <c r="BH164" s="59">
        <f t="shared" si="116"/>
        <v>1248.9632297205294</v>
      </c>
      <c r="BI164" s="59">
        <f ca="1">AVERAGE(OFFSET($BH$3,0,0,'Données projet'!$E$11+1,1))-AVERAGE(OFFSET($H$3,0,0,'Données projet'!$E$11+1,1))</f>
        <v>581.88778927327667</v>
      </c>
      <c r="BJ164" s="59">
        <f t="shared" si="146"/>
        <v>269.67340993773422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61.882119218227587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61.882119218227587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470.51005560000038</v>
      </c>
      <c r="CA164" s="13">
        <f t="shared" si="170"/>
        <v>105.93365412079402</v>
      </c>
      <c r="CB164" s="20">
        <f t="shared" si="171"/>
        <v>1003.9727944303836</v>
      </c>
      <c r="CC164" s="59">
        <f t="shared" si="119"/>
        <v>1297.3061277637169</v>
      </c>
      <c r="CD164" s="59">
        <f ca="1">AVERAGE(OFFSET($CC$3,0,0,'Données projet'!$E$12+1,1))-AVERAGE(OFFSET($H$3,0,0,'Données projet'!$E$12+1,1))</f>
        <v>609.60019207204277</v>
      </c>
      <c r="CE164" s="59">
        <f t="shared" si="148"/>
        <v>281.42238288764503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65.082918488135917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65.082918488135917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1.5999999999905867E-2</v>
      </c>
      <c r="CU164" s="17">
        <f>CT164*VLOOKUP('Données projet'!$B$13,Paramètres!$A$1:$I$89,3,0)*VLOOKUP('Données projet'!$B$13,Paramètres!$A$1:$I$89,5,0)</f>
        <v>1.2729599999925107E-2</v>
      </c>
      <c r="CV164" s="13">
        <f t="shared" si="173"/>
        <v>9.7491417338934176E-3</v>
      </c>
      <c r="CW164" s="20">
        <f t="shared" si="174"/>
        <v>3.9150475186400593E-2</v>
      </c>
      <c r="CX164" s="59">
        <f t="shared" si="122"/>
        <v>293.37248380851969</v>
      </c>
      <c r="CY164" s="59">
        <f ca="1">AVERAGE(OFFSET($CX$3,0,0,'Données projet'!$E$13+1,1))-AVERAGE(OFFSET($H$3,0,0,'Données projet'!$E$13+1,1))</f>
        <v>172.13940525084604</v>
      </c>
      <c r="CZ164" s="59">
        <f t="shared" si="150"/>
        <v>172.82328007157236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9.1917350554136341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9.1917350554136341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1.7053025658242404E-13</v>
      </c>
      <c r="DP164" s="17">
        <f>DO164*VLOOKUP('Données projet'!$B$14,Paramètres!$A$1:$I$89,3,0)*VLOOKUP('Données projet'!$B$14,Paramètres!$A$1:$I$89,5,0)</f>
        <v>1.250327841262333E-13</v>
      </c>
      <c r="DQ164" s="13">
        <f t="shared" si="176"/>
        <v>1.8301318724634299E-12</v>
      </c>
      <c r="DR164" s="20">
        <f t="shared" si="177"/>
        <v>3.405245110226996E-12</v>
      </c>
      <c r="DS164" s="59">
        <f t="shared" si="125"/>
        <v>293.33333333333672</v>
      </c>
      <c r="DT164" s="59">
        <f ca="1">AVERAGE(OFFSET($DS$3,0,0,'Données projet'!$E$14+1,1))-AVERAGE(OFFSET($H$3,0,0,'Données projet'!$E$14+1,1))</f>
        <v>197.34725966440715</v>
      </c>
      <c r="DU164" s="59">
        <f t="shared" si="152"/>
        <v>240.16326570529532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4.8562589700427505</v>
      </c>
      <c r="EB164" s="21">
        <f>EXP(-LN(2)/25)*EB163+(1-EXP(-LN(2)/25))/(LN(2)/25)*Calculateur!DW164*Calculateur!DY164*VLOOKUP('Données projet'!$B$14,Paramètres!$A$1:$I$89,3,0)*0.475*44/12</f>
        <v>1.4189356813474745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6.2751946513902253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5.6843418860808015E-14</v>
      </c>
      <c r="EK164" s="17">
        <f>EJ164*VLOOKUP('Données projet'!$B$15,Paramètres!$A$1:$I$89,3,0)*VLOOKUP('Données projet'!$B$15,Paramètres!$A$1:$I$89,5,0)</f>
        <v>4.4337866711430253E-14</v>
      </c>
      <c r="EL164" s="13">
        <f t="shared" si="179"/>
        <v>7.3222115536967035E-13</v>
      </c>
      <c r="EM164" s="20">
        <f t="shared" si="180"/>
        <v>1.3525069634579169E-12</v>
      </c>
      <c r="EN164" s="59">
        <f t="shared" si="128"/>
        <v>293.33333333333468</v>
      </c>
      <c r="EO164" s="59">
        <f ca="1">AVERAGE(OFFSET($EN$3,0,0,'Données projet'!$E$15+1,1))-AVERAGE(OFFSET($H$3,0,0,'Données projet'!$E$15+1,1))</f>
        <v>288.82868507674738</v>
      </c>
      <c r="EP164" s="59">
        <f t="shared" si="154"/>
        <v>283.48738729114024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16.687316789138809</v>
      </c>
      <c r="EW164" s="21">
        <f>EXP(-LN(2)/25)*EW163+(1-EXP(-LN(2)/25))/(LN(2)/25)*Calculateur!ER164*Calculateur!ET164*VLOOKUP('Données projet'!$B$15,Paramètres!$A$1:$I$89,3,0)*0.475*44/12</f>
        <v>3.9715753695665486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20.658892158705356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8.4429999999999943</v>
      </c>
      <c r="N165" s="13">
        <f>IF('Données projet'!$A$36&gt;35,N164+M165-V164,IF(A165&lt;'Données projet'!$A$36,$K$205^A165,IF(A165='Données projet'!$A$36,'Données projet'!$B$36,N164+M165-V164)))</f>
        <v>502.88400000000036</v>
      </c>
      <c r="O165" s="13">
        <f>N165*VLOOKUP('Données projet'!$B$9,Paramètres!$A$1:$I$89,3,0)*VLOOKUP('Données projet'!$B$9,Paramètres!$A$1:$I$89,5,0)</f>
        <v>455.00944320000031</v>
      </c>
      <c r="P165" s="13">
        <f t="shared" si="141"/>
        <v>102.84398567063174</v>
      </c>
      <c r="Q165" s="20">
        <f t="shared" si="162"/>
        <v>971.59472194968396</v>
      </c>
      <c r="R165" s="59">
        <f t="shared" si="109"/>
        <v>1264.9280552830173</v>
      </c>
      <c r="S165" s="59">
        <f ca="1">AVERAGE(OFFSET($R$3,0,0,'Données projet'!$E$9+1,1))-AVERAGE(OFFSET($H$3,0,0,'Données projet'!$E$9+1,1))</f>
        <v>581.88778927327667</v>
      </c>
      <c r="T165" s="59">
        <f t="shared" si="142"/>
        <v>269.67340993773422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60.66864860472392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60.66864860472392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1.7053025658242404E-13</v>
      </c>
      <c r="AJ165" s="13">
        <f>AI165*VLOOKUP('Données projet'!$B$10,Paramètres!$A$1:$I$89,3,0)*VLOOKUP('Données projet'!$B$10,Paramètres!$A$1:$I$89,5,0)</f>
        <v>1.1173142411280423E-13</v>
      </c>
      <c r="AK165" s="13">
        <f t="shared" si="164"/>
        <v>1.6569896290553793E-12</v>
      </c>
      <c r="AL165" s="20">
        <f t="shared" si="165"/>
        <v>3.0805225009345862E-12</v>
      </c>
      <c r="AM165" s="59">
        <f t="shared" si="113"/>
        <v>293.33333333333638</v>
      </c>
      <c r="AN165" s="59">
        <f ca="1">AVERAGE(OFFSET($AM$3,0,0,'Données projet'!$E$10+1,1))-AVERAGE(OFFSET($H$3,0,0,'Données projet'!$E$10+1,1))</f>
        <v>230.58262378842818</v>
      </c>
      <c r="AO165" s="59">
        <f t="shared" si="144"/>
        <v>235.68746142880792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13.282226129899657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13.282226129899657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455.00944320000031</v>
      </c>
      <c r="BF165" s="13">
        <f t="shared" si="167"/>
        <v>102.84398567063174</v>
      </c>
      <c r="BG165" s="20">
        <f t="shared" si="168"/>
        <v>971.59472194968396</v>
      </c>
      <c r="BH165" s="59">
        <f t="shared" si="116"/>
        <v>1264.9280552830173</v>
      </c>
      <c r="BI165" s="59">
        <f ca="1">AVERAGE(OFFSET($BH$3,0,0,'Données projet'!$E$11+1,1))-AVERAGE(OFFSET($H$3,0,0,'Données projet'!$E$11+1,1))</f>
        <v>581.88778927327667</v>
      </c>
      <c r="BJ165" s="59">
        <f t="shared" si="146"/>
        <v>269.67340993773422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60.66864860472392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60.66864860472392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478.54441440000033</v>
      </c>
      <c r="CA165" s="13">
        <f t="shared" si="170"/>
        <v>107.53042598566002</v>
      </c>
      <c r="CB165" s="20">
        <f t="shared" si="171"/>
        <v>1020.7470136716917</v>
      </c>
      <c r="CC165" s="59">
        <f t="shared" si="119"/>
        <v>1314.080347005025</v>
      </c>
      <c r="CD165" s="59">
        <f ca="1">AVERAGE(OFFSET($CC$3,0,0,'Données projet'!$E$12+1,1))-AVERAGE(OFFSET($H$3,0,0,'Données projet'!$E$12+1,1))</f>
        <v>609.60019207204277</v>
      </c>
      <c r="CE165" s="59">
        <f t="shared" si="148"/>
        <v>281.42238288764503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63.806682153244132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63.806682153244132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1.5999999999905867E-2</v>
      </c>
      <c r="CU165" s="17">
        <f>CT165*VLOOKUP('Données projet'!$B$13,Paramètres!$A$1:$I$89,3,0)*VLOOKUP('Données projet'!$B$13,Paramètres!$A$1:$I$89,5,0)</f>
        <v>1.2729599999925107E-2</v>
      </c>
      <c r="CV165" s="13">
        <f t="shared" si="173"/>
        <v>9.7491417338934176E-3</v>
      </c>
      <c r="CW165" s="20">
        <f t="shared" si="174"/>
        <v>3.9150475186400593E-2</v>
      </c>
      <c r="CX165" s="59">
        <f t="shared" si="122"/>
        <v>293.37248380851969</v>
      </c>
      <c r="CY165" s="59">
        <f ca="1">AVERAGE(OFFSET($CX$3,0,0,'Données projet'!$E$13+1,1))-AVERAGE(OFFSET($H$3,0,0,'Données projet'!$E$13+1,1))</f>
        <v>172.13940525084604</v>
      </c>
      <c r="CZ165" s="59">
        <f t="shared" si="150"/>
        <v>172.82328007157236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9.0114907373817701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9.0114907373817701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1.7053025658242404E-13</v>
      </c>
      <c r="DP165" s="17">
        <f>DO165*VLOOKUP('Données projet'!$B$14,Paramètres!$A$1:$I$89,3,0)*VLOOKUP('Données projet'!$B$14,Paramètres!$A$1:$I$89,5,0)</f>
        <v>1.250327841262333E-13</v>
      </c>
      <c r="DQ165" s="13">
        <f t="shared" si="176"/>
        <v>1.8301318724634299E-12</v>
      </c>
      <c r="DR165" s="20">
        <f t="shared" si="177"/>
        <v>3.405245110226996E-12</v>
      </c>
      <c r="DS165" s="59">
        <f t="shared" si="125"/>
        <v>293.33333333333672</v>
      </c>
      <c r="DT165" s="59">
        <f ca="1">AVERAGE(OFFSET($DS$3,0,0,'Données projet'!$E$14+1,1))-AVERAGE(OFFSET($H$3,0,0,'Données projet'!$E$14+1,1))</f>
        <v>197.34725966440715</v>
      </c>
      <c r="DU165" s="59">
        <f t="shared" si="152"/>
        <v>240.16326570529532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4.7610306936657079</v>
      </c>
      <c r="EB165" s="21">
        <f>EXP(-LN(2)/25)*EB164+(1-EXP(-LN(2)/25))/(LN(2)/25)*Calculateur!DW165*Calculateur!DY165*VLOOKUP('Données projet'!$B$14,Paramètres!$A$1:$I$89,3,0)*0.475*44/12</f>
        <v>1.3801348105224434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6.1411655041881517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5.6843418860808015E-14</v>
      </c>
      <c r="EK165" s="17">
        <f>EJ165*VLOOKUP('Données projet'!$B$15,Paramètres!$A$1:$I$89,3,0)*VLOOKUP('Données projet'!$B$15,Paramètres!$A$1:$I$89,5,0)</f>
        <v>4.4337866711430253E-14</v>
      </c>
      <c r="EL165" s="13">
        <f t="shared" si="179"/>
        <v>7.3222115536967035E-13</v>
      </c>
      <c r="EM165" s="20">
        <f t="shared" si="180"/>
        <v>1.3525069634579169E-12</v>
      </c>
      <c r="EN165" s="59">
        <f t="shared" si="128"/>
        <v>293.33333333333468</v>
      </c>
      <c r="EO165" s="59">
        <f ca="1">AVERAGE(OFFSET($EN$3,0,0,'Données projet'!$E$15+1,1))-AVERAGE(OFFSET($H$3,0,0,'Données projet'!$E$15+1,1))</f>
        <v>288.82868507674738</v>
      </c>
      <c r="EP165" s="59">
        <f t="shared" si="154"/>
        <v>283.48738729114024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16.360088685162019</v>
      </c>
      <c r="EW165" s="21">
        <f>EXP(-LN(2)/25)*EW164+(1-EXP(-LN(2)/25))/(LN(2)/25)*Calculateur!ER165*Calculateur!ET165*VLOOKUP('Données projet'!$B$15,Paramètres!$A$1:$I$89,3,0)*0.475*44/12</f>
        <v>3.8629724322296797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20.223061117391698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8.4429999999999943</v>
      </c>
      <c r="N166" s="13">
        <f>IF('Données projet'!$A$36&gt;35,N165+M166-V165,IF(A166&lt;'Données projet'!$A$36,$K$205^A166,IF(A166='Données projet'!$A$36,'Données projet'!$B$36,N165+M166-V165)))</f>
        <v>511.32700000000034</v>
      </c>
      <c r="O166" s="13">
        <f>N166*VLOOKUP('Données projet'!$B$9,Paramètres!$A$1:$I$89,3,0)*VLOOKUP('Données projet'!$B$9,Paramètres!$A$1:$I$89,5,0)</f>
        <v>462.64866960000029</v>
      </c>
      <c r="P166" s="13">
        <f t="shared" si="141"/>
        <v>104.36818455309495</v>
      </c>
      <c r="Q166" s="20">
        <f t="shared" si="162"/>
        <v>987.5543543166408</v>
      </c>
      <c r="R166" s="59">
        <f t="shared" si="109"/>
        <v>1280.8876876499742</v>
      </c>
      <c r="S166" s="59">
        <f ca="1">AVERAGE(OFFSET($R$3,0,0,'Données projet'!$E$9+1,1))-AVERAGE(OFFSET($H$3,0,0,'Données projet'!$E$9+1,1))</f>
        <v>581.88778927327667</v>
      </c>
      <c r="T166" s="59">
        <f t="shared" si="142"/>
        <v>269.67340993773422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59.478973409807068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59.478973409807068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1.7053025658242404E-13</v>
      </c>
      <c r="AJ166" s="13">
        <f>AI166*VLOOKUP('Données projet'!$B$10,Paramètres!$A$1:$I$89,3,0)*VLOOKUP('Données projet'!$B$10,Paramètres!$A$1:$I$89,5,0)</f>
        <v>1.1173142411280423E-13</v>
      </c>
      <c r="AK166" s="13">
        <f t="shared" si="164"/>
        <v>1.6569896290553793E-12</v>
      </c>
      <c r="AL166" s="20">
        <f t="shared" si="165"/>
        <v>3.0805225009345862E-12</v>
      </c>
      <c r="AM166" s="59">
        <f t="shared" si="113"/>
        <v>293.33333333333638</v>
      </c>
      <c r="AN166" s="59">
        <f ca="1">AVERAGE(OFFSET($AM$3,0,0,'Données projet'!$E$10+1,1))-AVERAGE(OFFSET($H$3,0,0,'Données projet'!$E$10+1,1))</f>
        <v>230.58262378842818</v>
      </c>
      <c r="AO166" s="59">
        <f t="shared" si="144"/>
        <v>235.68746142880792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13.021769776850322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13.021769776850322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462.64866960000029</v>
      </c>
      <c r="BF166" s="13">
        <f t="shared" si="167"/>
        <v>104.36818455309495</v>
      </c>
      <c r="BG166" s="20">
        <f t="shared" si="168"/>
        <v>987.5543543166408</v>
      </c>
      <c r="BH166" s="59">
        <f t="shared" si="116"/>
        <v>1280.8876876499742</v>
      </c>
      <c r="BI166" s="59">
        <f ca="1">AVERAGE(OFFSET($BH$3,0,0,'Données projet'!$E$11+1,1))-AVERAGE(OFFSET($H$3,0,0,'Données projet'!$E$11+1,1))</f>
        <v>581.88778927327667</v>
      </c>
      <c r="BJ166" s="59">
        <f t="shared" si="146"/>
        <v>269.67340993773422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59.478973409807068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59.478973409807068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486.57877320000034</v>
      </c>
      <c r="CA166" s="13">
        <f t="shared" si="170"/>
        <v>109.12408023825806</v>
      </c>
      <c r="CB166" s="20">
        <f t="shared" si="171"/>
        <v>1037.5158030716334</v>
      </c>
      <c r="CC166" s="59">
        <f t="shared" si="119"/>
        <v>1330.8491364049667</v>
      </c>
      <c r="CD166" s="59">
        <f ca="1">AVERAGE(OFFSET($CC$3,0,0,'Données projet'!$E$12+1,1))-AVERAGE(OFFSET($H$3,0,0,'Données projet'!$E$12+1,1))</f>
        <v>609.60019207204277</v>
      </c>
      <c r="CE166" s="59">
        <f t="shared" si="148"/>
        <v>281.42238288764503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62.555472034452272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62.555472034452272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1.5999999999905867E-2</v>
      </c>
      <c r="CU166" s="17">
        <f>CT166*VLOOKUP('Données projet'!$B$13,Paramètres!$A$1:$I$89,3,0)*VLOOKUP('Données projet'!$B$13,Paramètres!$A$1:$I$89,5,0)</f>
        <v>1.2729599999925107E-2</v>
      </c>
      <c r="CV166" s="13">
        <f t="shared" si="173"/>
        <v>9.7491417338934176E-3</v>
      </c>
      <c r="CW166" s="20">
        <f t="shared" si="174"/>
        <v>3.9150475186400593E-2</v>
      </c>
      <c r="CX166" s="59">
        <f t="shared" si="122"/>
        <v>293.37248380851969</v>
      </c>
      <c r="CY166" s="59">
        <f ca="1">AVERAGE(OFFSET($CX$3,0,0,'Données projet'!$E$13+1,1))-AVERAGE(OFFSET($H$3,0,0,'Données projet'!$E$13+1,1))</f>
        <v>172.13940525084604</v>
      </c>
      <c r="CZ166" s="59">
        <f t="shared" si="150"/>
        <v>172.82328007157236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8.8347809004883331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8.8347809004883331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1.7053025658242404E-13</v>
      </c>
      <c r="DP166" s="17">
        <f>DO166*VLOOKUP('Données projet'!$B$14,Paramètres!$A$1:$I$89,3,0)*VLOOKUP('Données projet'!$B$14,Paramètres!$A$1:$I$89,5,0)</f>
        <v>1.250327841262333E-13</v>
      </c>
      <c r="DQ166" s="13">
        <f t="shared" si="176"/>
        <v>1.8301318724634299E-12</v>
      </c>
      <c r="DR166" s="20">
        <f t="shared" si="177"/>
        <v>3.405245110226996E-12</v>
      </c>
      <c r="DS166" s="59">
        <f t="shared" si="125"/>
        <v>293.33333333333672</v>
      </c>
      <c r="DT166" s="59">
        <f ca="1">AVERAGE(OFFSET($DS$3,0,0,'Données projet'!$E$14+1,1))-AVERAGE(OFFSET($H$3,0,0,'Données projet'!$E$14+1,1))</f>
        <v>197.34725966440715</v>
      </c>
      <c r="DU166" s="59">
        <f t="shared" si="152"/>
        <v>240.16326570529532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4.6676697857049056</v>
      </c>
      <c r="EB166" s="21">
        <f>EXP(-LN(2)/25)*EB165+(1-EXP(-LN(2)/25))/(LN(2)/25)*Calculateur!DW166*Calculateur!DY166*VLOOKUP('Données projet'!$B$14,Paramètres!$A$1:$I$89,3,0)*0.475*44/12</f>
        <v>1.3423949515505718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6.0100647372554779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5.6843418860808015E-14</v>
      </c>
      <c r="EK166" s="17">
        <f>EJ166*VLOOKUP('Données projet'!$B$15,Paramètres!$A$1:$I$89,3,0)*VLOOKUP('Données projet'!$B$15,Paramètres!$A$1:$I$89,5,0)</f>
        <v>4.4337866711430253E-14</v>
      </c>
      <c r="EL166" s="13">
        <f t="shared" si="179"/>
        <v>7.3222115536967035E-13</v>
      </c>
      <c r="EM166" s="20">
        <f t="shared" si="180"/>
        <v>1.3525069634579169E-12</v>
      </c>
      <c r="EN166" s="59">
        <f t="shared" si="128"/>
        <v>293.33333333333468</v>
      </c>
      <c r="EO166" s="59">
        <f ca="1">AVERAGE(OFFSET($EN$3,0,0,'Données projet'!$E$15+1,1))-AVERAGE(OFFSET($H$3,0,0,'Données projet'!$E$15+1,1))</f>
        <v>288.82868507674738</v>
      </c>
      <c r="EP166" s="59">
        <f t="shared" si="154"/>
        <v>283.48738729114024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16.039277324714778</v>
      </c>
      <c r="EW166" s="21">
        <f>EXP(-LN(2)/25)*EW165+(1-EXP(-LN(2)/25))/(LN(2)/25)*Calculateur!ER166*Calculateur!ET166*VLOOKUP('Données projet'!$B$15,Paramètres!$A$1:$I$89,3,0)*0.475*44/12</f>
        <v>3.7573392479254677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19.796616572640247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>
        <f>VLOOKUP(A167,'Données projet'!$A$35:$I$55,2,0)</f>
        <v>519.77</v>
      </c>
      <c r="L167" s="12">
        <f>VLOOKUP(A167,'Données projet'!$A$35:$I$55,9,0)</f>
        <v>8.4429999999999943</v>
      </c>
      <c r="M167" s="12">
        <f t="array" ref="M167">INDEX(L:L,MIN(IF(ISNUMBER(L167:L363),ROW(L167:L363),"")))</f>
        <v>8.4429999999999943</v>
      </c>
      <c r="N167" s="13">
        <f>IF('Données projet'!$A$36&gt;35,N166+M167-V166,IF(A167&lt;'Données projet'!$A$36,$K$205^A167,IF(A167='Données projet'!$A$36,'Données projet'!$B$36,N166+M167-V166)))</f>
        <v>519.77000000000032</v>
      </c>
      <c r="O167" s="13">
        <f>N167*VLOOKUP('Données projet'!$B$9,Paramètres!$A$1:$I$89,3,0)*VLOOKUP('Données projet'!$B$9,Paramètres!$A$1:$I$89,5,0)</f>
        <v>470.28789600000022</v>
      </c>
      <c r="P167" s="13">
        <f t="shared" si="141"/>
        <v>105.88945661390174</v>
      </c>
      <c r="Q167" s="20">
        <f t="shared" si="162"/>
        <v>1003.5088891358791</v>
      </c>
      <c r="R167" s="59">
        <f t="shared" si="109"/>
        <v>1296.8422224692124</v>
      </c>
      <c r="S167" s="59">
        <f ca="1">AVERAGE(OFFSET($R$3,0,0,'Données projet'!$E$9+1,1))-AVERAGE(OFFSET($H$3,0,0,'Données projet'!$E$9+1,1))</f>
        <v>581.88778927327667</v>
      </c>
      <c r="T167" s="59">
        <f t="shared" si="142"/>
        <v>269.67340993773422</v>
      </c>
      <c r="U167" s="15">
        <f>IF(ISNA(VLOOKUP(A167,'Données projet'!$A$35:$I$55,3,0)),0,VLOOKUP(A167,'Données projet'!$A$35:$I$55,3,0))</f>
        <v>14</v>
      </c>
      <c r="V167" s="15">
        <f>IF(ISNA(VLOOKUP(A167,'Données projet'!$A$35:$I$55,4,0)),0,VLOOKUP(A167,'Données projet'!$A$35:$I$55,4,0))</f>
        <v>59.58</v>
      </c>
      <c r="W167" s="16">
        <f>IF(ISNA(VLOOKUP(A167,'Données projet'!$A$35:$I$55,5,0)),0%,VLOOKUP(A167,'Données projet'!$A$35:$I$55,5,0)*VLOOKUP('Données projet'!$B$9,Paramètres!$A$1:$I$89,7,0))</f>
        <v>0.25800000000000001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73.687796339175065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73.687796339175065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1.7053025658242404E-13</v>
      </c>
      <c r="AJ167" s="13">
        <f>AI167*VLOOKUP('Données projet'!$B$10,Paramètres!$A$1:$I$89,3,0)*VLOOKUP('Données projet'!$B$10,Paramètres!$A$1:$I$89,5,0)</f>
        <v>1.1173142411280423E-13</v>
      </c>
      <c r="AK167" s="13">
        <f t="shared" si="164"/>
        <v>1.6569896290553793E-12</v>
      </c>
      <c r="AL167" s="20">
        <f t="shared" si="165"/>
        <v>3.0805225009345862E-12</v>
      </c>
      <c r="AM167" s="59">
        <f t="shared" si="113"/>
        <v>293.33333333333638</v>
      </c>
      <c r="AN167" s="59">
        <f ca="1">AVERAGE(OFFSET($AM$3,0,0,'Données projet'!$E$10+1,1))-AVERAGE(OFFSET($H$3,0,0,'Données projet'!$E$10+1,1))</f>
        <v>230.58262378842818</v>
      </c>
      <c r="AO167" s="59">
        <f t="shared" si="144"/>
        <v>235.68746142880792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12.766420814021595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12.766420814021595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470.28789600000022</v>
      </c>
      <c r="BF167" s="13">
        <f t="shared" si="167"/>
        <v>105.88945661390174</v>
      </c>
      <c r="BG167" s="20">
        <f t="shared" si="168"/>
        <v>1003.5088891358791</v>
      </c>
      <c r="BH167" s="59">
        <f t="shared" si="116"/>
        <v>1296.8422224692124</v>
      </c>
      <c r="BI167" s="59">
        <f ca="1">AVERAGE(OFFSET($BH$3,0,0,'Données projet'!$E$11+1,1))-AVERAGE(OFFSET($H$3,0,0,'Données projet'!$E$11+1,1))</f>
        <v>581.88778927327667</v>
      </c>
      <c r="BJ167" s="59">
        <f t="shared" si="146"/>
        <v>269.67340993773422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73.687796339175065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73.687796339175065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494.61313200000029</v>
      </c>
      <c r="CA167" s="13">
        <f t="shared" si="170"/>
        <v>110.71467429849332</v>
      </c>
      <c r="CB167" s="20">
        <f t="shared" si="171"/>
        <v>1054.2792626365431</v>
      </c>
      <c r="CC167" s="59">
        <f t="shared" si="119"/>
        <v>1347.6125959698763</v>
      </c>
      <c r="CD167" s="59">
        <f ca="1">AVERAGE(OFFSET($CC$3,0,0,'Données projet'!$E$12+1,1))-AVERAGE(OFFSET($H$3,0,0,'Données projet'!$E$12+1,1))</f>
        <v>609.60019207204277</v>
      </c>
      <c r="CE167" s="59">
        <f t="shared" si="148"/>
        <v>281.42238288764503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77.499234080856539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77.499234080856539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1.5999999999905867E-2</v>
      </c>
      <c r="CU167" s="17">
        <f>CT167*VLOOKUP('Données projet'!$B$13,Paramètres!$A$1:$I$89,3,0)*VLOOKUP('Données projet'!$B$13,Paramètres!$A$1:$I$89,5,0)</f>
        <v>1.2729599999925107E-2</v>
      </c>
      <c r="CV167" s="13">
        <f t="shared" si="173"/>
        <v>9.7491417338934176E-3</v>
      </c>
      <c r="CW167" s="20">
        <f t="shared" si="174"/>
        <v>3.9150475186400593E-2</v>
      </c>
      <c r="CX167" s="59">
        <f t="shared" si="122"/>
        <v>293.37248380851969</v>
      </c>
      <c r="CY167" s="59">
        <f ca="1">AVERAGE(OFFSET($CX$3,0,0,'Données projet'!$E$13+1,1))-AVERAGE(OFFSET($H$3,0,0,'Données projet'!$E$13+1,1))</f>
        <v>172.13940525084604</v>
      </c>
      <c r="CZ167" s="59">
        <f t="shared" si="150"/>
        <v>172.82328007157236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8.6615362357140171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8.6615362357140171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1.7053025658242404E-13</v>
      </c>
      <c r="DP167" s="17">
        <f>DO167*VLOOKUP('Données projet'!$B$14,Paramètres!$A$1:$I$89,3,0)*VLOOKUP('Données projet'!$B$14,Paramètres!$A$1:$I$89,5,0)</f>
        <v>1.250327841262333E-13</v>
      </c>
      <c r="DQ167" s="13">
        <f t="shared" si="176"/>
        <v>1.8301318724634299E-12</v>
      </c>
      <c r="DR167" s="20">
        <f t="shared" si="177"/>
        <v>3.405245110226996E-12</v>
      </c>
      <c r="DS167" s="59">
        <f t="shared" si="125"/>
        <v>293.33333333333672</v>
      </c>
      <c r="DT167" s="59">
        <f ca="1">AVERAGE(OFFSET($DS$3,0,0,'Données projet'!$E$14+1,1))-AVERAGE(OFFSET($H$3,0,0,'Données projet'!$E$14+1,1))</f>
        <v>197.34725966440715</v>
      </c>
      <c r="DU167" s="59">
        <f t="shared" si="152"/>
        <v>240.16326570529532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4.5761396282046842</v>
      </c>
      <c r="EB167" s="21">
        <f>EXP(-LN(2)/25)*EB166+(1-EXP(-LN(2)/25))/(LN(2)/25)*Calculateur!DW167*Calculateur!DY167*VLOOKUP('Données projet'!$B$14,Paramètres!$A$1:$I$89,3,0)*0.475*44/12</f>
        <v>1.3056870910069389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5.8818267192116229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5.6843418860808015E-14</v>
      </c>
      <c r="EK167" s="17">
        <f>EJ167*VLOOKUP('Données projet'!$B$15,Paramètres!$A$1:$I$89,3,0)*VLOOKUP('Données projet'!$B$15,Paramètres!$A$1:$I$89,5,0)</f>
        <v>4.4337866711430253E-14</v>
      </c>
      <c r="EL167" s="13">
        <f t="shared" si="179"/>
        <v>7.3222115536967035E-13</v>
      </c>
      <c r="EM167" s="20">
        <f t="shared" si="180"/>
        <v>1.3525069634579169E-12</v>
      </c>
      <c r="EN167" s="59">
        <f t="shared" si="128"/>
        <v>293.33333333333468</v>
      </c>
      <c r="EO167" s="59">
        <f ca="1">AVERAGE(OFFSET($EN$3,0,0,'Données projet'!$E$15+1,1))-AVERAGE(OFFSET($H$3,0,0,'Données projet'!$E$15+1,1))</f>
        <v>288.82868507674738</v>
      </c>
      <c r="EP167" s="59">
        <f t="shared" si="154"/>
        <v>283.48738729114024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15.724756879370299</v>
      </c>
      <c r="EW167" s="21">
        <f>EXP(-LN(2)/25)*EW166+(1-EXP(-LN(2)/25))/(LN(2)/25)*Calculateur!ER167*Calculateur!ET167*VLOOKUP('Données projet'!$B$15,Paramètres!$A$1:$I$89,3,0)*0.475*44/12</f>
        <v>3.6545946086010623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19.379351487971363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8.5459999999999976</v>
      </c>
      <c r="N168" s="13">
        <f>IF('Données projet'!$A$36&gt;35,N167+M168-V167,IF(A168&lt;'Données projet'!$A$36,$K$205^A168,IF(A168='Données projet'!$A$36,'Données projet'!$B$36,N167+M168-V167)))</f>
        <v>468.73600000000039</v>
      </c>
      <c r="O168" s="13">
        <f>N168*VLOOKUP('Données projet'!$B$9,Paramètres!$A$1:$I$89,3,0)*VLOOKUP('Données projet'!$B$9,Paramètres!$A$1:$I$89,5,0)</f>
        <v>424.11233280000033</v>
      </c>
      <c r="P168" s="13">
        <f t="shared" si="141"/>
        <v>96.648293340367189</v>
      </c>
      <c r="Q168" s="20">
        <f t="shared" si="162"/>
        <v>906.99142386114011</v>
      </c>
      <c r="R168" s="59">
        <f t="shared" si="109"/>
        <v>1200.3247571944735</v>
      </c>
      <c r="S168" s="59">
        <f ca="1">AVERAGE(OFFSET($R$3,0,0,'Données projet'!$E$9+1,1))-AVERAGE(OFFSET($H$3,0,0,'Données projet'!$E$9+1,1))</f>
        <v>581.88778927327667</v>
      </c>
      <c r="T168" s="59">
        <f t="shared" si="142"/>
        <v>269.67340993773422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72.242823598081642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72.242823598081642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1.7053025658242404E-13</v>
      </c>
      <c r="AJ168" s="13">
        <f>AI168*VLOOKUP('Données projet'!$B$10,Paramètres!$A$1:$I$89,3,0)*VLOOKUP('Données projet'!$B$10,Paramètres!$A$1:$I$89,5,0)</f>
        <v>1.1173142411280423E-13</v>
      </c>
      <c r="AK168" s="13">
        <f t="shared" si="164"/>
        <v>1.6569896290553793E-12</v>
      </c>
      <c r="AL168" s="20">
        <f t="shared" si="165"/>
        <v>3.0805225009345862E-12</v>
      </c>
      <c r="AM168" s="59">
        <f t="shared" si="113"/>
        <v>293.33333333333638</v>
      </c>
      <c r="AN168" s="59">
        <f ca="1">AVERAGE(OFFSET($AM$3,0,0,'Données projet'!$E$10+1,1))-AVERAGE(OFFSET($H$3,0,0,'Données projet'!$E$10+1,1))</f>
        <v>230.58262378842818</v>
      </c>
      <c r="AO168" s="59">
        <f t="shared" si="144"/>
        <v>235.68746142880792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12.516079088606451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12.516079088606451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424.11233280000033</v>
      </c>
      <c r="BF168" s="13">
        <f t="shared" si="167"/>
        <v>96.648293340367189</v>
      </c>
      <c r="BG168" s="20">
        <f t="shared" si="168"/>
        <v>906.99142386114011</v>
      </c>
      <c r="BH168" s="59">
        <f t="shared" si="116"/>
        <v>1200.3247571944735</v>
      </c>
      <c r="BI168" s="59">
        <f ca="1">AVERAGE(OFFSET($BH$3,0,0,'Données projet'!$E$11+1,1))-AVERAGE(OFFSET($H$3,0,0,'Données projet'!$E$11+1,1))</f>
        <v>581.88778927327667</v>
      </c>
      <c r="BJ168" s="59">
        <f t="shared" si="146"/>
        <v>269.67340993773422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72.242823598081642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72.242823598081642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446.04917760000041</v>
      </c>
      <c r="CA168" s="13">
        <f t="shared" si="170"/>
        <v>101.05240560162805</v>
      </c>
      <c r="CB168" s="20">
        <f t="shared" si="171"/>
        <v>952.8685907428362</v>
      </c>
      <c r="CC168" s="59">
        <f t="shared" si="119"/>
        <v>1246.2019240761695</v>
      </c>
      <c r="CD168" s="59">
        <f ca="1">AVERAGE(OFFSET($CC$3,0,0,'Données projet'!$E$12+1,1))-AVERAGE(OFFSET($H$3,0,0,'Données projet'!$E$12+1,1))</f>
        <v>609.60019207204277</v>
      </c>
      <c r="CE168" s="59">
        <f t="shared" si="148"/>
        <v>281.42238288764503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75.979521370396213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75.979521370396213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1.5999999999905867E-2</v>
      </c>
      <c r="CU168" s="17">
        <f>CT168*VLOOKUP('Données projet'!$B$13,Paramètres!$A$1:$I$89,3,0)*VLOOKUP('Données projet'!$B$13,Paramètres!$A$1:$I$89,5,0)</f>
        <v>1.2729599999925107E-2</v>
      </c>
      <c r="CV168" s="13">
        <f t="shared" si="173"/>
        <v>9.7491417338934176E-3</v>
      </c>
      <c r="CW168" s="20">
        <f t="shared" si="174"/>
        <v>3.9150475186400593E-2</v>
      </c>
      <c r="CX168" s="59">
        <f t="shared" si="122"/>
        <v>293.37248380851969</v>
      </c>
      <c r="CY168" s="59">
        <f ca="1">AVERAGE(OFFSET($CX$3,0,0,'Données projet'!$E$13+1,1))-AVERAGE(OFFSET($H$3,0,0,'Données projet'!$E$13+1,1))</f>
        <v>172.13940525084604</v>
      </c>
      <c r="CZ168" s="59">
        <f t="shared" si="150"/>
        <v>172.82328007157236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8.4916887931471141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8.4916887931471141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1.7053025658242404E-13</v>
      </c>
      <c r="DP168" s="17">
        <f>DO168*VLOOKUP('Données projet'!$B$14,Paramètres!$A$1:$I$89,3,0)*VLOOKUP('Données projet'!$B$14,Paramètres!$A$1:$I$89,5,0)</f>
        <v>1.250327841262333E-13</v>
      </c>
      <c r="DQ168" s="13">
        <f t="shared" si="176"/>
        <v>1.8301318724634299E-12</v>
      </c>
      <c r="DR168" s="20">
        <f t="shared" si="177"/>
        <v>3.405245110226996E-12</v>
      </c>
      <c r="DS168" s="59">
        <f t="shared" si="125"/>
        <v>293.33333333333672</v>
      </c>
      <c r="DT168" s="59">
        <f ca="1">AVERAGE(OFFSET($DS$3,0,0,'Données projet'!$E$14+1,1))-AVERAGE(OFFSET($H$3,0,0,'Données projet'!$E$14+1,1))</f>
        <v>197.34725966440715</v>
      </c>
      <c r="DU168" s="59">
        <f t="shared" si="152"/>
        <v>240.16326570529532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4.4864043212651588</v>
      </c>
      <c r="EB168" s="21">
        <f>EXP(-LN(2)/25)*EB167+(1-EXP(-LN(2)/25))/(LN(2)/25)*Calculateur!DW168*Calculateur!DY168*VLOOKUP('Données projet'!$B$14,Paramètres!$A$1:$I$89,3,0)*0.475*44/12</f>
        <v>1.2699830088402542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5.7563873301054134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5.6843418860808015E-14</v>
      </c>
      <c r="EK168" s="17">
        <f>EJ168*VLOOKUP('Données projet'!$B$15,Paramètres!$A$1:$I$89,3,0)*VLOOKUP('Données projet'!$B$15,Paramètres!$A$1:$I$89,5,0)</f>
        <v>4.4337866711430253E-14</v>
      </c>
      <c r="EL168" s="13">
        <f t="shared" si="179"/>
        <v>7.3222115536967035E-13</v>
      </c>
      <c r="EM168" s="20">
        <f t="shared" si="180"/>
        <v>1.3525069634579169E-12</v>
      </c>
      <c r="EN168" s="59">
        <f t="shared" si="128"/>
        <v>293.33333333333468</v>
      </c>
      <c r="EO168" s="59">
        <f ca="1">AVERAGE(OFFSET($EN$3,0,0,'Données projet'!$E$15+1,1))-AVERAGE(OFFSET($H$3,0,0,'Données projet'!$E$15+1,1))</f>
        <v>288.82868507674738</v>
      </c>
      <c r="EP168" s="59">
        <f t="shared" si="154"/>
        <v>283.48738729114024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15.416403988120496</v>
      </c>
      <c r="EW168" s="21">
        <f>EXP(-LN(2)/25)*EW167+(1-EXP(-LN(2)/25))/(LN(2)/25)*Calculateur!ER168*Calculateur!ET168*VLOOKUP('Données projet'!$B$15,Paramètres!$A$1:$I$89,3,0)*0.475*44/12</f>
        <v>3.5546595268420886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18.971063514962584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8.5459999999999976</v>
      </c>
      <c r="N169" s="13">
        <f>IF('Données projet'!$A$36&gt;35,N168+M169-V168,IF(A169&lt;'Données projet'!$A$36,$K$205^A169,IF(A169='Données projet'!$A$36,'Données projet'!$B$36,N168+M169-V168)))</f>
        <v>477.28200000000038</v>
      </c>
      <c r="O169" s="13">
        <f>N169*VLOOKUP('Données projet'!$B$9,Paramètres!$A$1:$I$89,3,0)*VLOOKUP('Données projet'!$B$9,Paramètres!$A$1:$I$89,5,0)</f>
        <v>431.84475360000033</v>
      </c>
      <c r="P169" s="13">
        <f t="shared" si="141"/>
        <v>98.203637489221336</v>
      </c>
      <c r="Q169" s="20">
        <f t="shared" si="162"/>
        <v>923.16761448039449</v>
      </c>
      <c r="R169" s="59">
        <f t="shared" si="109"/>
        <v>1216.5009478137279</v>
      </c>
      <c r="S169" s="59">
        <f ca="1">AVERAGE(OFFSET($R$3,0,0,'Données projet'!$E$9+1,1))-AVERAGE(OFFSET($H$3,0,0,'Données projet'!$E$9+1,1))</f>
        <v>581.88778927327667</v>
      </c>
      <c r="T169" s="59">
        <f t="shared" si="142"/>
        <v>269.67340993773422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70.826185891094724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70.826185891094724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1.7053025658242404E-13</v>
      </c>
      <c r="AJ169" s="13">
        <f>AI169*VLOOKUP('Données projet'!$B$10,Paramètres!$A$1:$I$89,3,0)*VLOOKUP('Données projet'!$B$10,Paramètres!$A$1:$I$89,5,0)</f>
        <v>1.1173142411280423E-13</v>
      </c>
      <c r="AK169" s="13">
        <f t="shared" si="164"/>
        <v>1.6569896290553793E-12</v>
      </c>
      <c r="AL169" s="20">
        <f t="shared" si="165"/>
        <v>3.0805225009345862E-12</v>
      </c>
      <c r="AM169" s="59">
        <f t="shared" si="113"/>
        <v>293.33333333333638</v>
      </c>
      <c r="AN169" s="59">
        <f ca="1">AVERAGE(OFFSET($AM$3,0,0,'Données projet'!$E$10+1,1))-AVERAGE(OFFSET($H$3,0,0,'Données projet'!$E$10+1,1))</f>
        <v>230.58262378842818</v>
      </c>
      <c r="AO169" s="59">
        <f t="shared" si="144"/>
        <v>235.68746142880792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12.270646411733322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12.270646411733322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431.84475360000033</v>
      </c>
      <c r="BF169" s="13">
        <f t="shared" si="167"/>
        <v>98.203637489221336</v>
      </c>
      <c r="BG169" s="20">
        <f t="shared" si="168"/>
        <v>923.16761448039449</v>
      </c>
      <c r="BH169" s="59">
        <f t="shared" si="116"/>
        <v>1216.5009478137279</v>
      </c>
      <c r="BI169" s="59">
        <f ca="1">AVERAGE(OFFSET($BH$3,0,0,'Données projet'!$E$11+1,1))-AVERAGE(OFFSET($H$3,0,0,'Données projet'!$E$11+1,1))</f>
        <v>581.88778927327667</v>
      </c>
      <c r="BJ169" s="59">
        <f t="shared" si="146"/>
        <v>269.67340993773422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70.826185891094724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70.826185891094724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454.1815512000004</v>
      </c>
      <c r="CA169" s="13">
        <f t="shared" si="170"/>
        <v>102.67862436191818</v>
      </c>
      <c r="CB169" s="20">
        <f t="shared" si="171"/>
        <v>969.8648057703416</v>
      </c>
      <c r="CC169" s="59">
        <f t="shared" si="119"/>
        <v>1263.198139103675</v>
      </c>
      <c r="CD169" s="59">
        <f ca="1">AVERAGE(OFFSET($CC$3,0,0,'Données projet'!$E$12+1,1))-AVERAGE(OFFSET($H$3,0,0,'Données projet'!$E$12+1,1))</f>
        <v>609.60019207204277</v>
      </c>
      <c r="CE169" s="59">
        <f t="shared" si="148"/>
        <v>281.42238288764503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74.489609299254795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74.489609299254795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1.5999999999905867E-2</v>
      </c>
      <c r="CU169" s="17">
        <f>CT169*VLOOKUP('Données projet'!$B$13,Paramètres!$A$1:$I$89,3,0)*VLOOKUP('Données projet'!$B$13,Paramètres!$A$1:$I$89,5,0)</f>
        <v>1.2729599999925107E-2</v>
      </c>
      <c r="CV169" s="13">
        <f t="shared" si="173"/>
        <v>9.7491417338934176E-3</v>
      </c>
      <c r="CW169" s="20">
        <f t="shared" si="174"/>
        <v>3.9150475186400593E-2</v>
      </c>
      <c r="CX169" s="59">
        <f t="shared" si="122"/>
        <v>293.37248380851969</v>
      </c>
      <c r="CY169" s="59">
        <f ca="1">AVERAGE(OFFSET($CX$3,0,0,'Données projet'!$E$13+1,1))-AVERAGE(OFFSET($H$3,0,0,'Données projet'!$E$13+1,1))</f>
        <v>172.13940525084604</v>
      </c>
      <c r="CZ169" s="59">
        <f t="shared" si="150"/>
        <v>172.82328007157236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8.3251719553322374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8.3251719553322374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1.7053025658242404E-13</v>
      </c>
      <c r="DP169" s="17">
        <f>DO169*VLOOKUP('Données projet'!$B$14,Paramètres!$A$1:$I$89,3,0)*VLOOKUP('Données projet'!$B$14,Paramètres!$A$1:$I$89,5,0)</f>
        <v>1.250327841262333E-13</v>
      </c>
      <c r="DQ169" s="13">
        <f t="shared" si="176"/>
        <v>1.8301318724634299E-12</v>
      </c>
      <c r="DR169" s="20">
        <f t="shared" si="177"/>
        <v>3.405245110226996E-12</v>
      </c>
      <c r="DS169" s="59">
        <f t="shared" si="125"/>
        <v>293.33333333333672</v>
      </c>
      <c r="DT169" s="59">
        <f ca="1">AVERAGE(OFFSET($DS$3,0,0,'Données projet'!$E$14+1,1))-AVERAGE(OFFSET($H$3,0,0,'Données projet'!$E$14+1,1))</f>
        <v>197.34725966440715</v>
      </c>
      <c r="DU169" s="59">
        <f t="shared" si="152"/>
        <v>240.16326570529532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4.3984286689615839</v>
      </c>
      <c r="EB169" s="21">
        <f>EXP(-LN(2)/25)*EB168+(1-EXP(-LN(2)/25))/(LN(2)/25)*Calculateur!DW169*Calculateur!DY169*VLOOKUP('Données projet'!$B$14,Paramètres!$A$1:$I$89,3,0)*0.475*44/12</f>
        <v>1.2352552566780135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5.6336839256395974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5.6843418860808015E-14</v>
      </c>
      <c r="EK169" s="17">
        <f>EJ169*VLOOKUP('Données projet'!$B$15,Paramètres!$A$1:$I$89,3,0)*VLOOKUP('Données projet'!$B$15,Paramètres!$A$1:$I$89,5,0)</f>
        <v>4.4337866711430253E-14</v>
      </c>
      <c r="EL169" s="13">
        <f t="shared" si="179"/>
        <v>7.3222115536967035E-13</v>
      </c>
      <c r="EM169" s="20">
        <f t="shared" si="180"/>
        <v>1.3525069634579169E-12</v>
      </c>
      <c r="EN169" s="59">
        <f t="shared" si="128"/>
        <v>293.33333333333468</v>
      </c>
      <c r="EO169" s="59">
        <f ca="1">AVERAGE(OFFSET($EN$3,0,0,'Données projet'!$E$15+1,1))-AVERAGE(OFFSET($H$3,0,0,'Données projet'!$E$15+1,1))</f>
        <v>288.82868507674738</v>
      </c>
      <c r="EP169" s="59">
        <f t="shared" si="154"/>
        <v>283.48738729114024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15.114097708991409</v>
      </c>
      <c r="EW169" s="21">
        <f>EXP(-LN(2)/25)*EW168+(1-EXP(-LN(2)/25))/(LN(2)/25)*Calculateur!ER169*Calculateur!ET169*VLOOKUP('Données projet'!$B$15,Paramètres!$A$1:$I$89,3,0)*0.475*44/12</f>
        <v>3.4574571751491714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18.571554884140582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8.5459999999999976</v>
      </c>
      <c r="N170" s="13">
        <f>IF('Données projet'!$A$36&gt;35,N169+M170-V169,IF(A170&lt;'Données projet'!$A$36,$K$205^A170,IF(A170='Données projet'!$A$36,'Données projet'!$B$36,N169+M170-V169)))</f>
        <v>485.82800000000037</v>
      </c>
      <c r="O170" s="13">
        <f>N170*VLOOKUP('Données projet'!$B$9,Paramètres!$A$1:$I$89,3,0)*VLOOKUP('Données projet'!$B$9,Paramètres!$A$1:$I$89,5,0)</f>
        <v>439.57717440000033</v>
      </c>
      <c r="P170" s="13">
        <f t="shared" si="141"/>
        <v>99.755743172047673</v>
      </c>
      <c r="Q170" s="20">
        <f t="shared" si="162"/>
        <v>939.33816477131688</v>
      </c>
      <c r="R170" s="59">
        <f t="shared" si="109"/>
        <v>1232.6714981046503</v>
      </c>
      <c r="S170" s="59">
        <f ca="1">AVERAGE(OFFSET($R$3,0,0,'Données projet'!$E$9+1,1))-AVERAGE(OFFSET($H$3,0,0,'Données projet'!$E$9+1,1))</f>
        <v>581.88778927327667</v>
      </c>
      <c r="T170" s="59">
        <f t="shared" si="142"/>
        <v>269.67340993773422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69.43732758547813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69.43732758547813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1.7053025658242404E-13</v>
      </c>
      <c r="AJ170" s="13">
        <f>AI170*VLOOKUP('Données projet'!$B$10,Paramètres!$A$1:$I$89,3,0)*VLOOKUP('Données projet'!$B$10,Paramètres!$A$1:$I$89,5,0)</f>
        <v>1.1173142411280423E-13</v>
      </c>
      <c r="AK170" s="13">
        <f t="shared" si="164"/>
        <v>1.6569896290553793E-12</v>
      </c>
      <c r="AL170" s="20">
        <f t="shared" si="165"/>
        <v>3.0805225009345862E-12</v>
      </c>
      <c r="AM170" s="59">
        <f t="shared" si="113"/>
        <v>293.33333333333638</v>
      </c>
      <c r="AN170" s="59">
        <f ca="1">AVERAGE(OFFSET($AM$3,0,0,'Données projet'!$E$10+1,1))-AVERAGE(OFFSET($H$3,0,0,'Données projet'!$E$10+1,1))</f>
        <v>230.58262378842818</v>
      </c>
      <c r="AO170" s="59">
        <f t="shared" si="144"/>
        <v>235.68746142880792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12.030026519954525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12.030026519954525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439.57717440000033</v>
      </c>
      <c r="BF170" s="13">
        <f t="shared" si="167"/>
        <v>99.755743172047673</v>
      </c>
      <c r="BG170" s="20">
        <f t="shared" si="168"/>
        <v>939.33816477131688</v>
      </c>
      <c r="BH170" s="59">
        <f t="shared" si="116"/>
        <v>1232.6714981046503</v>
      </c>
      <c r="BI170" s="59">
        <f ca="1">AVERAGE(OFFSET($BH$3,0,0,'Données projet'!$E$11+1,1))-AVERAGE(OFFSET($H$3,0,0,'Données projet'!$E$11+1,1))</f>
        <v>581.88778927327667</v>
      </c>
      <c r="BJ170" s="59">
        <f t="shared" si="146"/>
        <v>269.67340993773422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69.43732758547813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69.43732758547813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462.31392480000034</v>
      </c>
      <c r="CA170" s="13">
        <f t="shared" si="170"/>
        <v>104.30145708432539</v>
      </c>
      <c r="CB170" s="20">
        <f t="shared" si="171"/>
        <v>986.85512344853396</v>
      </c>
      <c r="CC170" s="59">
        <f t="shared" si="119"/>
        <v>1280.1884567818672</v>
      </c>
      <c r="CD170" s="59">
        <f ca="1">AVERAGE(OFFSET($CC$3,0,0,'Données projet'!$E$12+1,1))-AVERAGE(OFFSET($H$3,0,0,'Données projet'!$E$12+1,1))</f>
        <v>609.60019207204277</v>
      </c>
      <c r="CE170" s="59">
        <f t="shared" si="148"/>
        <v>281.42238288764503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73.028913495071833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73.028913495071833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1.5999999999905867E-2</v>
      </c>
      <c r="CU170" s="17">
        <f>CT170*VLOOKUP('Données projet'!$B$13,Paramètres!$A$1:$I$89,3,0)*VLOOKUP('Données projet'!$B$13,Paramètres!$A$1:$I$89,5,0)</f>
        <v>1.2729599999925107E-2</v>
      </c>
      <c r="CV170" s="13">
        <f t="shared" si="173"/>
        <v>9.7491417338934176E-3</v>
      </c>
      <c r="CW170" s="20">
        <f t="shared" si="174"/>
        <v>3.9150475186400593E-2</v>
      </c>
      <c r="CX170" s="59">
        <f t="shared" si="122"/>
        <v>293.37248380851969</v>
      </c>
      <c r="CY170" s="59">
        <f ca="1">AVERAGE(OFFSET($CX$3,0,0,'Données projet'!$E$13+1,1))-AVERAGE(OFFSET($H$3,0,0,'Données projet'!$E$13+1,1))</f>
        <v>172.13940525084604</v>
      </c>
      <c r="CZ170" s="59">
        <f t="shared" si="150"/>
        <v>172.82328007157236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8.1619204111416686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8.1619204111416686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1.7053025658242404E-13</v>
      </c>
      <c r="DP170" s="17">
        <f>DO170*VLOOKUP('Données projet'!$B$14,Paramètres!$A$1:$I$89,3,0)*VLOOKUP('Données projet'!$B$14,Paramètres!$A$1:$I$89,5,0)</f>
        <v>1.250327841262333E-13</v>
      </c>
      <c r="DQ170" s="13">
        <f t="shared" si="176"/>
        <v>1.8301318724634299E-12</v>
      </c>
      <c r="DR170" s="20">
        <f t="shared" si="177"/>
        <v>3.405245110226996E-12</v>
      </c>
      <c r="DS170" s="59">
        <f t="shared" si="125"/>
        <v>293.33333333333672</v>
      </c>
      <c r="DT170" s="59">
        <f ca="1">AVERAGE(OFFSET($DS$3,0,0,'Données projet'!$E$14+1,1))-AVERAGE(OFFSET($H$3,0,0,'Données projet'!$E$14+1,1))</f>
        <v>197.34725966440715</v>
      </c>
      <c r="DU170" s="59">
        <f t="shared" si="152"/>
        <v>240.16326570529532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4.3121781655398328</v>
      </c>
      <c r="EB170" s="21">
        <f>EXP(-LN(2)/25)*EB169+(1-EXP(-LN(2)/25))/(LN(2)/25)*Calculateur!DW170*Calculateur!DY170*VLOOKUP('Données projet'!$B$14,Paramètres!$A$1:$I$89,3,0)*0.475*44/12</f>
        <v>1.2014771367249024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5.513655302264735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5.6843418860808015E-14</v>
      </c>
      <c r="EK170" s="17">
        <f>EJ170*VLOOKUP('Données projet'!$B$15,Paramètres!$A$1:$I$89,3,0)*VLOOKUP('Données projet'!$B$15,Paramètres!$A$1:$I$89,5,0)</f>
        <v>4.4337866711430253E-14</v>
      </c>
      <c r="EL170" s="13">
        <f t="shared" si="179"/>
        <v>7.3222115536967035E-13</v>
      </c>
      <c r="EM170" s="20">
        <f t="shared" si="180"/>
        <v>1.3525069634579169E-12</v>
      </c>
      <c r="EN170" s="59">
        <f t="shared" si="128"/>
        <v>293.33333333333468</v>
      </c>
      <c r="EO170" s="59">
        <f ca="1">AVERAGE(OFFSET($EN$3,0,0,'Données projet'!$E$15+1,1))-AVERAGE(OFFSET($H$3,0,0,'Données projet'!$E$15+1,1))</f>
        <v>288.82868507674738</v>
      </c>
      <c r="EP170" s="59">
        <f t="shared" si="154"/>
        <v>283.48738729114024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14.81771947160742</v>
      </c>
      <c r="EW170" s="21">
        <f>EXP(-LN(2)/25)*EW169+(1-EXP(-LN(2)/25))/(LN(2)/25)*Calculateur!ER170*Calculateur!ET170*VLOOKUP('Données projet'!$B$15,Paramètres!$A$1:$I$89,3,0)*0.475*44/12</f>
        <v>3.3629128268749464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18.180632298482365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8.5459999999999976</v>
      </c>
      <c r="N171" s="13">
        <f>IF('Données projet'!$A$36&gt;35,N170+M171-V170,IF(A171&lt;'Données projet'!$A$36,$K$205^A171,IF(A171='Données projet'!$A$36,'Données projet'!$B$36,N170+M171-V170)))</f>
        <v>494.37400000000036</v>
      </c>
      <c r="O171" s="13">
        <f>N171*VLOOKUP('Données projet'!$B$9,Paramètres!$A$1:$I$89,3,0)*VLOOKUP('Données projet'!$B$9,Paramètres!$A$1:$I$89,5,0)</f>
        <v>447.30959520000027</v>
      </c>
      <c r="P171" s="13">
        <f t="shared" si="141"/>
        <v>101.30467392781068</v>
      </c>
      <c r="Q171" s="20">
        <f t="shared" si="162"/>
        <v>955.50318539760417</v>
      </c>
      <c r="R171" s="59">
        <f t="shared" si="109"/>
        <v>1248.8365187309375</v>
      </c>
      <c r="S171" s="59">
        <f ca="1">AVERAGE(OFFSET($R$3,0,0,'Données projet'!$E$9+1,1))-AVERAGE(OFFSET($H$3,0,0,'Données projet'!$E$9+1,1))</f>
        <v>581.88778927327667</v>
      </c>
      <c r="T171" s="59">
        <f t="shared" si="142"/>
        <v>269.67340993773422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68.075703944114764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68.075703944114764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1.7053025658242404E-13</v>
      </c>
      <c r="AJ171" s="13">
        <f>AI171*VLOOKUP('Données projet'!$B$10,Paramètres!$A$1:$I$89,3,0)*VLOOKUP('Données projet'!$B$10,Paramètres!$A$1:$I$89,5,0)</f>
        <v>1.1173142411280423E-13</v>
      </c>
      <c r="AK171" s="13">
        <f t="shared" si="164"/>
        <v>1.6569896290553793E-12</v>
      </c>
      <c r="AL171" s="20">
        <f t="shared" si="165"/>
        <v>3.0805225009345862E-12</v>
      </c>
      <c r="AM171" s="59">
        <f t="shared" si="113"/>
        <v>293.33333333333638</v>
      </c>
      <c r="AN171" s="59">
        <f ca="1">AVERAGE(OFFSET($AM$3,0,0,'Données projet'!$E$10+1,1))-AVERAGE(OFFSET($H$3,0,0,'Données projet'!$E$10+1,1))</f>
        <v>230.58262378842818</v>
      </c>
      <c r="AO171" s="59">
        <f t="shared" si="144"/>
        <v>235.68746142880792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11.794125037489867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11.794125037489867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447.30959520000027</v>
      </c>
      <c r="BF171" s="13">
        <f t="shared" si="167"/>
        <v>101.30467392781068</v>
      </c>
      <c r="BG171" s="20">
        <f t="shared" si="168"/>
        <v>955.50318539760417</v>
      </c>
      <c r="BH171" s="59">
        <f t="shared" si="116"/>
        <v>1248.8365187309375</v>
      </c>
      <c r="BI171" s="59">
        <f ca="1">AVERAGE(OFFSET($BH$3,0,0,'Données projet'!$E$11+1,1))-AVERAGE(OFFSET($H$3,0,0,'Données projet'!$E$11+1,1))</f>
        <v>581.88778927327667</v>
      </c>
      <c r="BJ171" s="59">
        <f t="shared" si="146"/>
        <v>269.67340993773422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68.075703944114764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68.075703944114764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470.44629840000033</v>
      </c>
      <c r="CA171" s="13">
        <f t="shared" si="170"/>
        <v>105.92097020318585</v>
      </c>
      <c r="CB171" s="20">
        <f t="shared" si="171"/>
        <v>1003.8396594838824</v>
      </c>
      <c r="CC171" s="59">
        <f t="shared" si="119"/>
        <v>1297.1729928172158</v>
      </c>
      <c r="CD171" s="59">
        <f ca="1">AVERAGE(OFFSET($CC$3,0,0,'Données projet'!$E$12+1,1))-AVERAGE(OFFSET($H$3,0,0,'Données projet'!$E$12+1,1))</f>
        <v>609.60019207204277</v>
      </c>
      <c r="CE171" s="59">
        <f t="shared" si="148"/>
        <v>281.42238288764503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71.596861044672423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71.596861044672423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1.5999999999905867E-2</v>
      </c>
      <c r="CU171" s="17">
        <f>CT171*VLOOKUP('Données projet'!$B$13,Paramètres!$A$1:$I$89,3,0)*VLOOKUP('Données projet'!$B$13,Paramètres!$A$1:$I$89,5,0)</f>
        <v>1.2729599999925107E-2</v>
      </c>
      <c r="CV171" s="13">
        <f t="shared" si="173"/>
        <v>9.7491417338934176E-3</v>
      </c>
      <c r="CW171" s="20">
        <f t="shared" si="174"/>
        <v>3.9150475186400593E-2</v>
      </c>
      <c r="CX171" s="59">
        <f t="shared" si="122"/>
        <v>293.37248380851969</v>
      </c>
      <c r="CY171" s="59">
        <f ca="1">AVERAGE(OFFSET($CX$3,0,0,'Données projet'!$E$13+1,1))-AVERAGE(OFFSET($H$3,0,0,'Données projet'!$E$13+1,1))</f>
        <v>172.13940525084604</v>
      </c>
      <c r="CZ171" s="59">
        <f t="shared" si="150"/>
        <v>172.82328007157236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8.0018701301590678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8.0018701301590678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1.7053025658242404E-13</v>
      </c>
      <c r="DP171" s="17">
        <f>DO171*VLOOKUP('Données projet'!$B$14,Paramètres!$A$1:$I$89,3,0)*VLOOKUP('Données projet'!$B$14,Paramètres!$A$1:$I$89,5,0)</f>
        <v>1.250327841262333E-13</v>
      </c>
      <c r="DQ171" s="13">
        <f t="shared" si="176"/>
        <v>1.8301318724634299E-12</v>
      </c>
      <c r="DR171" s="20">
        <f t="shared" si="177"/>
        <v>3.405245110226996E-12</v>
      </c>
      <c r="DS171" s="59">
        <f t="shared" si="125"/>
        <v>293.33333333333672</v>
      </c>
      <c r="DT171" s="59">
        <f ca="1">AVERAGE(OFFSET($DS$3,0,0,'Données projet'!$E$14+1,1))-AVERAGE(OFFSET($H$3,0,0,'Données projet'!$E$14+1,1))</f>
        <v>197.34725966440715</v>
      </c>
      <c r="DU171" s="59">
        <f t="shared" si="152"/>
        <v>240.16326570529532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4.2276189818825705</v>
      </c>
      <c r="EB171" s="21">
        <f>EXP(-LN(2)/25)*EB170+(1-EXP(-LN(2)/25))/(LN(2)/25)*Calculateur!DW171*Calculateur!DY171*VLOOKUP('Données projet'!$B$14,Paramètres!$A$1:$I$89,3,0)*0.475*44/12</f>
        <v>1.1686226812382234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5.3962416631207937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5.6843418860808015E-14</v>
      </c>
      <c r="EK171" s="17">
        <f>EJ171*VLOOKUP('Données projet'!$B$15,Paramètres!$A$1:$I$89,3,0)*VLOOKUP('Données projet'!$B$15,Paramètres!$A$1:$I$89,5,0)</f>
        <v>4.4337866711430253E-14</v>
      </c>
      <c r="EL171" s="13">
        <f t="shared" si="179"/>
        <v>7.3222115536967035E-13</v>
      </c>
      <c r="EM171" s="20">
        <f t="shared" si="180"/>
        <v>1.3525069634579169E-12</v>
      </c>
      <c r="EN171" s="59">
        <f t="shared" si="128"/>
        <v>293.33333333333468</v>
      </c>
      <c r="EO171" s="59">
        <f ca="1">AVERAGE(OFFSET($EN$3,0,0,'Données projet'!$E$15+1,1))-AVERAGE(OFFSET($H$3,0,0,'Données projet'!$E$15+1,1))</f>
        <v>288.82868507674738</v>
      </c>
      <c r="EP171" s="59">
        <f t="shared" si="154"/>
        <v>283.48738729114024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14.527153030685657</v>
      </c>
      <c r="EW171" s="21">
        <f>EXP(-LN(2)/25)*EW170+(1-EXP(-LN(2)/25))/(LN(2)/25)*Calculateur!ER171*Calculateur!ET171*VLOOKUP('Données projet'!$B$15,Paramètres!$A$1:$I$89,3,0)*0.475*44/12</f>
        <v>3.2709537987761514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17.798106829461808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8.5459999999999976</v>
      </c>
      <c r="N172" s="13">
        <f>IF('Données projet'!$A$36&gt;35,N171+M172-V171,IF(A172&lt;'Données projet'!$A$36,$K$205^A172,IF(A172='Données projet'!$A$36,'Données projet'!$B$36,N171+M172-V171)))</f>
        <v>502.92000000000036</v>
      </c>
      <c r="O172" s="13">
        <f>N172*VLOOKUP('Données projet'!$B$9,Paramètres!$A$1:$I$89,3,0)*VLOOKUP('Données projet'!$B$9,Paramètres!$A$1:$I$89,5,0)</f>
        <v>455.04201600000027</v>
      </c>
      <c r="P172" s="13">
        <f t="shared" si="141"/>
        <v>102.85049097288233</v>
      </c>
      <c r="Q172" s="20">
        <f t="shared" si="162"/>
        <v>971.66278297777069</v>
      </c>
      <c r="R172" s="59">
        <f t="shared" si="109"/>
        <v>1264.9961163111041</v>
      </c>
      <c r="S172" s="59">
        <f ca="1">AVERAGE(OFFSET($R$3,0,0,'Données projet'!$E$9+1,1))-AVERAGE(OFFSET($H$3,0,0,'Données projet'!$E$9+1,1))</f>
        <v>581.88778927327667</v>
      </c>
      <c r="T172" s="59">
        <f t="shared" si="142"/>
        <v>269.67340993773422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66.740780911850109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66.740780911850109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1.7053025658242404E-13</v>
      </c>
      <c r="AJ172" s="13">
        <f>AI172*VLOOKUP('Données projet'!$B$10,Paramètres!$A$1:$I$89,3,0)*VLOOKUP('Données projet'!$B$10,Paramètres!$A$1:$I$89,5,0)</f>
        <v>1.1173142411280423E-13</v>
      </c>
      <c r="AK172" s="13">
        <f t="shared" si="164"/>
        <v>1.6569896290553793E-12</v>
      </c>
      <c r="AL172" s="20">
        <f t="shared" si="165"/>
        <v>3.0805225009345862E-12</v>
      </c>
      <c r="AM172" s="59">
        <f t="shared" si="113"/>
        <v>293.33333333333638</v>
      </c>
      <c r="AN172" s="59">
        <f ca="1">AVERAGE(OFFSET($AM$3,0,0,'Données projet'!$E$10+1,1))-AVERAGE(OFFSET($H$3,0,0,'Données projet'!$E$10+1,1))</f>
        <v>230.58262378842818</v>
      </c>
      <c r="AO172" s="59">
        <f t="shared" si="144"/>
        <v>235.68746142880792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11.562849439210643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11.562849439210643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455.04201600000027</v>
      </c>
      <c r="BF172" s="13">
        <f t="shared" si="167"/>
        <v>102.85049097288233</v>
      </c>
      <c r="BG172" s="20">
        <f t="shared" si="168"/>
        <v>971.66278297777069</v>
      </c>
      <c r="BH172" s="59">
        <f t="shared" si="116"/>
        <v>1264.9961163111041</v>
      </c>
      <c r="BI172" s="59">
        <f ca="1">AVERAGE(OFFSET($BH$3,0,0,'Données projet'!$E$11+1,1))-AVERAGE(OFFSET($H$3,0,0,'Données projet'!$E$11+1,1))</f>
        <v>581.88778927327667</v>
      </c>
      <c r="BJ172" s="59">
        <f t="shared" si="146"/>
        <v>269.67340993773422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66.740780911850109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66.740780911850109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478.57867200000032</v>
      </c>
      <c r="CA172" s="13">
        <f t="shared" si="170"/>
        <v>107.53722772440642</v>
      </c>
      <c r="CB172" s="20">
        <f t="shared" si="171"/>
        <v>1020.8185253533417</v>
      </c>
      <c r="CC172" s="59">
        <f t="shared" si="119"/>
        <v>1314.151858686675</v>
      </c>
      <c r="CD172" s="59">
        <f ca="1">AVERAGE(OFFSET($CC$3,0,0,'Données projet'!$E$12+1,1))-AVERAGE(OFFSET($H$3,0,0,'Données projet'!$E$12+1,1))</f>
        <v>609.60019207204277</v>
      </c>
      <c r="CE172" s="59">
        <f t="shared" si="148"/>
        <v>281.42238288764503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70.192890269359609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70.192890269359609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1.5999999999905867E-2</v>
      </c>
      <c r="CU172" s="17">
        <f>CT172*VLOOKUP('Données projet'!$B$13,Paramètres!$A$1:$I$89,3,0)*VLOOKUP('Données projet'!$B$13,Paramètres!$A$1:$I$89,5,0)</f>
        <v>1.2729599999925107E-2</v>
      </c>
      <c r="CV172" s="13">
        <f t="shared" si="173"/>
        <v>9.7491417338934176E-3</v>
      </c>
      <c r="CW172" s="20">
        <f t="shared" si="174"/>
        <v>3.9150475186400593E-2</v>
      </c>
      <c r="CX172" s="59">
        <f t="shared" si="122"/>
        <v>293.37248380851969</v>
      </c>
      <c r="CY172" s="59">
        <f ca="1">AVERAGE(OFFSET($CX$3,0,0,'Données projet'!$E$13+1,1))-AVERAGE(OFFSET($H$3,0,0,'Données projet'!$E$13+1,1))</f>
        <v>172.13940525084604</v>
      </c>
      <c r="CZ172" s="59">
        <f t="shared" si="150"/>
        <v>172.82328007157236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7.8449583375655028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7.8449583375655028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1.7053025658242404E-13</v>
      </c>
      <c r="DP172" s="17">
        <f>DO172*VLOOKUP('Données projet'!$B$14,Paramètres!$A$1:$I$89,3,0)*VLOOKUP('Données projet'!$B$14,Paramètres!$A$1:$I$89,5,0)</f>
        <v>1.250327841262333E-13</v>
      </c>
      <c r="DQ172" s="13">
        <f t="shared" si="176"/>
        <v>1.8301318724634299E-12</v>
      </c>
      <c r="DR172" s="20">
        <f t="shared" si="177"/>
        <v>3.405245110226996E-12</v>
      </c>
      <c r="DS172" s="59">
        <f t="shared" si="125"/>
        <v>293.33333333333672</v>
      </c>
      <c r="DT172" s="59">
        <f ca="1">AVERAGE(OFFSET($DS$3,0,0,'Données projet'!$E$14+1,1))-AVERAGE(OFFSET($H$3,0,0,'Données projet'!$E$14+1,1))</f>
        <v>197.34725966440715</v>
      </c>
      <c r="DU172" s="59">
        <f t="shared" si="152"/>
        <v>240.16326570529532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4.1447179522408177</v>
      </c>
      <c r="EB172" s="21">
        <f>EXP(-LN(2)/25)*EB171+(1-EXP(-LN(2)/25))/(LN(2)/25)*Calculateur!DW172*Calculateur!DY172*VLOOKUP('Données projet'!$B$14,Paramètres!$A$1:$I$89,3,0)*0.475*44/12</f>
        <v>1.1366666325645682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5.2813845848053855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5.6843418860808015E-14</v>
      </c>
      <c r="EK172" s="17">
        <f>EJ172*VLOOKUP('Données projet'!$B$15,Paramètres!$A$1:$I$89,3,0)*VLOOKUP('Données projet'!$B$15,Paramètres!$A$1:$I$89,5,0)</f>
        <v>4.4337866711430253E-14</v>
      </c>
      <c r="EL172" s="13">
        <f t="shared" si="179"/>
        <v>7.3222115536967035E-13</v>
      </c>
      <c r="EM172" s="20">
        <f t="shared" si="180"/>
        <v>1.3525069634579169E-12</v>
      </c>
      <c r="EN172" s="59">
        <f t="shared" si="128"/>
        <v>293.33333333333468</v>
      </c>
      <c r="EO172" s="59">
        <f ca="1">AVERAGE(OFFSET($EN$3,0,0,'Données projet'!$E$15+1,1))-AVERAGE(OFFSET($H$3,0,0,'Données projet'!$E$15+1,1))</f>
        <v>288.82868507674738</v>
      </c>
      <c r="EP172" s="59">
        <f t="shared" si="154"/>
        <v>283.48738729114024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14.24228442044234</v>
      </c>
      <c r="EW172" s="21">
        <f>EXP(-LN(2)/25)*EW171+(1-EXP(-LN(2)/25))/(LN(2)/25)*Calculateur!ER172*Calculateur!ET172*VLOOKUP('Données projet'!$B$15,Paramètres!$A$1:$I$89,3,0)*0.475*44/12</f>
        <v>3.1815093951366333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17.423793815578975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8.5459999999999976</v>
      </c>
      <c r="N173" s="13">
        <f>IF('Données projet'!$A$36&gt;35,N172+M173-V172,IF(A173&lt;'Données projet'!$A$36,$K$205^A173,IF(A173='Données projet'!$A$36,'Données projet'!$B$36,N172+M173-V172)))</f>
        <v>511.46600000000035</v>
      </c>
      <c r="O173" s="13">
        <f>N173*VLOOKUP('Données projet'!$B$9,Paramètres!$A$1:$I$89,3,0)*VLOOKUP('Données projet'!$B$9,Paramètres!$A$1:$I$89,5,0)</f>
        <v>462.77443680000027</v>
      </c>
      <c r="P173" s="13">
        <f t="shared" si="141"/>
        <v>104.39325332394039</v>
      </c>
      <c r="Q173" s="20">
        <f t="shared" si="162"/>
        <v>987.81706029919678</v>
      </c>
      <c r="R173" s="59">
        <f t="shared" si="109"/>
        <v>1281.15039363253</v>
      </c>
      <c r="S173" s="59">
        <f ca="1">AVERAGE(OFFSET($R$3,0,0,'Données projet'!$E$9+1,1))-AVERAGE(OFFSET($H$3,0,0,'Données projet'!$E$9+1,1))</f>
        <v>581.88778927327667</v>
      </c>
      <c r="T173" s="59">
        <f t="shared" si="142"/>
        <v>269.67340993773422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65.432034906025521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65.432034906025521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1.7053025658242404E-13</v>
      </c>
      <c r="AJ173" s="13">
        <f>AI173*VLOOKUP('Données projet'!$B$10,Paramètres!$A$1:$I$89,3,0)*VLOOKUP('Données projet'!$B$10,Paramètres!$A$1:$I$89,5,0)</f>
        <v>1.1173142411280423E-13</v>
      </c>
      <c r="AK173" s="13">
        <f t="shared" si="164"/>
        <v>1.6569896290553793E-12</v>
      </c>
      <c r="AL173" s="20">
        <f t="shared" si="165"/>
        <v>3.0805225009345862E-12</v>
      </c>
      <c r="AM173" s="59">
        <f t="shared" si="113"/>
        <v>293.33333333333638</v>
      </c>
      <c r="AN173" s="59">
        <f ca="1">AVERAGE(OFFSET($AM$3,0,0,'Données projet'!$E$10+1,1))-AVERAGE(OFFSET($H$3,0,0,'Données projet'!$E$10+1,1))</f>
        <v>230.58262378842818</v>
      </c>
      <c r="AO173" s="59">
        <f t="shared" si="144"/>
        <v>235.68746142880792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11.336109014349489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11.336109014349489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462.77443680000027</v>
      </c>
      <c r="BF173" s="13">
        <f t="shared" si="167"/>
        <v>104.39325332394039</v>
      </c>
      <c r="BG173" s="20">
        <f t="shared" si="168"/>
        <v>987.81706029919678</v>
      </c>
      <c r="BH173" s="59">
        <f t="shared" si="116"/>
        <v>1281.15039363253</v>
      </c>
      <c r="BI173" s="59">
        <f ca="1">AVERAGE(OFFSET($BH$3,0,0,'Données projet'!$E$11+1,1))-AVERAGE(OFFSET($H$3,0,0,'Données projet'!$E$11+1,1))</f>
        <v>581.88778927327667</v>
      </c>
      <c r="BJ173" s="59">
        <f t="shared" si="146"/>
        <v>269.67340993773422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65.432034906025521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65.432034906025521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486.71104560000038</v>
      </c>
      <c r="CA173" s="13">
        <f t="shared" si="170"/>
        <v>109.15029135396269</v>
      </c>
      <c r="CB173" s="20">
        <f t="shared" si="171"/>
        <v>1037.7918285281523</v>
      </c>
      <c r="CC173" s="59">
        <f t="shared" si="119"/>
        <v>1331.1251618614856</v>
      </c>
      <c r="CD173" s="59">
        <f ca="1">AVERAGE(OFFSET($CC$3,0,0,'Données projet'!$E$12+1,1))-AVERAGE(OFFSET($H$3,0,0,'Données projet'!$E$12+1,1))</f>
        <v>609.60019207204277</v>
      </c>
      <c r="CE173" s="59">
        <f t="shared" si="148"/>
        <v>281.42238288764503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68.816450504613059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68.816450504613059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1.5999999999905867E-2</v>
      </c>
      <c r="CU173" s="17">
        <f>CT173*VLOOKUP('Données projet'!$B$13,Paramètres!$A$1:$I$89,3,0)*VLOOKUP('Données projet'!$B$13,Paramètres!$A$1:$I$89,5,0)</f>
        <v>1.2729599999925107E-2</v>
      </c>
      <c r="CV173" s="13">
        <f t="shared" si="173"/>
        <v>9.7491417338934176E-3</v>
      </c>
      <c r="CW173" s="20">
        <f t="shared" si="174"/>
        <v>3.9150475186400593E-2</v>
      </c>
      <c r="CX173" s="59">
        <f t="shared" si="122"/>
        <v>293.37248380851969</v>
      </c>
      <c r="CY173" s="59">
        <f ca="1">AVERAGE(OFFSET($CX$3,0,0,'Données projet'!$E$13+1,1))-AVERAGE(OFFSET($H$3,0,0,'Données projet'!$E$13+1,1))</f>
        <v>172.13940525084604</v>
      </c>
      <c r="CZ173" s="59">
        <f t="shared" si="150"/>
        <v>172.82328007157236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7.6911234895179543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7.6911234895179543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1.7053025658242404E-13</v>
      </c>
      <c r="DP173" s="17">
        <f>DO173*VLOOKUP('Données projet'!$B$14,Paramètres!$A$1:$I$89,3,0)*VLOOKUP('Données projet'!$B$14,Paramètres!$A$1:$I$89,5,0)</f>
        <v>1.250327841262333E-13</v>
      </c>
      <c r="DQ173" s="13">
        <f t="shared" si="176"/>
        <v>1.8301318724634299E-12</v>
      </c>
      <c r="DR173" s="20">
        <f t="shared" si="177"/>
        <v>3.405245110226996E-12</v>
      </c>
      <c r="DS173" s="59">
        <f t="shared" si="125"/>
        <v>293.33333333333672</v>
      </c>
      <c r="DT173" s="59">
        <f ca="1">AVERAGE(OFFSET($DS$3,0,0,'Données projet'!$E$14+1,1))-AVERAGE(OFFSET($H$3,0,0,'Données projet'!$E$14+1,1))</f>
        <v>197.34725966440715</v>
      </c>
      <c r="DU173" s="59">
        <f t="shared" si="152"/>
        <v>240.16326570529532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4.0634425612257044</v>
      </c>
      <c r="EB173" s="21">
        <f>EXP(-LN(2)/25)*EB172+(1-EXP(-LN(2)/25))/(LN(2)/25)*Calculateur!DW173*Calculateur!DY173*VLOOKUP('Données projet'!$B$14,Paramètres!$A$1:$I$89,3,0)*0.475*44/12</f>
        <v>1.1055844237223897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5.1690269849480943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5.6843418860808015E-14</v>
      </c>
      <c r="EK173" s="17">
        <f>EJ173*VLOOKUP('Données projet'!$B$15,Paramètres!$A$1:$I$89,3,0)*VLOOKUP('Données projet'!$B$15,Paramètres!$A$1:$I$89,5,0)</f>
        <v>4.4337866711430253E-14</v>
      </c>
      <c r="EL173" s="13">
        <f t="shared" si="179"/>
        <v>7.3222115536967035E-13</v>
      </c>
      <c r="EM173" s="20">
        <f t="shared" si="180"/>
        <v>1.3525069634579169E-12</v>
      </c>
      <c r="EN173" s="59">
        <f t="shared" si="128"/>
        <v>293.33333333333468</v>
      </c>
      <c r="EO173" s="59">
        <f ca="1">AVERAGE(OFFSET($EN$3,0,0,'Données projet'!$E$15+1,1))-AVERAGE(OFFSET($H$3,0,0,'Données projet'!$E$15+1,1))</f>
        <v>288.82868507674738</v>
      </c>
      <c r="EP173" s="59">
        <f t="shared" si="154"/>
        <v>283.48738729114024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13.963001909893199</v>
      </c>
      <c r="EW173" s="21">
        <f>EXP(-LN(2)/25)*EW172+(1-EXP(-LN(2)/25))/(LN(2)/25)*Calculateur!ER173*Calculateur!ET173*VLOOKUP('Données projet'!$B$15,Paramètres!$A$1:$I$89,3,0)*0.475*44/12</f>
        <v>3.0945108534183143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17.057512763311514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8.5459999999999976</v>
      </c>
      <c r="N174" s="13">
        <f>IF('Données projet'!$A$36&gt;35,N173+M174-V173,IF(A174&lt;'Données projet'!$A$36,$K$205^A174,IF(A174='Données projet'!$A$36,'Données projet'!$B$36,N173+M174-V173)))</f>
        <v>520.0120000000004</v>
      </c>
      <c r="O174" s="13">
        <f>N174*VLOOKUP('Données projet'!$B$9,Paramètres!$A$1:$I$89,3,0)*VLOOKUP('Données projet'!$B$9,Paramètres!$A$1:$I$89,5,0)</f>
        <v>470.50685760000033</v>
      </c>
      <c r="P174" s="13">
        <f t="shared" si="141"/>
        <v>105.93301791241842</v>
      </c>
      <c r="Q174" s="20">
        <f t="shared" si="162"/>
        <v>1003.9661165174626</v>
      </c>
      <c r="R174" s="59">
        <f t="shared" si="109"/>
        <v>1297.299449850796</v>
      </c>
      <c r="S174" s="59">
        <f ca="1">AVERAGE(OFFSET($R$3,0,0,'Données projet'!$E$9+1,1))-AVERAGE(OFFSET($H$3,0,0,'Données projet'!$E$9+1,1))</f>
        <v>581.88778927327667</v>
      </c>
      <c r="T174" s="59">
        <f t="shared" si="142"/>
        <v>269.67340993773422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64.148952611118901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64.148952611118901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1.7053025658242404E-13</v>
      </c>
      <c r="AJ174" s="13">
        <f>AI174*VLOOKUP('Données projet'!$B$10,Paramètres!$A$1:$I$89,3,0)*VLOOKUP('Données projet'!$B$10,Paramètres!$A$1:$I$89,5,0)</f>
        <v>1.1173142411280423E-13</v>
      </c>
      <c r="AK174" s="13">
        <f t="shared" si="164"/>
        <v>1.6569896290553793E-12</v>
      </c>
      <c r="AL174" s="20">
        <f t="shared" si="165"/>
        <v>3.0805225009345862E-12</v>
      </c>
      <c r="AM174" s="59">
        <f t="shared" si="113"/>
        <v>293.33333333333638</v>
      </c>
      <c r="AN174" s="59">
        <f ca="1">AVERAGE(OFFSET($AM$3,0,0,'Données projet'!$E$10+1,1))-AVERAGE(OFFSET($H$3,0,0,'Données projet'!$E$10+1,1))</f>
        <v>230.58262378842818</v>
      </c>
      <c r="AO174" s="59">
        <f t="shared" si="144"/>
        <v>235.68746142880792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11.113814830921859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11.113814830921859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470.50685760000033</v>
      </c>
      <c r="BF174" s="13">
        <f t="shared" si="167"/>
        <v>105.93301791241842</v>
      </c>
      <c r="BG174" s="20">
        <f t="shared" si="168"/>
        <v>1003.9661165174626</v>
      </c>
      <c r="BH174" s="59">
        <f t="shared" si="116"/>
        <v>1297.299449850796</v>
      </c>
      <c r="BI174" s="59">
        <f ca="1">AVERAGE(OFFSET($BH$3,0,0,'Données projet'!$E$11+1,1))-AVERAGE(OFFSET($H$3,0,0,'Données projet'!$E$11+1,1))</f>
        <v>581.88778927327667</v>
      </c>
      <c r="BJ174" s="59">
        <f t="shared" si="146"/>
        <v>269.67340993773422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64.148952611118901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64.148952611118901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494.84341920000037</v>
      </c>
      <c r="CA174" s="13">
        <f t="shared" si="170"/>
        <v>110.76022061756538</v>
      </c>
      <c r="CB174" s="20">
        <f t="shared" si="171"/>
        <v>1054.7596726822603</v>
      </c>
      <c r="CC174" s="59">
        <f t="shared" si="119"/>
        <v>1348.0930060155936</v>
      </c>
      <c r="CD174" s="59">
        <f ca="1">AVERAGE(OFFSET($CC$3,0,0,'Données projet'!$E$12+1,1))-AVERAGE(OFFSET($H$3,0,0,'Données projet'!$E$12+1,1))</f>
        <v>609.60019207204277</v>
      </c>
      <c r="CE174" s="59">
        <f t="shared" si="148"/>
        <v>281.42238288764503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67.46700188410783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67.46700188410783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1.5999999999905867E-2</v>
      </c>
      <c r="CU174" s="17">
        <f>CT174*VLOOKUP('Données projet'!$B$13,Paramètres!$A$1:$I$89,3,0)*VLOOKUP('Données projet'!$B$13,Paramètres!$A$1:$I$89,5,0)</f>
        <v>1.2729599999925107E-2</v>
      </c>
      <c r="CV174" s="13">
        <f t="shared" si="173"/>
        <v>9.7491417338934176E-3</v>
      </c>
      <c r="CW174" s="20">
        <f t="shared" si="174"/>
        <v>3.9150475186400593E-2</v>
      </c>
      <c r="CX174" s="59">
        <f t="shared" si="122"/>
        <v>293.37248380851969</v>
      </c>
      <c r="CY174" s="59">
        <f ca="1">AVERAGE(OFFSET($CX$3,0,0,'Données projet'!$E$13+1,1))-AVERAGE(OFFSET($H$3,0,0,'Données projet'!$E$13+1,1))</f>
        <v>172.13940525084604</v>
      </c>
      <c r="CZ174" s="59">
        <f t="shared" si="150"/>
        <v>172.82328007157236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7.5403052490106264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7.5403052490106264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1.7053025658242404E-13</v>
      </c>
      <c r="DP174" s="17">
        <f>DO174*VLOOKUP('Données projet'!$B$14,Paramètres!$A$1:$I$89,3,0)*VLOOKUP('Données projet'!$B$14,Paramètres!$A$1:$I$89,5,0)</f>
        <v>1.250327841262333E-13</v>
      </c>
      <c r="DQ174" s="13">
        <f t="shared" si="176"/>
        <v>1.8301318724634299E-12</v>
      </c>
      <c r="DR174" s="20">
        <f t="shared" si="177"/>
        <v>3.405245110226996E-12</v>
      </c>
      <c r="DS174" s="59">
        <f t="shared" si="125"/>
        <v>293.33333333333672</v>
      </c>
      <c r="DT174" s="59">
        <f ca="1">AVERAGE(OFFSET($DS$3,0,0,'Données projet'!$E$14+1,1))-AVERAGE(OFFSET($H$3,0,0,'Données projet'!$E$14+1,1))</f>
        <v>197.34725966440715</v>
      </c>
      <c r="DU174" s="59">
        <f t="shared" si="152"/>
        <v>240.16326570529532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3.9837609310553037</v>
      </c>
      <c r="EB174" s="21">
        <f>EXP(-LN(2)/25)*EB173+(1-EXP(-LN(2)/25))/(LN(2)/25)*Calculateur!DW174*Calculateur!DY174*VLOOKUP('Données projet'!$B$14,Paramètres!$A$1:$I$89,3,0)*0.475*44/12</f>
        <v>1.0753521595155431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5.0591130905708468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5.6843418860808015E-14</v>
      </c>
      <c r="EK174" s="17">
        <f>EJ174*VLOOKUP('Données projet'!$B$15,Paramètres!$A$1:$I$89,3,0)*VLOOKUP('Données projet'!$B$15,Paramètres!$A$1:$I$89,5,0)</f>
        <v>4.4337866711430253E-14</v>
      </c>
      <c r="EL174" s="13">
        <f t="shared" si="179"/>
        <v>7.3222115536967035E-13</v>
      </c>
      <c r="EM174" s="20">
        <f t="shared" si="180"/>
        <v>1.3525069634579169E-12</v>
      </c>
      <c r="EN174" s="59">
        <f t="shared" si="128"/>
        <v>293.33333333333468</v>
      </c>
      <c r="EO174" s="59">
        <f ca="1">AVERAGE(OFFSET($EN$3,0,0,'Données projet'!$E$15+1,1))-AVERAGE(OFFSET($H$3,0,0,'Données projet'!$E$15+1,1))</f>
        <v>288.82868507674738</v>
      </c>
      <c r="EP174" s="59">
        <f t="shared" si="154"/>
        <v>283.48738729114024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13.689195959030416</v>
      </c>
      <c r="EW174" s="21">
        <f>EXP(-LN(2)/25)*EW173+(1-EXP(-LN(2)/25))/(LN(2)/25)*Calculateur!ER174*Calculateur!ET174*VLOOKUP('Données projet'!$B$15,Paramètres!$A$1:$I$89,3,0)*0.475*44/12</f>
        <v>3.0098912913983376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16.699087250428754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8.5459999999999976</v>
      </c>
      <c r="N175" s="13">
        <f>IF('Données projet'!$A$36&gt;35,N174+M175-V174,IF(A175&lt;'Données projet'!$A$36,$K$205^A175,IF(A175='Données projet'!$A$36,'Données projet'!$B$36,N174+M175-V174)))</f>
        <v>528.55800000000045</v>
      </c>
      <c r="O175" s="13">
        <f>N175*VLOOKUP('Données projet'!$B$9,Paramètres!$A$1:$I$89,3,0)*VLOOKUP('Données projet'!$B$9,Paramètres!$A$1:$I$89,5,0)</f>
        <v>478.23927840000039</v>
      </c>
      <c r="P175" s="13">
        <f t="shared" si="141"/>
        <v>107.46983969122122</v>
      </c>
      <c r="Q175" s="20">
        <f t="shared" si="162"/>
        <v>1020.110047342211</v>
      </c>
      <c r="R175" s="59">
        <f t="shared" si="109"/>
        <v>1313.4433806755444</v>
      </c>
      <c r="S175" s="59">
        <f ca="1">AVERAGE(OFFSET($R$3,0,0,'Données projet'!$E$9+1,1))-AVERAGE(OFFSET($H$3,0,0,'Données projet'!$E$9+1,1))</f>
        <v>581.88778927327667</v>
      </c>
      <c r="T175" s="59">
        <f t="shared" si="142"/>
        <v>269.67340993773422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62.891030777412482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62.891030777412482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1.7053025658242404E-13</v>
      </c>
      <c r="AJ175" s="13">
        <f>AI175*VLOOKUP('Données projet'!$B$10,Paramètres!$A$1:$I$89,3,0)*VLOOKUP('Données projet'!$B$10,Paramètres!$A$1:$I$89,5,0)</f>
        <v>1.1173142411280423E-13</v>
      </c>
      <c r="AK175" s="13">
        <f t="shared" si="164"/>
        <v>1.6569896290553793E-12</v>
      </c>
      <c r="AL175" s="20">
        <f t="shared" si="165"/>
        <v>3.0805225009345862E-12</v>
      </c>
      <c r="AM175" s="59">
        <f t="shared" si="113"/>
        <v>293.33333333333638</v>
      </c>
      <c r="AN175" s="59">
        <f ca="1">AVERAGE(OFFSET($AM$3,0,0,'Données projet'!$E$10+1,1))-AVERAGE(OFFSET($H$3,0,0,'Données projet'!$E$10+1,1))</f>
        <v>230.58262378842818</v>
      </c>
      <c r="AO175" s="59">
        <f t="shared" si="144"/>
        <v>235.68746142880792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10.895879700845182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10.895879700845182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478.23927840000039</v>
      </c>
      <c r="BF175" s="13">
        <f t="shared" si="167"/>
        <v>107.46983969122122</v>
      </c>
      <c r="BG175" s="20">
        <f t="shared" si="168"/>
        <v>1020.110047342211</v>
      </c>
      <c r="BH175" s="59">
        <f t="shared" si="116"/>
        <v>1313.4433806755444</v>
      </c>
      <c r="BI175" s="59">
        <f ca="1">AVERAGE(OFFSET($BH$3,0,0,'Données projet'!$E$11+1,1))-AVERAGE(OFFSET($H$3,0,0,'Données projet'!$E$11+1,1))</f>
        <v>581.88778927327667</v>
      </c>
      <c r="BJ175" s="59">
        <f t="shared" si="146"/>
        <v>269.67340993773422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62.891030777412482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62.891030777412482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502.97579280000042</v>
      </c>
      <c r="CA175" s="13">
        <f t="shared" si="170"/>
        <v>112.36707297223725</v>
      </c>
      <c r="CB175" s="20">
        <f t="shared" si="171"/>
        <v>1071.7221578866472</v>
      </c>
      <c r="CC175" s="59">
        <f t="shared" si="119"/>
        <v>1365.0554912199805</v>
      </c>
      <c r="CD175" s="59">
        <f ca="1">AVERAGE(OFFSET($CC$3,0,0,'Données projet'!$E$12+1,1))-AVERAGE(OFFSET($H$3,0,0,'Données projet'!$E$12+1,1))</f>
        <v>609.60019207204277</v>
      </c>
      <c r="CE175" s="59">
        <f t="shared" si="148"/>
        <v>281.42238288764503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66.144015127968316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66.144015127968316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1.5999999999905867E-2</v>
      </c>
      <c r="CU175" s="17">
        <f>CT175*VLOOKUP('Données projet'!$B$13,Paramètres!$A$1:$I$89,3,0)*VLOOKUP('Données projet'!$B$13,Paramètres!$A$1:$I$89,5,0)</f>
        <v>1.2729599999925107E-2</v>
      </c>
      <c r="CV175" s="13">
        <f t="shared" si="173"/>
        <v>9.7491417338934176E-3</v>
      </c>
      <c r="CW175" s="20">
        <f t="shared" si="174"/>
        <v>3.9150475186400593E-2</v>
      </c>
      <c r="CX175" s="59">
        <f t="shared" si="122"/>
        <v>293.37248380851969</v>
      </c>
      <c r="CY175" s="59">
        <f ca="1">AVERAGE(OFFSET($CX$3,0,0,'Données projet'!$E$13+1,1))-AVERAGE(OFFSET($H$3,0,0,'Données projet'!$E$13+1,1))</f>
        <v>172.13940525084604</v>
      </c>
      <c r="CZ175" s="59">
        <f t="shared" si="150"/>
        <v>172.82328007157236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7.3924444622096033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7.3924444622096033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1.7053025658242404E-13</v>
      </c>
      <c r="DP175" s="17">
        <f>DO175*VLOOKUP('Données projet'!$B$14,Paramètres!$A$1:$I$89,3,0)*VLOOKUP('Données projet'!$B$14,Paramètres!$A$1:$I$89,5,0)</f>
        <v>1.250327841262333E-13</v>
      </c>
      <c r="DQ175" s="13">
        <f t="shared" si="176"/>
        <v>1.8301318724634299E-12</v>
      </c>
      <c r="DR175" s="20">
        <f t="shared" si="177"/>
        <v>3.405245110226996E-12</v>
      </c>
      <c r="DS175" s="59">
        <f t="shared" si="125"/>
        <v>293.33333333333672</v>
      </c>
      <c r="DT175" s="59">
        <f ca="1">AVERAGE(OFFSET($DS$3,0,0,'Données projet'!$E$14+1,1))-AVERAGE(OFFSET($H$3,0,0,'Données projet'!$E$14+1,1))</f>
        <v>197.34725966440715</v>
      </c>
      <c r="DU175" s="59">
        <f t="shared" si="152"/>
        <v>240.16326570529532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3.905641809051549</v>
      </c>
      <c r="EB175" s="21">
        <f>EXP(-LN(2)/25)*EB174+(1-EXP(-LN(2)/25))/(LN(2)/25)*Calculateur!DW175*Calculateur!DY175*VLOOKUP('Données projet'!$B$14,Paramètres!$A$1:$I$89,3,0)*0.475*44/12</f>
        <v>1.0459465981632783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4.9515884072148273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5.6843418860808015E-14</v>
      </c>
      <c r="EK175" s="17">
        <f>EJ175*VLOOKUP('Données projet'!$B$15,Paramètres!$A$1:$I$89,3,0)*VLOOKUP('Données projet'!$B$15,Paramètres!$A$1:$I$89,5,0)</f>
        <v>4.4337866711430253E-14</v>
      </c>
      <c r="EL175" s="13">
        <f t="shared" si="179"/>
        <v>7.3222115536967035E-13</v>
      </c>
      <c r="EM175" s="20">
        <f t="shared" si="180"/>
        <v>1.3525069634579169E-12</v>
      </c>
      <c r="EN175" s="59">
        <f t="shared" si="128"/>
        <v>293.33333333333468</v>
      </c>
      <c r="EO175" s="59">
        <f ca="1">AVERAGE(OFFSET($EN$3,0,0,'Données projet'!$E$15+1,1))-AVERAGE(OFFSET($H$3,0,0,'Données projet'!$E$15+1,1))</f>
        <v>288.82868507674738</v>
      </c>
      <c r="EP175" s="59">
        <f t="shared" si="154"/>
        <v>283.48738729114024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13.420759175858912</v>
      </c>
      <c r="EW175" s="21">
        <f>EXP(-LN(2)/25)*EW174+(1-EXP(-LN(2)/25))/(LN(2)/25)*Calculateur!ER175*Calculateur!ET175*VLOOKUP('Données projet'!$B$15,Paramètres!$A$1:$I$89,3,0)*0.475*44/12</f>
        <v>2.9275856557517463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16.348344831610657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8.5459999999999976</v>
      </c>
      <c r="N176" s="13">
        <f>IF('Données projet'!$A$36&gt;35,N175+M176-V175,IF(A176&lt;'Données projet'!$A$36,$K$205^A176,IF(A176='Données projet'!$A$36,'Données projet'!$B$36,N175+M176-V175)))</f>
        <v>537.1040000000005</v>
      </c>
      <c r="O176" s="13">
        <f>N176*VLOOKUP('Données projet'!$B$9,Paramètres!$A$1:$I$89,3,0)*VLOOKUP('Données projet'!$B$9,Paramètres!$A$1:$I$89,5,0)</f>
        <v>485.97169920000039</v>
      </c>
      <c r="P176" s="13">
        <f t="shared" si="141"/>
        <v>109.00377173434057</v>
      </c>
      <c r="Q176" s="20">
        <f t="shared" si="162"/>
        <v>1036.2489452106438</v>
      </c>
      <c r="R176" s="59">
        <f t="shared" si="109"/>
        <v>1329.5822785439771</v>
      </c>
      <c r="S176" s="59">
        <f ca="1">AVERAGE(OFFSET($R$3,0,0,'Données projet'!$E$9+1,1))-AVERAGE(OFFSET($H$3,0,0,'Données projet'!$E$9+1,1))</f>
        <v>581.88778927327667</v>
      </c>
      <c r="T176" s="59">
        <f t="shared" si="142"/>
        <v>269.67340993773422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61.657776023608484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61.657776023608484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1.7053025658242404E-13</v>
      </c>
      <c r="AJ176" s="13">
        <f>AI176*VLOOKUP('Données projet'!$B$10,Paramètres!$A$1:$I$89,3,0)*VLOOKUP('Données projet'!$B$10,Paramètres!$A$1:$I$89,5,0)</f>
        <v>1.1173142411280423E-13</v>
      </c>
      <c r="AK176" s="13">
        <f t="shared" si="164"/>
        <v>1.6569896290553793E-12</v>
      </c>
      <c r="AL176" s="20">
        <f t="shared" si="165"/>
        <v>3.0805225009345862E-12</v>
      </c>
      <c r="AM176" s="59">
        <f t="shared" si="113"/>
        <v>293.33333333333638</v>
      </c>
      <c r="AN176" s="59">
        <f ca="1">AVERAGE(OFFSET($AM$3,0,0,'Données projet'!$E$10+1,1))-AVERAGE(OFFSET($H$3,0,0,'Données projet'!$E$10+1,1))</f>
        <v>230.58262378842818</v>
      </c>
      <c r="AO176" s="59">
        <f t="shared" si="144"/>
        <v>235.68746142880792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10.682218145742004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10.682218145742004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485.97169920000039</v>
      </c>
      <c r="BF176" s="13">
        <f t="shared" si="167"/>
        <v>109.00377173434057</v>
      </c>
      <c r="BG176" s="20">
        <f t="shared" si="168"/>
        <v>1036.2489452106438</v>
      </c>
      <c r="BH176" s="59">
        <f t="shared" si="116"/>
        <v>1329.5822785439771</v>
      </c>
      <c r="BI176" s="59">
        <f ca="1">AVERAGE(OFFSET($BH$3,0,0,'Données projet'!$E$11+1,1))-AVERAGE(OFFSET($H$3,0,0,'Données projet'!$E$11+1,1))</f>
        <v>581.88778927327667</v>
      </c>
      <c r="BJ176" s="59">
        <f t="shared" si="146"/>
        <v>269.67340993773422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61.657776023608484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61.657776023608484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511.10816640000047</v>
      </c>
      <c r="CA176" s="13">
        <f t="shared" si="170"/>
        <v>113.97090391046954</v>
      </c>
      <c r="CB176" s="20">
        <f t="shared" si="171"/>
        <v>1088.6793807907352</v>
      </c>
      <c r="CC176" s="59">
        <f t="shared" si="119"/>
        <v>1382.0127141240685</v>
      </c>
      <c r="CD176" s="59">
        <f ca="1">AVERAGE(OFFSET($CC$3,0,0,'Données projet'!$E$12+1,1))-AVERAGE(OFFSET($H$3,0,0,'Données projet'!$E$12+1,1))</f>
        <v>609.60019207204277</v>
      </c>
      <c r="CE176" s="59">
        <f t="shared" si="148"/>
        <v>281.42238288764503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64.846971335174459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64.846971335174459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1.5999999999905867E-2</v>
      </c>
      <c r="CU176" s="17">
        <f>CT176*VLOOKUP('Données projet'!$B$13,Paramètres!$A$1:$I$89,3,0)*VLOOKUP('Données projet'!$B$13,Paramètres!$A$1:$I$89,5,0)</f>
        <v>1.2729599999925107E-2</v>
      </c>
      <c r="CV176" s="13">
        <f t="shared" si="173"/>
        <v>9.7491417338934176E-3</v>
      </c>
      <c r="CW176" s="20">
        <f t="shared" si="174"/>
        <v>3.9150475186400593E-2</v>
      </c>
      <c r="CX176" s="59">
        <f t="shared" si="122"/>
        <v>293.37248380851969</v>
      </c>
      <c r="CY176" s="59">
        <f ca="1">AVERAGE(OFFSET($CX$3,0,0,'Données projet'!$E$13+1,1))-AVERAGE(OFFSET($H$3,0,0,'Données projet'!$E$13+1,1))</f>
        <v>172.13940525084604</v>
      </c>
      <c r="CZ176" s="59">
        <f t="shared" si="150"/>
        <v>172.82328007157236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7.2474831352515734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7.2474831352515734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1.7053025658242404E-13</v>
      </c>
      <c r="DP176" s="17">
        <f>DO176*VLOOKUP('Données projet'!$B$14,Paramètres!$A$1:$I$89,3,0)*VLOOKUP('Données projet'!$B$14,Paramètres!$A$1:$I$89,5,0)</f>
        <v>1.250327841262333E-13</v>
      </c>
      <c r="DQ176" s="13">
        <f t="shared" si="176"/>
        <v>1.8301318724634299E-12</v>
      </c>
      <c r="DR176" s="20">
        <f t="shared" si="177"/>
        <v>3.405245110226996E-12</v>
      </c>
      <c r="DS176" s="59">
        <f t="shared" si="125"/>
        <v>293.33333333333672</v>
      </c>
      <c r="DT176" s="59">
        <f ca="1">AVERAGE(OFFSET($DS$3,0,0,'Données projet'!$E$14+1,1))-AVERAGE(OFFSET($H$3,0,0,'Données projet'!$E$14+1,1))</f>
        <v>197.34725966440715</v>
      </c>
      <c r="DU176" s="59">
        <f t="shared" si="152"/>
        <v>240.16326570529532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3.8290545553823283</v>
      </c>
      <c r="EB176" s="21">
        <f>EXP(-LN(2)/25)*EB175+(1-EXP(-LN(2)/25))/(LN(2)/25)*Calculateur!DW176*Calculateur!DY176*VLOOKUP('Données projet'!$B$14,Paramètres!$A$1:$I$89,3,0)*0.475*44/12</f>
        <v>1.0173451334325623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4.8463996888148904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5.6843418860808015E-14</v>
      </c>
      <c r="EK176" s="17">
        <f>EJ176*VLOOKUP('Données projet'!$B$15,Paramètres!$A$1:$I$89,3,0)*VLOOKUP('Données projet'!$B$15,Paramètres!$A$1:$I$89,5,0)</f>
        <v>4.4337866711430253E-14</v>
      </c>
      <c r="EL176" s="13">
        <f t="shared" si="179"/>
        <v>7.3222115536967035E-13</v>
      </c>
      <c r="EM176" s="20">
        <f t="shared" si="180"/>
        <v>1.3525069634579169E-12</v>
      </c>
      <c r="EN176" s="59">
        <f t="shared" si="128"/>
        <v>293.33333333333468</v>
      </c>
      <c r="EO176" s="59">
        <f ca="1">AVERAGE(OFFSET($EN$3,0,0,'Données projet'!$E$15+1,1))-AVERAGE(OFFSET($H$3,0,0,'Données projet'!$E$15+1,1))</f>
        <v>288.82868507674738</v>
      </c>
      <c r="EP176" s="59">
        <f t="shared" si="154"/>
        <v>283.48738729114024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13.157586274275129</v>
      </c>
      <c r="EW176" s="21">
        <f>EXP(-LN(2)/25)*EW175+(1-EXP(-LN(2)/25))/(LN(2)/25)*Calculateur!ER176*Calculateur!ET176*VLOOKUP('Données projet'!$B$15,Paramètres!$A$1:$I$89,3,0)*0.475*44/12</f>
        <v>2.8475306720401763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16.005116946315304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>
        <f>VLOOKUP(A177,'Données projet'!$A$35:$I$55,2,0)</f>
        <v>545.65</v>
      </c>
      <c r="L177" s="12">
        <f>VLOOKUP(A177,'Données projet'!$A$35:$I$55,9,0)</f>
        <v>8.5459999999999976</v>
      </c>
      <c r="M177" s="12">
        <f t="array" ref="M177">INDEX(L:L,MIN(IF(ISNUMBER(L177:L373),ROW(L177:L373),"")))</f>
        <v>8.5459999999999976</v>
      </c>
      <c r="N177" s="13">
        <f>IF('Données projet'!$A$36&gt;35,N176+M177-V176,IF(A177&lt;'Données projet'!$A$36,$K$205^A177,IF(A177='Données projet'!$A$36,'Données projet'!$B$36,N176+M177-V176)))</f>
        <v>545.65000000000055</v>
      </c>
      <c r="O177" s="13">
        <f>N177*VLOOKUP('Données projet'!$B$9,Paramètres!$A$1:$I$89,3,0)*VLOOKUP('Données projet'!$B$9,Paramètres!$A$1:$I$89,5,0)</f>
        <v>493.7041200000005</v>
      </c>
      <c r="P177" s="13">
        <f t="shared" si="141"/>
        <v>110.53486532995269</v>
      </c>
      <c r="Q177" s="20">
        <f t="shared" si="162"/>
        <v>1052.3828994496685</v>
      </c>
      <c r="R177" s="59">
        <f t="shared" si="109"/>
        <v>1345.7162327830017</v>
      </c>
      <c r="S177" s="59">
        <f ca="1">AVERAGE(OFFSET($R$3,0,0,'Données projet'!$E$9+1,1))-AVERAGE(OFFSET($H$3,0,0,'Données projet'!$E$9+1,1))</f>
        <v>581.88778927327667</v>
      </c>
      <c r="T177" s="59">
        <f t="shared" si="142"/>
        <v>269.67340993773422</v>
      </c>
      <c r="U177" s="15">
        <f>IF(ISNA(VLOOKUP(A177,'Données projet'!$A$35:$I$55,3,0)),0,VLOOKUP(A177,'Données projet'!$A$35:$I$55,3,0))</f>
        <v>15</v>
      </c>
      <c r="V177" s="15">
        <f>IF(ISNA(VLOOKUP(A177,'Données projet'!$A$35:$I$55,4,0)),0,VLOOKUP(A177,'Données projet'!$A$35:$I$55,4,0))</f>
        <v>214.77</v>
      </c>
      <c r="W177" s="16">
        <f>IF(ISNA(VLOOKUP(A177,'Données projet'!$A$35:$I$55,5,0)),0%,VLOOKUP(A177,'Données projet'!$A$35:$I$55,5,0)*VLOOKUP('Données projet'!$B$9,Paramètres!$A$1:$I$89,7,0))</f>
        <v>0.25800000000000001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115.87208689768337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115.87208689768337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1.7053025658242404E-13</v>
      </c>
      <c r="AJ177" s="13">
        <f>AI177*VLOOKUP('Données projet'!$B$10,Paramètres!$A$1:$I$89,3,0)*VLOOKUP('Données projet'!$B$10,Paramètres!$A$1:$I$89,5,0)</f>
        <v>1.1173142411280423E-13</v>
      </c>
      <c r="AK177" s="13">
        <f t="shared" si="164"/>
        <v>1.6569896290553793E-12</v>
      </c>
      <c r="AL177" s="20">
        <f t="shared" si="165"/>
        <v>3.0805225009345862E-12</v>
      </c>
      <c r="AM177" s="59">
        <f t="shared" si="113"/>
        <v>293.33333333333638</v>
      </c>
      <c r="AN177" s="59">
        <f ca="1">AVERAGE(OFFSET($AM$3,0,0,'Données projet'!$E$10+1,1))-AVERAGE(OFFSET($H$3,0,0,'Données projet'!$E$10+1,1))</f>
        <v>230.58262378842818</v>
      </c>
      <c r="AO177" s="59">
        <f t="shared" si="144"/>
        <v>235.68746142880792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10.472746363413719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10.472746363413719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493.7041200000005</v>
      </c>
      <c r="BF177" s="13">
        <f t="shared" si="167"/>
        <v>110.53486532995269</v>
      </c>
      <c r="BG177" s="20">
        <f t="shared" si="168"/>
        <v>1052.3828994496685</v>
      </c>
      <c r="BH177" s="59">
        <f t="shared" si="116"/>
        <v>1345.7162327830017</v>
      </c>
      <c r="BI177" s="59">
        <f ca="1">AVERAGE(OFFSET($BH$3,0,0,'Données projet'!$E$11+1,1))-AVERAGE(OFFSET($H$3,0,0,'Données projet'!$E$11+1,1))</f>
        <v>581.88778927327667</v>
      </c>
      <c r="BJ177" s="59">
        <f t="shared" si="146"/>
        <v>269.67340993773422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115.87208689768337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115.87208689768337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519.24054000000058</v>
      </c>
      <c r="CA177" s="13">
        <f t="shared" si="170"/>
        <v>115.57176705756082</v>
      </c>
      <c r="CB177" s="20">
        <f t="shared" si="171"/>
        <v>1105.6314347919194</v>
      </c>
      <c r="CC177" s="59">
        <f t="shared" si="119"/>
        <v>1398.9647681252527</v>
      </c>
      <c r="CD177" s="59">
        <f ca="1">AVERAGE(OFFSET($CC$3,0,0,'Données projet'!$E$12+1,1))-AVERAGE(OFFSET($H$3,0,0,'Données projet'!$E$12+1,1))</f>
        <v>609.60019207204277</v>
      </c>
      <c r="CE177" s="59">
        <f t="shared" si="148"/>
        <v>281.42238288764503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121.86547070273599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121.86547070273599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1.5999999999905867E-2</v>
      </c>
      <c r="CU177" s="17">
        <f>CT177*VLOOKUP('Données projet'!$B$13,Paramètres!$A$1:$I$89,3,0)*VLOOKUP('Données projet'!$B$13,Paramètres!$A$1:$I$89,5,0)</f>
        <v>1.2729599999925107E-2</v>
      </c>
      <c r="CV177" s="13">
        <f t="shared" si="173"/>
        <v>9.7491417338934176E-3</v>
      </c>
      <c r="CW177" s="20">
        <f t="shared" si="174"/>
        <v>3.9150475186400593E-2</v>
      </c>
      <c r="CX177" s="59">
        <f t="shared" si="122"/>
        <v>293.37248380851969</v>
      </c>
      <c r="CY177" s="59">
        <f ca="1">AVERAGE(OFFSET($CX$3,0,0,'Données projet'!$E$13+1,1))-AVERAGE(OFFSET($H$3,0,0,'Données projet'!$E$13+1,1))</f>
        <v>172.13940525084604</v>
      </c>
      <c r="CZ177" s="59">
        <f t="shared" si="150"/>
        <v>172.82328007157236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7.1053644114975114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7.1053644114975114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1.7053025658242404E-13</v>
      </c>
      <c r="DP177" s="17">
        <f>DO177*VLOOKUP('Données projet'!$B$14,Paramètres!$A$1:$I$89,3,0)*VLOOKUP('Données projet'!$B$14,Paramètres!$A$1:$I$89,5,0)</f>
        <v>1.250327841262333E-13</v>
      </c>
      <c r="DQ177" s="13">
        <f t="shared" si="176"/>
        <v>1.8301318724634299E-12</v>
      </c>
      <c r="DR177" s="20">
        <f t="shared" si="177"/>
        <v>3.405245110226996E-12</v>
      </c>
      <c r="DS177" s="59">
        <f t="shared" si="125"/>
        <v>293.33333333333672</v>
      </c>
      <c r="DT177" s="59">
        <f ca="1">AVERAGE(OFFSET($DS$3,0,0,'Données projet'!$E$14+1,1))-AVERAGE(OFFSET($H$3,0,0,'Données projet'!$E$14+1,1))</f>
        <v>197.34725966440715</v>
      </c>
      <c r="DU177" s="59">
        <f t="shared" si="152"/>
        <v>240.16326570529532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3.7539691310439487</v>
      </c>
      <c r="EB177" s="21">
        <f>EXP(-LN(2)/25)*EB176+(1-EXP(-LN(2)/25))/(LN(2)/25)*Calculateur!DW177*Calculateur!DY177*VLOOKUP('Données projet'!$B$14,Paramètres!$A$1:$I$89,3,0)*0.475*44/12</f>
        <v>0.98952577725899349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4.7434949083029423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5.6843418860808015E-14</v>
      </c>
      <c r="EK177" s="17">
        <f>EJ177*VLOOKUP('Données projet'!$B$15,Paramètres!$A$1:$I$89,3,0)*VLOOKUP('Données projet'!$B$15,Paramètres!$A$1:$I$89,5,0)</f>
        <v>4.4337866711430253E-14</v>
      </c>
      <c r="EL177" s="13">
        <f t="shared" si="179"/>
        <v>7.3222115536967035E-13</v>
      </c>
      <c r="EM177" s="20">
        <f t="shared" si="180"/>
        <v>1.3525069634579169E-12</v>
      </c>
      <c r="EN177" s="59">
        <f t="shared" si="128"/>
        <v>293.33333333333468</v>
      </c>
      <c r="EO177" s="59">
        <f ca="1">AVERAGE(OFFSET($EN$3,0,0,'Données projet'!$E$15+1,1))-AVERAGE(OFFSET($H$3,0,0,'Données projet'!$E$15+1,1))</f>
        <v>288.82868507674738</v>
      </c>
      <c r="EP177" s="59">
        <f t="shared" si="154"/>
        <v>283.48738729114024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12.899574032771785</v>
      </c>
      <c r="EW177" s="21">
        <f>EXP(-LN(2)/25)*EW176+(1-EXP(-LN(2)/25))/(LN(2)/25)*Calculateur!ER177*Calculateur!ET177*VLOOKUP('Données projet'!$B$15,Paramètres!$A$1:$I$89,3,0)*0.475*44/12</f>
        <v>2.7696647960681076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15.669238828839893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5.3866666666666747</v>
      </c>
      <c r="N178" s="13">
        <f>IF('Données projet'!$A$36&gt;35,N177+M178-V177,IF(A178&lt;'Données projet'!$A$36,$K$205^A178,IF(A178='Données projet'!$A$36,'Données projet'!$B$36,N177+M178-V177)))</f>
        <v>336.26666666666722</v>
      </c>
      <c r="O178" s="13">
        <f>N178*VLOOKUP('Données projet'!$B$9,Paramètres!$A$1:$I$89,3,0)*VLOOKUP('Données projet'!$B$9,Paramètres!$A$1:$I$89,5,0)</f>
        <v>304.2540800000005</v>
      </c>
      <c r="P178" s="13">
        <f t="shared" si="141"/>
        <v>72.067549889405967</v>
      </c>
      <c r="Q178" s="20">
        <f t="shared" si="162"/>
        <v>655.42683872404962</v>
      </c>
      <c r="R178" s="59">
        <f t="shared" si="109"/>
        <v>948.76017205738299</v>
      </c>
      <c r="S178" s="59">
        <f ca="1">AVERAGE(OFFSET($R$3,0,0,'Données projet'!$E$9+1,1))-AVERAGE(OFFSET($H$3,0,0,'Données projet'!$E$9+1,1))</f>
        <v>581.88778927327667</v>
      </c>
      <c r="T178" s="59">
        <f t="shared" si="142"/>
        <v>269.67340993773422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113.59990594861424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113.59990594861424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1.7053025658242404E-13</v>
      </c>
      <c r="AJ178" s="13">
        <f>AI178*VLOOKUP('Données projet'!$B$10,Paramètres!$A$1:$I$89,3,0)*VLOOKUP('Données projet'!$B$10,Paramètres!$A$1:$I$89,5,0)</f>
        <v>1.1173142411280423E-13</v>
      </c>
      <c r="AK178" s="13">
        <f t="shared" si="164"/>
        <v>1.6569896290553793E-12</v>
      </c>
      <c r="AL178" s="20">
        <f t="shared" si="165"/>
        <v>3.0805225009345862E-12</v>
      </c>
      <c r="AM178" s="59">
        <f t="shared" si="113"/>
        <v>293.33333333333638</v>
      </c>
      <c r="AN178" s="59">
        <f ca="1">AVERAGE(OFFSET($AM$3,0,0,'Données projet'!$E$10+1,1))-AVERAGE(OFFSET($H$3,0,0,'Données projet'!$E$10+1,1))</f>
        <v>230.58262378842818</v>
      </c>
      <c r="AO178" s="59">
        <f t="shared" si="144"/>
        <v>235.68746142880792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10.26738219497172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10.26738219497172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304.2540800000005</v>
      </c>
      <c r="BF178" s="13">
        <f t="shared" si="167"/>
        <v>72.067549889405967</v>
      </c>
      <c r="BG178" s="20">
        <f t="shared" si="168"/>
        <v>655.42683872404962</v>
      </c>
      <c r="BH178" s="59">
        <f t="shared" si="116"/>
        <v>948.76017205738299</v>
      </c>
      <c r="BI178" s="59">
        <f ca="1">AVERAGE(OFFSET($BH$3,0,0,'Données projet'!$E$11+1,1))-AVERAGE(OFFSET($H$3,0,0,'Données projet'!$E$11+1,1))</f>
        <v>581.88778927327667</v>
      </c>
      <c r="BJ178" s="59">
        <f t="shared" si="146"/>
        <v>269.67340993773422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113.59990594861424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113.59990594861424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319.9913600000005</v>
      </c>
      <c r="CA178" s="13">
        <f t="shared" si="170"/>
        <v>75.351555939975256</v>
      </c>
      <c r="CB178" s="20">
        <f t="shared" si="171"/>
        <v>688.55557859545763</v>
      </c>
      <c r="CC178" s="59">
        <f t="shared" si="119"/>
        <v>981.888911928791</v>
      </c>
      <c r="CD178" s="59">
        <f ca="1">AVERAGE(OFFSET($CC$3,0,0,'Données projet'!$E$12+1,1))-AVERAGE(OFFSET($H$3,0,0,'Données projet'!$E$12+1,1))</f>
        <v>609.60019207204277</v>
      </c>
      <c r="CE178" s="59">
        <f t="shared" si="148"/>
        <v>281.42238288764503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119.47576315285293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119.47576315285293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1.5999999999905867E-2</v>
      </c>
      <c r="CU178" s="17">
        <f>CT178*VLOOKUP('Données projet'!$B$13,Paramètres!$A$1:$I$89,3,0)*VLOOKUP('Données projet'!$B$13,Paramètres!$A$1:$I$89,5,0)</f>
        <v>1.2729599999925107E-2</v>
      </c>
      <c r="CV178" s="13">
        <f t="shared" si="173"/>
        <v>9.7491417338934176E-3</v>
      </c>
      <c r="CW178" s="20">
        <f t="shared" si="174"/>
        <v>3.9150475186400593E-2</v>
      </c>
      <c r="CX178" s="59">
        <f t="shared" si="122"/>
        <v>293.37248380851969</v>
      </c>
      <c r="CY178" s="59">
        <f ca="1">AVERAGE(OFFSET($CX$3,0,0,'Données projet'!$E$13+1,1))-AVERAGE(OFFSET($H$3,0,0,'Données projet'!$E$13+1,1))</f>
        <v>172.13940525084604</v>
      </c>
      <c r="CZ178" s="59">
        <f t="shared" si="150"/>
        <v>172.82328007157236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6.9660325492324047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6.9660325492324047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1.7053025658242404E-13</v>
      </c>
      <c r="DP178" s="17">
        <f>DO178*VLOOKUP('Données projet'!$B$14,Paramètres!$A$1:$I$89,3,0)*VLOOKUP('Données projet'!$B$14,Paramètres!$A$1:$I$89,5,0)</f>
        <v>1.250327841262333E-13</v>
      </c>
      <c r="DQ178" s="13">
        <f t="shared" si="176"/>
        <v>1.8301318724634299E-12</v>
      </c>
      <c r="DR178" s="20">
        <f t="shared" si="177"/>
        <v>3.405245110226996E-12</v>
      </c>
      <c r="DS178" s="59">
        <f t="shared" si="125"/>
        <v>293.33333333333672</v>
      </c>
      <c r="DT178" s="59">
        <f ca="1">AVERAGE(OFFSET($DS$3,0,0,'Données projet'!$E$14+1,1))-AVERAGE(OFFSET($H$3,0,0,'Données projet'!$E$14+1,1))</f>
        <v>197.34725966440715</v>
      </c>
      <c r="DU178" s="59">
        <f t="shared" si="152"/>
        <v>240.16326570529532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3.6803560860792581</v>
      </c>
      <c r="EB178" s="21">
        <f>EXP(-LN(2)/25)*EB177+(1-EXP(-LN(2)/25))/(LN(2)/25)*Calculateur!DW178*Calculateur!DY178*VLOOKUP('Données projet'!$B$14,Paramètres!$A$1:$I$89,3,0)*0.475*44/12</f>
        <v>0.96246714284294732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4.6428232289222056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5.6843418860808015E-14</v>
      </c>
      <c r="EK178" s="17">
        <f>EJ178*VLOOKUP('Données projet'!$B$15,Paramètres!$A$1:$I$89,3,0)*VLOOKUP('Données projet'!$B$15,Paramètres!$A$1:$I$89,5,0)</f>
        <v>4.4337866711430253E-14</v>
      </c>
      <c r="EL178" s="13">
        <f t="shared" si="179"/>
        <v>7.3222115536967035E-13</v>
      </c>
      <c r="EM178" s="20">
        <f t="shared" si="180"/>
        <v>1.3525069634579169E-12</v>
      </c>
      <c r="EN178" s="59">
        <f t="shared" si="128"/>
        <v>293.33333333333468</v>
      </c>
      <c r="EO178" s="59">
        <f ca="1">AVERAGE(OFFSET($EN$3,0,0,'Données projet'!$E$15+1,1))-AVERAGE(OFFSET($H$3,0,0,'Données projet'!$E$15+1,1))</f>
        <v>288.82868507674738</v>
      </c>
      <c r="EP178" s="59">
        <f t="shared" si="154"/>
        <v>283.48738729114024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12.646621253952393</v>
      </c>
      <c r="EW178" s="21">
        <f>EXP(-LN(2)/25)*EW177+(1-EXP(-LN(2)/25))/(LN(2)/25)*Calculateur!ER178*Calculateur!ET178*VLOOKUP('Données projet'!$B$15,Paramètres!$A$1:$I$89,3,0)*0.475*44/12</f>
        <v>2.6939281665692838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15.340549420521677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5.3866666666666747</v>
      </c>
      <c r="N179" s="13">
        <f>IF('Données projet'!$A$36&gt;35,N178+M179-V178,IF(A179&lt;'Données projet'!$A$36,$K$205^A179,IF(A179='Données projet'!$A$36,'Données projet'!$B$36,N178+M179-V178)))</f>
        <v>341.65333333333388</v>
      </c>
      <c r="O179" s="13">
        <f>N179*VLOOKUP('Données projet'!$B$9,Paramètres!$A$1:$I$89,3,0)*VLOOKUP('Données projet'!$B$9,Paramètres!$A$1:$I$89,5,0)</f>
        <v>309.12793600000049</v>
      </c>
      <c r="P179" s="13">
        <f t="shared" si="141"/>
        <v>73.086678650713282</v>
      </c>
      <c r="Q179" s="20">
        <f t="shared" si="162"/>
        <v>665.6904538499931</v>
      </c>
      <c r="R179" s="59">
        <f t="shared" si="109"/>
        <v>959.02378718332648</v>
      </c>
      <c r="S179" s="59">
        <f ca="1">AVERAGE(OFFSET($R$3,0,0,'Données projet'!$E$9+1,1))-AVERAGE(OFFSET($H$3,0,0,'Données projet'!$E$9+1,1))</f>
        <v>581.88778927327667</v>
      </c>
      <c r="T179" s="59">
        <f t="shared" si="142"/>
        <v>269.67340993773422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111.37228108206281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111.37228108206281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1.7053025658242404E-13</v>
      </c>
      <c r="AJ179" s="13">
        <f>AI179*VLOOKUP('Données projet'!$B$10,Paramètres!$A$1:$I$89,3,0)*VLOOKUP('Données projet'!$B$10,Paramètres!$A$1:$I$89,5,0)</f>
        <v>1.1173142411280423E-13</v>
      </c>
      <c r="AK179" s="13">
        <f t="shared" si="164"/>
        <v>1.6569896290553793E-12</v>
      </c>
      <c r="AL179" s="20">
        <f t="shared" si="165"/>
        <v>3.0805225009345862E-12</v>
      </c>
      <c r="AM179" s="59">
        <f t="shared" si="113"/>
        <v>293.33333333333638</v>
      </c>
      <c r="AN179" s="59">
        <f ca="1">AVERAGE(OFFSET($AM$3,0,0,'Données projet'!$E$10+1,1))-AVERAGE(OFFSET($H$3,0,0,'Données projet'!$E$10+1,1))</f>
        <v>230.58262378842818</v>
      </c>
      <c r="AO179" s="59">
        <f t="shared" si="144"/>
        <v>235.68746142880792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10.066045092613095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10.066045092613095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309.12793600000049</v>
      </c>
      <c r="BF179" s="13">
        <f t="shared" si="167"/>
        <v>73.086678650713282</v>
      </c>
      <c r="BG179" s="20">
        <f t="shared" si="168"/>
        <v>665.6904538499931</v>
      </c>
      <c r="BH179" s="59">
        <f t="shared" si="116"/>
        <v>959.02378718332648</v>
      </c>
      <c r="BI179" s="59">
        <f ca="1">AVERAGE(OFFSET($BH$3,0,0,'Données projet'!$E$11+1,1))-AVERAGE(OFFSET($H$3,0,0,'Données projet'!$E$11+1,1))</f>
        <v>581.88778927327667</v>
      </c>
      <c r="BJ179" s="59">
        <f t="shared" si="146"/>
        <v>269.67340993773422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111.37228108206281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111.37228108206281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325.11731200000048</v>
      </c>
      <c r="CA179" s="13">
        <f t="shared" si="170"/>
        <v>76.417124812311442</v>
      </c>
      <c r="CB179" s="20">
        <f t="shared" si="171"/>
        <v>699.33914411477656</v>
      </c>
      <c r="CC179" s="59">
        <f t="shared" si="119"/>
        <v>992.67247744810993</v>
      </c>
      <c r="CD179" s="59">
        <f ca="1">AVERAGE(OFFSET($CC$3,0,0,'Données projet'!$E$12+1,1))-AVERAGE(OFFSET($H$3,0,0,'Données projet'!$E$12+1,1))</f>
        <v>609.60019207204277</v>
      </c>
      <c r="CE179" s="59">
        <f t="shared" si="148"/>
        <v>281.42238288764503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117.1329163104454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117.1329163104454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1.5999999999905867E-2</v>
      </c>
      <c r="CU179" s="17">
        <f>CT179*VLOOKUP('Données projet'!$B$13,Paramètres!$A$1:$I$89,3,0)*VLOOKUP('Données projet'!$B$13,Paramètres!$A$1:$I$89,5,0)</f>
        <v>1.2729599999925107E-2</v>
      </c>
      <c r="CV179" s="13">
        <f t="shared" si="173"/>
        <v>9.7491417338934176E-3</v>
      </c>
      <c r="CW179" s="20">
        <f t="shared" si="174"/>
        <v>3.9150475186400593E-2</v>
      </c>
      <c r="CX179" s="59">
        <f t="shared" si="122"/>
        <v>293.37248380851969</v>
      </c>
      <c r="CY179" s="59">
        <f ca="1">AVERAGE(OFFSET($CX$3,0,0,'Données projet'!$E$13+1,1))-AVERAGE(OFFSET($H$3,0,0,'Données projet'!$E$13+1,1))</f>
        <v>172.13940525084604</v>
      </c>
      <c r="CZ179" s="59">
        <f t="shared" si="150"/>
        <v>172.82328007157236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6.8294328998022724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6.8294328998022724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1.7053025658242404E-13</v>
      </c>
      <c r="DP179" s="17">
        <f>DO179*VLOOKUP('Données projet'!$B$14,Paramètres!$A$1:$I$89,3,0)*VLOOKUP('Données projet'!$B$14,Paramètres!$A$1:$I$89,5,0)</f>
        <v>1.250327841262333E-13</v>
      </c>
      <c r="DQ179" s="13">
        <f t="shared" si="176"/>
        <v>1.8301318724634299E-12</v>
      </c>
      <c r="DR179" s="20">
        <f t="shared" si="177"/>
        <v>3.405245110226996E-12</v>
      </c>
      <c r="DS179" s="59">
        <f t="shared" si="125"/>
        <v>293.33333333333672</v>
      </c>
      <c r="DT179" s="59">
        <f ca="1">AVERAGE(OFFSET($DS$3,0,0,'Données projet'!$E$14+1,1))-AVERAGE(OFFSET($H$3,0,0,'Données projet'!$E$14+1,1))</f>
        <v>197.34725966440715</v>
      </c>
      <c r="DU179" s="59">
        <f t="shared" si="152"/>
        <v>240.16326570529532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3.6081865480268012</v>
      </c>
      <c r="EB179" s="21">
        <f>EXP(-LN(2)/25)*EB178+(1-EXP(-LN(2)/25))/(LN(2)/25)*Calculateur!DW179*Calculateur!DY179*VLOOKUP('Données projet'!$B$14,Paramètres!$A$1:$I$89,3,0)*0.475*44/12</f>
        <v>0.93614842820795963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4.5443349762347607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5.6843418860808015E-14</v>
      </c>
      <c r="EK179" s="17">
        <f>EJ179*VLOOKUP('Données projet'!$B$15,Paramètres!$A$1:$I$89,3,0)*VLOOKUP('Données projet'!$B$15,Paramètres!$A$1:$I$89,5,0)</f>
        <v>4.4337866711430253E-14</v>
      </c>
      <c r="EL179" s="13">
        <f t="shared" si="179"/>
        <v>7.3222115536967035E-13</v>
      </c>
      <c r="EM179" s="20">
        <f t="shared" si="180"/>
        <v>1.3525069634579169E-12</v>
      </c>
      <c r="EN179" s="59">
        <f t="shared" si="128"/>
        <v>293.33333333333468</v>
      </c>
      <c r="EO179" s="59">
        <f ca="1">AVERAGE(OFFSET($EN$3,0,0,'Données projet'!$E$15+1,1))-AVERAGE(OFFSET($H$3,0,0,'Données projet'!$E$15+1,1))</f>
        <v>288.82868507674738</v>
      </c>
      <c r="EP179" s="59">
        <f t="shared" si="154"/>
        <v>283.48738729114024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12.398628724839689</v>
      </c>
      <c r="EW179" s="21">
        <f>EXP(-LN(2)/25)*EW178+(1-EXP(-LN(2)/25))/(LN(2)/25)*Calculateur!ER179*Calculateur!ET179*VLOOKUP('Données projet'!$B$15,Paramètres!$A$1:$I$89,3,0)*0.475*44/12</f>
        <v>2.6202625591869215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15.01889128402661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>
        <f>VLOOKUP(A180,'Données projet'!$A$35:$I$55,2,0)</f>
        <v>347.04</v>
      </c>
      <c r="L180" s="12">
        <f>VLOOKUP(A180,'Données projet'!$A$35:$I$55,9,0)</f>
        <v>5.3866666666666747</v>
      </c>
      <c r="M180" s="12">
        <f t="array" ref="M180">INDEX(L:L,MIN(IF(ISNUMBER(L180:L376),ROW(L180:L376),"")))</f>
        <v>5.3866666666666747</v>
      </c>
      <c r="N180" s="13">
        <f>IF('Données projet'!$A$36&gt;35,N179+M180-V179,IF(A180&lt;'Données projet'!$A$36,$K$205^A180,IF(A180='Données projet'!$A$36,'Données projet'!$B$36,N179+M180-V179)))</f>
        <v>347.04000000000053</v>
      </c>
      <c r="O180" s="13">
        <f>N180*VLOOKUP('Données projet'!$B$9,Paramètres!$A$1:$I$89,3,0)*VLOOKUP('Données projet'!$B$9,Paramètres!$A$1:$I$89,5,0)</f>
        <v>314.00179200000048</v>
      </c>
      <c r="P180" s="13">
        <f t="shared" si="141"/>
        <v>74.103938722927282</v>
      </c>
      <c r="Q180" s="20">
        <f t="shared" si="162"/>
        <v>675.95081434243241</v>
      </c>
      <c r="R180" s="59">
        <f t="shared" si="109"/>
        <v>969.28414767576578</v>
      </c>
      <c r="S180" s="59">
        <f ca="1">AVERAGE(OFFSET($R$3,0,0,'Données projet'!$E$9+1,1))-AVERAGE(OFFSET($H$3,0,0,'Données projet'!$E$9+1,1))</f>
        <v>581.88778927327667</v>
      </c>
      <c r="T180" s="59">
        <f t="shared" si="142"/>
        <v>269.67340993773422</v>
      </c>
      <c r="U180" s="15">
        <f>IF(ISNA(VLOOKUP(A180,'Données projet'!$A$35:$I$55,3,0)),0,VLOOKUP(A180,'Données projet'!$A$35:$I$55,3,0))</f>
        <v>16</v>
      </c>
      <c r="V180" s="15">
        <f>IF(ISNA(VLOOKUP(A180,'Données projet'!$A$35:$I$55,4,0)),0,VLOOKUP(A180,'Données projet'!$A$35:$I$55,4,0))</f>
        <v>115.19</v>
      </c>
      <c r="W180" s="16">
        <f>IF(ISNA(VLOOKUP(A180,'Données projet'!$A$35:$I$55,5,0)),0%,VLOOKUP(A180,'Données projet'!$A$35:$I$55,5,0)*VLOOKUP('Données projet'!$B$9,Paramètres!$A$1:$I$89,7,0))</f>
        <v>0.25800000000000001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138.91418204963006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138.91418204963006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1.7053025658242404E-13</v>
      </c>
      <c r="AJ180" s="13">
        <f>AI180*VLOOKUP('Données projet'!$B$10,Paramètres!$A$1:$I$89,3,0)*VLOOKUP('Données projet'!$B$10,Paramètres!$A$1:$I$89,5,0)</f>
        <v>1.1173142411280423E-13</v>
      </c>
      <c r="AK180" s="13">
        <f t="shared" si="164"/>
        <v>1.6569896290553793E-12</v>
      </c>
      <c r="AL180" s="20">
        <f t="shared" si="165"/>
        <v>3.0805225009345862E-12</v>
      </c>
      <c r="AM180" s="59">
        <f t="shared" si="113"/>
        <v>293.33333333333638</v>
      </c>
      <c r="AN180" s="59">
        <f ca="1">AVERAGE(OFFSET($AM$3,0,0,'Données projet'!$E$10+1,1))-AVERAGE(OFFSET($H$3,0,0,'Données projet'!$E$10+1,1))</f>
        <v>230.58262378842818</v>
      </c>
      <c r="AO180" s="59">
        <f t="shared" si="144"/>
        <v>235.68746142880792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9.8686560880282155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9.8686560880282155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314.00179200000048</v>
      </c>
      <c r="BF180" s="13">
        <f t="shared" si="167"/>
        <v>74.103938722927282</v>
      </c>
      <c r="BG180" s="20">
        <f t="shared" si="168"/>
        <v>675.95081434243241</v>
      </c>
      <c r="BH180" s="59">
        <f t="shared" si="116"/>
        <v>969.28414767576578</v>
      </c>
      <c r="BI180" s="59">
        <f ca="1">AVERAGE(OFFSET($BH$3,0,0,'Données projet'!$E$11+1,1))-AVERAGE(OFFSET($H$3,0,0,'Données projet'!$E$11+1,1))</f>
        <v>581.88778927327667</v>
      </c>
      <c r="BJ180" s="59">
        <f t="shared" si="146"/>
        <v>269.67340993773422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138.91418204963006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138.91418204963006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330.24326400000052</v>
      </c>
      <c r="CA180" s="13">
        <f t="shared" si="170"/>
        <v>77.480739842301588</v>
      </c>
      <c r="CB180" s="20">
        <f t="shared" si="171"/>
        <v>710.11930669200956</v>
      </c>
      <c r="CC180" s="59">
        <f t="shared" si="119"/>
        <v>1003.4526400253428</v>
      </c>
      <c r="CD180" s="59">
        <f ca="1">AVERAGE(OFFSET($CC$3,0,0,'Données projet'!$E$12+1,1))-AVERAGE(OFFSET($H$3,0,0,'Données projet'!$E$12+1,1))</f>
        <v>609.60019207204277</v>
      </c>
      <c r="CE180" s="59">
        <f t="shared" si="148"/>
        <v>281.42238288764503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146.09939836254196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146.09939836254196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1.5999999999905867E-2</v>
      </c>
      <c r="CU180" s="17">
        <f>CT180*VLOOKUP('Données projet'!$B$13,Paramètres!$A$1:$I$89,3,0)*VLOOKUP('Données projet'!$B$13,Paramètres!$A$1:$I$89,5,0)</f>
        <v>1.2729599999925107E-2</v>
      </c>
      <c r="CV180" s="13">
        <f t="shared" si="173"/>
        <v>9.7491417338934176E-3</v>
      </c>
      <c r="CW180" s="20">
        <f t="shared" si="174"/>
        <v>3.9150475186400593E-2</v>
      </c>
      <c r="CX180" s="59">
        <f t="shared" si="122"/>
        <v>293.37248380851969</v>
      </c>
      <c r="CY180" s="59">
        <f ca="1">AVERAGE(OFFSET($CX$3,0,0,'Données projet'!$E$13+1,1))-AVERAGE(OFFSET($H$3,0,0,'Données projet'!$E$13+1,1))</f>
        <v>172.13940525084604</v>
      </c>
      <c r="CZ180" s="59">
        <f t="shared" si="150"/>
        <v>172.82328007157236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6.6955118861799052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6.6955118861799052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1.7053025658242404E-13</v>
      </c>
      <c r="DP180" s="17">
        <f>DO180*VLOOKUP('Données projet'!$B$14,Paramètres!$A$1:$I$89,3,0)*VLOOKUP('Données projet'!$B$14,Paramètres!$A$1:$I$89,5,0)</f>
        <v>1.250327841262333E-13</v>
      </c>
      <c r="DQ180" s="13">
        <f t="shared" si="176"/>
        <v>1.8301318724634299E-12</v>
      </c>
      <c r="DR180" s="20">
        <f t="shared" si="177"/>
        <v>3.405245110226996E-12</v>
      </c>
      <c r="DS180" s="59">
        <f t="shared" si="125"/>
        <v>293.33333333333672</v>
      </c>
      <c r="DT180" s="59">
        <f ca="1">AVERAGE(OFFSET($DS$3,0,0,'Données projet'!$E$14+1,1))-AVERAGE(OFFSET($H$3,0,0,'Données projet'!$E$14+1,1))</f>
        <v>197.34725966440715</v>
      </c>
      <c r="DU180" s="59">
        <f t="shared" si="152"/>
        <v>240.16326570529532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3.5374322105964811</v>
      </c>
      <c r="EB180" s="21">
        <f>EXP(-LN(2)/25)*EB179+(1-EXP(-LN(2)/25))/(LN(2)/25)*Calculateur!DW180*Calculateur!DY180*VLOOKUP('Données projet'!$B$14,Paramètres!$A$1:$I$89,3,0)*0.475*44/12</f>
        <v>0.91054940020870667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4.4479816108051882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5.6843418860808015E-14</v>
      </c>
      <c r="EK180" s="17">
        <f>EJ180*VLOOKUP('Données projet'!$B$15,Paramètres!$A$1:$I$89,3,0)*VLOOKUP('Données projet'!$B$15,Paramètres!$A$1:$I$89,5,0)</f>
        <v>4.4337866711430253E-14</v>
      </c>
      <c r="EL180" s="13">
        <f t="shared" si="179"/>
        <v>7.3222115536967035E-13</v>
      </c>
      <c r="EM180" s="20">
        <f t="shared" si="180"/>
        <v>1.3525069634579169E-12</v>
      </c>
      <c r="EN180" s="59">
        <f t="shared" si="128"/>
        <v>293.33333333333468</v>
      </c>
      <c r="EO180" s="59">
        <f ca="1">AVERAGE(OFFSET($EN$3,0,0,'Données projet'!$E$15+1,1))-AVERAGE(OFFSET($H$3,0,0,'Données projet'!$E$15+1,1))</f>
        <v>288.82868507674738</v>
      </c>
      <c r="EP180" s="59">
        <f t="shared" si="154"/>
        <v>283.48738729114024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12.155499177962378</v>
      </c>
      <c r="EW180" s="21">
        <f>EXP(-LN(2)/25)*EW179+(1-EXP(-LN(2)/25))/(LN(2)/25)*Calculateur!ER180*Calculateur!ET180*VLOOKUP('Données projet'!$B$15,Paramètres!$A$1:$I$89,3,0)*0.475*44/12</f>
        <v>2.5486113417123359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14.704110519674714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3.2566666666666606</v>
      </c>
      <c r="N181" s="13">
        <f>IF('Données projet'!$A$36&gt;35,N180+M181-V180,IF(A181&lt;'Données projet'!$A$36,$K$205^A181,IF(A181='Données projet'!$A$36,'Données projet'!$B$36,N180+M181-V180)))</f>
        <v>235.10666666666719</v>
      </c>
      <c r="O181" s="13">
        <f>N181*VLOOKUP('Données projet'!$B$9,Paramètres!$A$1:$I$89,3,0)*VLOOKUP('Données projet'!$B$9,Paramètres!$A$1:$I$89,5,0)</f>
        <v>212.72451200000049</v>
      </c>
      <c r="P181" s="13">
        <f t="shared" si="141"/>
        <v>52.530512718953382</v>
      </c>
      <c r="Q181" s="20">
        <f t="shared" si="162"/>
        <v>461.98583471884461</v>
      </c>
      <c r="R181" s="59">
        <f t="shared" si="109"/>
        <v>755.31916805217793</v>
      </c>
      <c r="S181" s="59">
        <f ca="1">AVERAGE(OFFSET($R$3,0,0,'Données projet'!$E$9+1,1))-AVERAGE(OFFSET($H$3,0,0,'Données projet'!$E$9+1,1))</f>
        <v>581.88778927327667</v>
      </c>
      <c r="T181" s="59">
        <f t="shared" si="142"/>
        <v>269.67340993773422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136.19015966892155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136.19015966892155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1.7053025658242404E-13</v>
      </c>
      <c r="AJ181" s="13">
        <f>AI181*VLOOKUP('Données projet'!$B$10,Paramètres!$A$1:$I$89,3,0)*VLOOKUP('Données projet'!$B$10,Paramètres!$A$1:$I$89,5,0)</f>
        <v>1.1173142411280423E-13</v>
      </c>
      <c r="AK181" s="13">
        <f t="shared" si="164"/>
        <v>1.6569896290553793E-12</v>
      </c>
      <c r="AL181" s="20">
        <f t="shared" si="165"/>
        <v>3.0805225009345862E-12</v>
      </c>
      <c r="AM181" s="59">
        <f t="shared" si="113"/>
        <v>293.33333333333638</v>
      </c>
      <c r="AN181" s="59">
        <f ca="1">AVERAGE(OFFSET($AM$3,0,0,'Données projet'!$E$10+1,1))-AVERAGE(OFFSET($H$3,0,0,'Données projet'!$E$10+1,1))</f>
        <v>230.58262378842818</v>
      </c>
      <c r="AO181" s="59">
        <f t="shared" si="144"/>
        <v>235.68746142880792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9.6751377614278411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9.6751377614278411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212.72451200000049</v>
      </c>
      <c r="BF181" s="13">
        <f t="shared" si="167"/>
        <v>52.530512718953382</v>
      </c>
      <c r="BG181" s="20">
        <f t="shared" si="168"/>
        <v>461.98583471884461</v>
      </c>
      <c r="BH181" s="59">
        <f t="shared" si="116"/>
        <v>755.31916805217793</v>
      </c>
      <c r="BI181" s="59">
        <f ca="1">AVERAGE(OFFSET($BH$3,0,0,'Données projet'!$E$11+1,1))-AVERAGE(OFFSET($H$3,0,0,'Données projet'!$E$11+1,1))</f>
        <v>581.88778927327667</v>
      </c>
      <c r="BJ181" s="59">
        <f t="shared" si="146"/>
        <v>269.67340993773422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136.19015966892155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136.19015966892155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223.72750400000049</v>
      </c>
      <c r="CA181" s="13">
        <f t="shared" si="170"/>
        <v>54.924246401772898</v>
      </c>
      <c r="CB181" s="20">
        <f t="shared" si="171"/>
        <v>485.31846528308853</v>
      </c>
      <c r="CC181" s="59">
        <f t="shared" si="119"/>
        <v>778.65179861642184</v>
      </c>
      <c r="CD181" s="59">
        <f ca="1">AVERAGE(OFFSET($CC$3,0,0,'Données projet'!$E$12+1,1))-AVERAGE(OFFSET($H$3,0,0,'Données projet'!$E$12+1,1))</f>
        <v>609.60019207204277</v>
      </c>
      <c r="CE181" s="59">
        <f t="shared" si="148"/>
        <v>281.42238288764503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143.23447827248646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143.23447827248646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1.5999999999905867E-2</v>
      </c>
      <c r="CU181" s="17">
        <f>CT181*VLOOKUP('Données projet'!$B$13,Paramètres!$A$1:$I$89,3,0)*VLOOKUP('Données projet'!$B$13,Paramètres!$A$1:$I$89,5,0)</f>
        <v>1.2729599999925107E-2</v>
      </c>
      <c r="CV181" s="13">
        <f t="shared" si="173"/>
        <v>9.7491417338934176E-3</v>
      </c>
      <c r="CW181" s="20">
        <f t="shared" si="174"/>
        <v>3.9150475186400593E-2</v>
      </c>
      <c r="CX181" s="59">
        <f t="shared" si="122"/>
        <v>293.37248380851969</v>
      </c>
      <c r="CY181" s="59">
        <f ca="1">AVERAGE(OFFSET($CX$3,0,0,'Données projet'!$E$13+1,1))-AVERAGE(OFFSET($H$3,0,0,'Données projet'!$E$13+1,1))</f>
        <v>172.13940525084604</v>
      </c>
      <c r="CZ181" s="59">
        <f t="shared" si="150"/>
        <v>172.82328007157236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6.5642169819509206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6.5642169819509206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1.7053025658242404E-13</v>
      </c>
      <c r="DP181" s="17">
        <f>DO181*VLOOKUP('Données projet'!$B$14,Paramètres!$A$1:$I$89,3,0)*VLOOKUP('Données projet'!$B$14,Paramètres!$A$1:$I$89,5,0)</f>
        <v>1.250327841262333E-13</v>
      </c>
      <c r="DQ181" s="13">
        <f t="shared" si="176"/>
        <v>1.8301318724634299E-12</v>
      </c>
      <c r="DR181" s="20">
        <f t="shared" si="177"/>
        <v>3.405245110226996E-12</v>
      </c>
      <c r="DS181" s="59">
        <f t="shared" si="125"/>
        <v>293.33333333333672</v>
      </c>
      <c r="DT181" s="59">
        <f ca="1">AVERAGE(OFFSET($DS$3,0,0,'Données projet'!$E$14+1,1))-AVERAGE(OFFSET($H$3,0,0,'Données projet'!$E$14+1,1))</f>
        <v>197.34725966440715</v>
      </c>
      <c r="DU181" s="59">
        <f t="shared" si="152"/>
        <v>240.16326570529532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3.4680653225672851</v>
      </c>
      <c r="EB181" s="21">
        <f>EXP(-LN(2)/25)*EB180+(1-EXP(-LN(2)/25))/(LN(2)/25)*Calculateur!DW181*Calculateur!DY181*VLOOKUP('Données projet'!$B$14,Paramètres!$A$1:$I$89,3,0)*0.475*44/12</f>
        <v>0.88565037897628773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4.3537157015435728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5.6843418860808015E-14</v>
      </c>
      <c r="EK181" s="17">
        <f>EJ181*VLOOKUP('Données projet'!$B$15,Paramètres!$A$1:$I$89,3,0)*VLOOKUP('Données projet'!$B$15,Paramètres!$A$1:$I$89,5,0)</f>
        <v>4.4337866711430253E-14</v>
      </c>
      <c r="EL181" s="13">
        <f t="shared" si="179"/>
        <v>7.3222115536967035E-13</v>
      </c>
      <c r="EM181" s="20">
        <f t="shared" si="180"/>
        <v>1.3525069634579169E-12</v>
      </c>
      <c r="EN181" s="59">
        <f t="shared" si="128"/>
        <v>293.33333333333468</v>
      </c>
      <c r="EO181" s="59">
        <f ca="1">AVERAGE(OFFSET($EN$3,0,0,'Données projet'!$E$15+1,1))-AVERAGE(OFFSET($H$3,0,0,'Données projet'!$E$15+1,1))</f>
        <v>288.82868507674738</v>
      </c>
      <c r="EP181" s="59">
        <f t="shared" si="154"/>
        <v>283.48738729114024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11.917137253204951</v>
      </c>
      <c r="EW181" s="21">
        <f>EXP(-LN(2)/25)*EW180+(1-EXP(-LN(2)/25))/(LN(2)/25)*Calculateur!ER181*Calculateur!ET181*VLOOKUP('Données projet'!$B$15,Paramètres!$A$1:$I$89,3,0)*0.475*44/12</f>
        <v>2.4789194305475668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14.396056683752517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3.2566666666666606</v>
      </c>
      <c r="N182" s="13">
        <f>IF('Données projet'!$A$36&gt;35,N181+M182-V181,IF(A182&lt;'Données projet'!$A$36,$K$205^A182,IF(A182='Données projet'!$A$36,'Données projet'!$B$36,N181+M182-V181)))</f>
        <v>238.36333333333386</v>
      </c>
      <c r="O182" s="13">
        <f>N182*VLOOKUP('Données projet'!$B$9,Paramètres!$A$1:$I$89,3,0)*VLOOKUP('Données projet'!$B$9,Paramètres!$A$1:$I$89,5,0)</f>
        <v>215.67114400000045</v>
      </c>
      <c r="P182" s="13">
        <f t="shared" si="141"/>
        <v>53.172944836363733</v>
      </c>
      <c r="Q182" s="20">
        <f t="shared" si="162"/>
        <v>468.23678805666754</v>
      </c>
      <c r="R182" s="59">
        <f t="shared" si="109"/>
        <v>761.57012139000085</v>
      </c>
      <c r="S182" s="59">
        <f ca="1">AVERAGE(OFFSET($R$3,0,0,'Données projet'!$E$9+1,1))-AVERAGE(OFFSET($H$3,0,0,'Données projet'!$E$9+1,1))</f>
        <v>581.88778927327667</v>
      </c>
      <c r="T182" s="59">
        <f t="shared" si="142"/>
        <v>269.67340993773422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133.51955370560913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133.51955370560913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1.7053025658242404E-13</v>
      </c>
      <c r="AJ182" s="13">
        <f>AI182*VLOOKUP('Données projet'!$B$10,Paramètres!$A$1:$I$89,3,0)*VLOOKUP('Données projet'!$B$10,Paramètres!$A$1:$I$89,5,0)</f>
        <v>1.1173142411280423E-13</v>
      </c>
      <c r="AK182" s="13">
        <f t="shared" si="164"/>
        <v>1.6569896290553793E-12</v>
      </c>
      <c r="AL182" s="20">
        <f t="shared" si="165"/>
        <v>3.0805225009345862E-12</v>
      </c>
      <c r="AM182" s="59">
        <f t="shared" si="113"/>
        <v>293.33333333333638</v>
      </c>
      <c r="AN182" s="59">
        <f ca="1">AVERAGE(OFFSET($AM$3,0,0,'Données projet'!$E$10+1,1))-AVERAGE(OFFSET($H$3,0,0,'Données projet'!$E$10+1,1))</f>
        <v>230.58262378842818</v>
      </c>
      <c r="AO182" s="59">
        <f t="shared" si="144"/>
        <v>235.68746142880792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9.4854142111775754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9.4854142111775754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215.67114400000045</v>
      </c>
      <c r="BF182" s="13">
        <f t="shared" si="167"/>
        <v>53.172944836363733</v>
      </c>
      <c r="BG182" s="20">
        <f t="shared" si="168"/>
        <v>468.23678805666754</v>
      </c>
      <c r="BH182" s="59">
        <f t="shared" si="116"/>
        <v>761.57012139000085</v>
      </c>
      <c r="BI182" s="59">
        <f ca="1">AVERAGE(OFFSET($BH$3,0,0,'Données projet'!$E$11+1,1))-AVERAGE(OFFSET($H$3,0,0,'Données projet'!$E$11+1,1))</f>
        <v>581.88778927327667</v>
      </c>
      <c r="BJ182" s="59">
        <f t="shared" si="146"/>
        <v>269.67340993773422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133.51955370560913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133.51955370560913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226.82654800000051</v>
      </c>
      <c r="CA182" s="13">
        <f t="shared" si="170"/>
        <v>55.595953150607471</v>
      </c>
      <c r="CB182" s="20">
        <f t="shared" si="171"/>
        <v>491.88585617064223</v>
      </c>
      <c r="CC182" s="59">
        <f t="shared" si="119"/>
        <v>785.21918950397549</v>
      </c>
      <c r="CD182" s="59">
        <f ca="1">AVERAGE(OFFSET($CC$3,0,0,'Données projet'!$E$12+1,1))-AVERAGE(OFFSET($H$3,0,0,'Données projet'!$E$12+1,1))</f>
        <v>609.60019207204277</v>
      </c>
      <c r="CE182" s="59">
        <f t="shared" si="148"/>
        <v>281.42238288764503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140.42573751796823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140.42573751796823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1.5999999999905867E-2</v>
      </c>
      <c r="CU182" s="17">
        <f>CT182*VLOOKUP('Données projet'!$B$13,Paramètres!$A$1:$I$89,3,0)*VLOOKUP('Données projet'!$B$13,Paramètres!$A$1:$I$89,5,0)</f>
        <v>1.2729599999925107E-2</v>
      </c>
      <c r="CV182" s="13">
        <f t="shared" si="173"/>
        <v>9.7491417338934176E-3</v>
      </c>
      <c r="CW182" s="20">
        <f t="shared" si="174"/>
        <v>3.9150475186400593E-2</v>
      </c>
      <c r="CX182" s="59">
        <f t="shared" si="122"/>
        <v>293.37248380851969</v>
      </c>
      <c r="CY182" s="59">
        <f ca="1">AVERAGE(OFFSET($CX$3,0,0,'Données projet'!$E$13+1,1))-AVERAGE(OFFSET($H$3,0,0,'Données projet'!$E$13+1,1))</f>
        <v>172.13940525084604</v>
      </c>
      <c r="CZ182" s="59">
        <f t="shared" si="150"/>
        <v>172.82328007157236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6.435496690711882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6.435496690711882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1.7053025658242404E-13</v>
      </c>
      <c r="DP182" s="17">
        <f>DO182*VLOOKUP('Données projet'!$B$14,Paramètres!$A$1:$I$89,3,0)*VLOOKUP('Données projet'!$B$14,Paramètres!$A$1:$I$89,5,0)</f>
        <v>1.250327841262333E-13</v>
      </c>
      <c r="DQ182" s="13">
        <f t="shared" si="176"/>
        <v>1.8301318724634299E-12</v>
      </c>
      <c r="DR182" s="20">
        <f t="shared" si="177"/>
        <v>3.405245110226996E-12</v>
      </c>
      <c r="DS182" s="59">
        <f t="shared" si="125"/>
        <v>293.33333333333672</v>
      </c>
      <c r="DT182" s="59">
        <f ca="1">AVERAGE(OFFSET($DS$3,0,0,'Données projet'!$E$14+1,1))-AVERAGE(OFFSET($H$3,0,0,'Données projet'!$E$14+1,1))</f>
        <v>197.34725966440715</v>
      </c>
      <c r="DU182" s="59">
        <f t="shared" si="152"/>
        <v>240.16326570529532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3.4000586769027179</v>
      </c>
      <c r="EB182" s="21">
        <f>EXP(-LN(2)/25)*EB181+(1-EXP(-LN(2)/25))/(LN(2)/25)*Calculateur!DW182*Calculateur!DY182*VLOOKUP('Données projet'!$B$14,Paramètres!$A$1:$I$89,3,0)*0.475*44/12</f>
        <v>0.8614322227888519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4.2614908996915695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5.6843418860808015E-14</v>
      </c>
      <c r="EK182" s="17">
        <f>EJ182*VLOOKUP('Données projet'!$B$15,Paramètres!$A$1:$I$89,3,0)*VLOOKUP('Données projet'!$B$15,Paramètres!$A$1:$I$89,5,0)</f>
        <v>4.4337866711430253E-14</v>
      </c>
      <c r="EL182" s="13">
        <f t="shared" si="179"/>
        <v>7.3222115536967035E-13</v>
      </c>
      <c r="EM182" s="20">
        <f t="shared" si="180"/>
        <v>1.3525069634579169E-12</v>
      </c>
      <c r="EN182" s="59">
        <f t="shared" si="128"/>
        <v>293.33333333333468</v>
      </c>
      <c r="EO182" s="59">
        <f ca="1">AVERAGE(OFFSET($EN$3,0,0,'Données projet'!$E$15+1,1))-AVERAGE(OFFSET($H$3,0,0,'Données projet'!$E$15+1,1))</f>
        <v>288.82868507674738</v>
      </c>
      <c r="EP182" s="59">
        <f t="shared" si="154"/>
        <v>283.48738729114024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11.683449460405598</v>
      </c>
      <c r="EW182" s="21">
        <f>EXP(-LN(2)/25)*EW181+(1-EXP(-LN(2)/25))/(LN(2)/25)*Calculateur!ER182*Calculateur!ET182*VLOOKUP('Données projet'!$B$15,Paramètres!$A$1:$I$89,3,0)*0.475*44/12</f>
        <v>2.4111332483585364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14.094582708764134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>
        <f>VLOOKUP(A183,'Données projet'!$A$35:$I$55,2,0)</f>
        <v>241.62</v>
      </c>
      <c r="L183" s="12">
        <f>VLOOKUP(A183,'Données projet'!$A$35:$I$55,9,0)</f>
        <v>3.2566666666666606</v>
      </c>
      <c r="M183" s="12">
        <f t="array" ref="M183">INDEX(L:L,MIN(IF(ISNUMBER(L183:L379),ROW(L183:L379),"")))</f>
        <v>3.2566666666666606</v>
      </c>
      <c r="N183" s="13">
        <f>IF('Données projet'!$A$36&gt;35,N182+M183-V182,IF(A183&lt;'Données projet'!$A$36,$K$205^A183,IF(A183='Données projet'!$A$36,'Données projet'!$B$36,N182+M183-V182)))</f>
        <v>241.62000000000052</v>
      </c>
      <c r="O183" s="13">
        <f>N183*VLOOKUP('Données projet'!$B$9,Paramètres!$A$1:$I$89,3,0)*VLOOKUP('Données projet'!$B$9,Paramètres!$A$1:$I$89,5,0)</f>
        <v>218.61777600000045</v>
      </c>
      <c r="P183" s="13">
        <f t="shared" si="141"/>
        <v>53.814356054061541</v>
      </c>
      <c r="Q183" s="20">
        <f t="shared" si="162"/>
        <v>474.48596332749122</v>
      </c>
      <c r="R183" s="59">
        <f t="shared" si="109"/>
        <v>767.81929666082453</v>
      </c>
      <c r="S183" s="59">
        <f ca="1">AVERAGE(OFFSET($R$3,0,0,'Données projet'!$E$9+1,1))-AVERAGE(OFFSET($H$3,0,0,'Données projet'!$E$9+1,1))</f>
        <v>581.88778927327667</v>
      </c>
      <c r="T183" s="59">
        <f t="shared" si="142"/>
        <v>269.67340993773422</v>
      </c>
      <c r="U183" s="15">
        <f>IF(ISNA(VLOOKUP(A183,'Données projet'!$A$35:$I$55,3,0)),0,VLOOKUP(A183,'Données projet'!$A$35:$I$55,3,0))</f>
        <v>17</v>
      </c>
      <c r="V183" s="15">
        <f>IF(ISNA(VLOOKUP(A183,'Données projet'!$A$35:$I$55,4,0)),0,VLOOKUP(A183,'Données projet'!$A$35:$I$55,4,0))</f>
        <v>77.72</v>
      </c>
      <c r="W183" s="16">
        <f>IF(ISNA(VLOOKUP(A183,'Données projet'!$A$35:$I$55,5,0)),0%,VLOOKUP(A183,'Données projet'!$A$35:$I$55,5,0)*VLOOKUP('Données projet'!$B$9,Paramètres!$A$1:$I$89,7,0))</f>
        <v>0.25800000000000001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150.95768056842175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150.95768056842175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1.7053025658242404E-13</v>
      </c>
      <c r="AJ183" s="13">
        <f>AI183*VLOOKUP('Données projet'!$B$10,Paramètres!$A$1:$I$89,3,0)*VLOOKUP('Données projet'!$B$10,Paramètres!$A$1:$I$89,5,0)</f>
        <v>1.1173142411280423E-13</v>
      </c>
      <c r="AK183" s="13">
        <f t="shared" si="164"/>
        <v>1.6569896290553793E-12</v>
      </c>
      <c r="AL183" s="20">
        <f t="shared" si="165"/>
        <v>3.0805225009345862E-12</v>
      </c>
      <c r="AM183" s="59">
        <f t="shared" si="113"/>
        <v>293.33333333333638</v>
      </c>
      <c r="AN183" s="59">
        <f ca="1">AVERAGE(OFFSET($AM$3,0,0,'Données projet'!$E$10+1,1))-AVERAGE(OFFSET($H$3,0,0,'Données projet'!$E$10+1,1))</f>
        <v>230.58262378842818</v>
      </c>
      <c r="AO183" s="59">
        <f t="shared" si="144"/>
        <v>235.68746142880792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9.2994110240277781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9.2994110240277781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218.61777600000045</v>
      </c>
      <c r="BF183" s="13">
        <f t="shared" si="167"/>
        <v>53.814356054061541</v>
      </c>
      <c r="BG183" s="20">
        <f t="shared" si="168"/>
        <v>474.48596332749122</v>
      </c>
      <c r="BH183" s="59">
        <f t="shared" si="116"/>
        <v>767.81929666082453</v>
      </c>
      <c r="BI183" s="59">
        <f ca="1">AVERAGE(OFFSET($BH$3,0,0,'Données projet'!$E$11+1,1))-AVERAGE(OFFSET($H$3,0,0,'Données projet'!$E$11+1,1))</f>
        <v>581.88778927327667</v>
      </c>
      <c r="BJ183" s="59">
        <f t="shared" si="146"/>
        <v>269.67340993773422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150.95768056842175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150.95768056842175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229.92559200000051</v>
      </c>
      <c r="CA183" s="13">
        <f t="shared" si="170"/>
        <v>56.266592478918923</v>
      </c>
      <c r="CB183" s="20">
        <f t="shared" si="171"/>
        <v>498.45138796745135</v>
      </c>
      <c r="CC183" s="59">
        <f t="shared" si="119"/>
        <v>791.78472130078467</v>
      </c>
      <c r="CD183" s="59">
        <f ca="1">AVERAGE(OFFSET($CC$3,0,0,'Données projet'!$E$12+1,1))-AVERAGE(OFFSET($H$3,0,0,'Données projet'!$E$12+1,1))</f>
        <v>609.60019207204277</v>
      </c>
      <c r="CE183" s="59">
        <f t="shared" si="148"/>
        <v>281.42238288764503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158.76583645989186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158.76583645989186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1.5999999999905867E-2</v>
      </c>
      <c r="CU183" s="17">
        <f>CT183*VLOOKUP('Données projet'!$B$13,Paramètres!$A$1:$I$89,3,0)*VLOOKUP('Données projet'!$B$13,Paramètres!$A$1:$I$89,5,0)</f>
        <v>1.2729599999925107E-2</v>
      </c>
      <c r="CV183" s="13">
        <f t="shared" si="173"/>
        <v>9.7491417338934176E-3</v>
      </c>
      <c r="CW183" s="20">
        <f t="shared" si="174"/>
        <v>3.9150475186400593E-2</v>
      </c>
      <c r="CX183" s="59">
        <f t="shared" si="122"/>
        <v>293.37248380851969</v>
      </c>
      <c r="CY183" s="59">
        <f ca="1">AVERAGE(OFFSET($CX$3,0,0,'Données projet'!$E$13+1,1))-AVERAGE(OFFSET($H$3,0,0,'Données projet'!$E$13+1,1))</f>
        <v>172.13940525084604</v>
      </c>
      <c r="CZ183" s="59">
        <f t="shared" si="150"/>
        <v>172.82328007157236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6.3093005258724153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6.3093005258724153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1.7053025658242404E-13</v>
      </c>
      <c r="DP183" s="17">
        <f>DO183*VLOOKUP('Données projet'!$B$14,Paramètres!$A$1:$I$89,3,0)*VLOOKUP('Données projet'!$B$14,Paramètres!$A$1:$I$89,5,0)</f>
        <v>1.250327841262333E-13</v>
      </c>
      <c r="DQ183" s="13">
        <f t="shared" si="176"/>
        <v>1.8301318724634299E-12</v>
      </c>
      <c r="DR183" s="20">
        <f t="shared" si="177"/>
        <v>3.405245110226996E-12</v>
      </c>
      <c r="DS183" s="59">
        <f t="shared" si="125"/>
        <v>293.33333333333672</v>
      </c>
      <c r="DT183" s="59">
        <f ca="1">AVERAGE(OFFSET($DS$3,0,0,'Données projet'!$E$14+1,1))-AVERAGE(OFFSET($H$3,0,0,'Données projet'!$E$14+1,1))</f>
        <v>197.34725966440715</v>
      </c>
      <c r="DU183" s="59">
        <f t="shared" si="152"/>
        <v>240.16326570529532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3.3333856000796747</v>
      </c>
      <c r="EB183" s="21">
        <f>EXP(-LN(2)/25)*EB182+(1-EXP(-LN(2)/25))/(LN(2)/25)*Calculateur!DW183*Calculateur!DY183*VLOOKUP('Données projet'!$B$14,Paramètres!$A$1:$I$89,3,0)*0.475*44/12</f>
        <v>0.83787631335593893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4.1712619134356137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5.6843418860808015E-14</v>
      </c>
      <c r="EK183" s="17">
        <f>EJ183*VLOOKUP('Données projet'!$B$15,Paramètres!$A$1:$I$89,3,0)*VLOOKUP('Données projet'!$B$15,Paramètres!$A$1:$I$89,5,0)</f>
        <v>4.4337866711430253E-14</v>
      </c>
      <c r="EL183" s="13">
        <f t="shared" si="179"/>
        <v>7.3222115536967035E-13</v>
      </c>
      <c r="EM183" s="20">
        <f t="shared" si="180"/>
        <v>1.3525069634579169E-12</v>
      </c>
      <c r="EN183" s="59">
        <f t="shared" si="128"/>
        <v>293.33333333333468</v>
      </c>
      <c r="EO183" s="59">
        <f ca="1">AVERAGE(OFFSET($EN$3,0,0,'Données projet'!$E$15+1,1))-AVERAGE(OFFSET($H$3,0,0,'Données projet'!$E$15+1,1))</f>
        <v>288.82868507674738</v>
      </c>
      <c r="EP183" s="59">
        <f t="shared" si="154"/>
        <v>283.48738729114024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11.45434414268756</v>
      </c>
      <c r="EW183" s="21">
        <f>EXP(-LN(2)/25)*EW182+(1-EXP(-LN(2)/25))/(LN(2)/25)*Calculateur!ER183*Calculateur!ET183*VLOOKUP('Données projet'!$B$15,Paramètres!$A$1:$I$89,3,0)*0.475*44/12</f>
        <v>2.3452006828861856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13.799544825573745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1.9533333333333285</v>
      </c>
      <c r="N184" s="13">
        <f>IF('Données projet'!$A$36&gt;35,N183+M184-V183,IF(A184&lt;'Données projet'!$A$36,$K$205^A184,IF(A184='Données projet'!$A$36,'Données projet'!$B$36,N183+M184-V183)))</f>
        <v>165.85333333333384</v>
      </c>
      <c r="O184" s="13">
        <f>N184*VLOOKUP('Données projet'!$B$9,Paramètres!$A$1:$I$89,3,0)*VLOOKUP('Données projet'!$B$9,Paramètres!$A$1:$I$89,5,0)</f>
        <v>150.06409600000046</v>
      </c>
      <c r="P184" s="13">
        <f t="shared" si="141"/>
        <v>38.593151304664545</v>
      </c>
      <c r="Q184" s="20">
        <f t="shared" si="162"/>
        <v>328.57803905562486</v>
      </c>
      <c r="R184" s="59">
        <f t="shared" si="109"/>
        <v>621.91137238895817</v>
      </c>
      <c r="S184" s="59">
        <f ca="1">AVERAGE(OFFSET($R$3,0,0,'Données projet'!$E$9+1,1))-AVERAGE(OFFSET($H$3,0,0,'Données projet'!$E$9+1,1))</f>
        <v>581.88778927327667</v>
      </c>
      <c r="T184" s="59">
        <f t="shared" si="142"/>
        <v>269.67340993773422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147.99749252756848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147.99749252756848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1.7053025658242404E-13</v>
      </c>
      <c r="AJ184" s="13">
        <f>AI184*VLOOKUP('Données projet'!$B$10,Paramètres!$A$1:$I$89,3,0)*VLOOKUP('Données projet'!$B$10,Paramètres!$A$1:$I$89,5,0)</f>
        <v>1.1173142411280423E-13</v>
      </c>
      <c r="AK184" s="13">
        <f t="shared" si="164"/>
        <v>1.6569896290553793E-12</v>
      </c>
      <c r="AL184" s="20">
        <f t="shared" si="165"/>
        <v>3.0805225009345862E-12</v>
      </c>
      <c r="AM184" s="59">
        <f t="shared" si="113"/>
        <v>293.33333333333638</v>
      </c>
      <c r="AN184" s="59">
        <f ca="1">AVERAGE(OFFSET($AM$3,0,0,'Données projet'!$E$10+1,1))-AVERAGE(OFFSET($H$3,0,0,'Données projet'!$E$10+1,1))</f>
        <v>230.58262378842818</v>
      </c>
      <c r="AO184" s="59">
        <f t="shared" si="144"/>
        <v>235.68746142880792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9.1170552459272471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9.1170552459272471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150.06409600000046</v>
      </c>
      <c r="BF184" s="13">
        <f t="shared" si="167"/>
        <v>38.593151304664545</v>
      </c>
      <c r="BG184" s="20">
        <f t="shared" si="168"/>
        <v>328.57803905562486</v>
      </c>
      <c r="BH184" s="59">
        <f t="shared" si="116"/>
        <v>621.91137238895817</v>
      </c>
      <c r="BI184" s="59">
        <f ca="1">AVERAGE(OFFSET($BH$3,0,0,'Données projet'!$E$11+1,1))-AVERAGE(OFFSET($H$3,0,0,'Données projet'!$E$11+1,1))</f>
        <v>581.88778927327667</v>
      </c>
      <c r="BJ184" s="59">
        <f t="shared" si="146"/>
        <v>269.67340993773422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147.99749252756848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147.99749252756848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157.82603200000048</v>
      </c>
      <c r="CA184" s="13">
        <f t="shared" si="170"/>
        <v>40.351781126124386</v>
      </c>
      <c r="CB184" s="20">
        <f t="shared" si="171"/>
        <v>345.15969119466746</v>
      </c>
      <c r="CC184" s="59">
        <f t="shared" si="119"/>
        <v>638.49302452800077</v>
      </c>
      <c r="CD184" s="59">
        <f ca="1">AVERAGE(OFFSET($CC$3,0,0,'Données projet'!$E$12+1,1))-AVERAGE(OFFSET($H$3,0,0,'Données projet'!$E$12+1,1))</f>
        <v>609.60019207204277</v>
      </c>
      <c r="CE184" s="59">
        <f t="shared" si="148"/>
        <v>281.42238288764503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155.65253524451171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155.65253524451171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1.5999999999905867E-2</v>
      </c>
      <c r="CU184" s="17">
        <f>CT184*VLOOKUP('Données projet'!$B$13,Paramètres!$A$1:$I$89,3,0)*VLOOKUP('Données projet'!$B$13,Paramètres!$A$1:$I$89,5,0)</f>
        <v>1.2729599999925107E-2</v>
      </c>
      <c r="CV184" s="13">
        <f t="shared" si="173"/>
        <v>9.7491417338934176E-3</v>
      </c>
      <c r="CW184" s="20">
        <f t="shared" si="174"/>
        <v>3.9150475186400593E-2</v>
      </c>
      <c r="CX184" s="59">
        <f t="shared" si="122"/>
        <v>293.37248380851969</v>
      </c>
      <c r="CY184" s="59">
        <f ca="1">AVERAGE(OFFSET($CX$3,0,0,'Données projet'!$E$13+1,1))-AVERAGE(OFFSET($H$3,0,0,'Données projet'!$E$13+1,1))</f>
        <v>172.13940525084604</v>
      </c>
      <c r="CZ184" s="59">
        <f t="shared" si="150"/>
        <v>172.82328007157236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6.1855789908533909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6.1855789908533909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1.7053025658242404E-13</v>
      </c>
      <c r="DP184" s="17">
        <f>DO184*VLOOKUP('Données projet'!$B$14,Paramètres!$A$1:$I$89,3,0)*VLOOKUP('Données projet'!$B$14,Paramètres!$A$1:$I$89,5,0)</f>
        <v>1.250327841262333E-13</v>
      </c>
      <c r="DQ184" s="13">
        <f t="shared" si="176"/>
        <v>1.8301318724634299E-12</v>
      </c>
      <c r="DR184" s="20">
        <f t="shared" si="177"/>
        <v>3.405245110226996E-12</v>
      </c>
      <c r="DS184" s="59">
        <f t="shared" si="125"/>
        <v>293.33333333333672</v>
      </c>
      <c r="DT184" s="59">
        <f ca="1">AVERAGE(OFFSET($DS$3,0,0,'Données projet'!$E$14+1,1))-AVERAGE(OFFSET($H$3,0,0,'Données projet'!$E$14+1,1))</f>
        <v>197.34725966440715</v>
      </c>
      <c r="DU184" s="59">
        <f t="shared" si="152"/>
        <v>240.16326570529532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3.2680199416265698</v>
      </c>
      <c r="EB184" s="21">
        <f>EXP(-LN(2)/25)*EB183+(1-EXP(-LN(2)/25))/(LN(2)/25)*Calculateur!DW184*Calculateur!DY184*VLOOKUP('Données projet'!$B$14,Paramètres!$A$1:$I$89,3,0)*0.475*44/12</f>
        <v>0.81496454150522046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4.0829844831317903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5.6843418860808015E-14</v>
      </c>
      <c r="EK184" s="17">
        <f>EJ184*VLOOKUP('Données projet'!$B$15,Paramètres!$A$1:$I$89,3,0)*VLOOKUP('Données projet'!$B$15,Paramètres!$A$1:$I$89,5,0)</f>
        <v>4.4337866711430253E-14</v>
      </c>
      <c r="EL184" s="13">
        <f t="shared" si="179"/>
        <v>7.3222115536967035E-13</v>
      </c>
      <c r="EM184" s="20">
        <f t="shared" si="180"/>
        <v>1.3525069634579169E-12</v>
      </c>
      <c r="EN184" s="59">
        <f t="shared" si="128"/>
        <v>293.33333333333468</v>
      </c>
      <c r="EO184" s="59">
        <f ca="1">AVERAGE(OFFSET($EN$3,0,0,'Données projet'!$E$15+1,1))-AVERAGE(OFFSET($H$3,0,0,'Données projet'!$E$15+1,1))</f>
        <v>288.82868507674738</v>
      </c>
      <c r="EP184" s="59">
        <f t="shared" si="154"/>
        <v>283.48738729114024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11.229731440509529</v>
      </c>
      <c r="EW184" s="21">
        <f>EXP(-LN(2)/25)*EW183+(1-EXP(-LN(2)/25))/(LN(2)/25)*Calculateur!ER184*Calculateur!ET184*VLOOKUP('Données projet'!$B$15,Paramètres!$A$1:$I$89,3,0)*0.475*44/12</f>
        <v>2.2810710468839188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13.510802487393448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1.9533333333333285</v>
      </c>
      <c r="N185" s="13">
        <f>IF('Données projet'!$A$36&gt;35,N184+M185-V184,IF(A185&lt;'Données projet'!$A$36,$K$205^A185,IF(A185='Données projet'!$A$36,'Données projet'!$B$36,N184+M185-V184)))</f>
        <v>167.80666666666716</v>
      </c>
      <c r="O185" s="13">
        <f>N185*VLOOKUP('Données projet'!$B$9,Paramètres!$A$1:$I$89,3,0)*VLOOKUP('Données projet'!$B$9,Paramètres!$A$1:$I$89,5,0)</f>
        <v>151.83147200000045</v>
      </c>
      <c r="P185" s="13">
        <f t="shared" si="141"/>
        <v>38.994499777620597</v>
      </c>
      <c r="Q185" s="20">
        <f t="shared" si="162"/>
        <v>332.35523417935661</v>
      </c>
      <c r="R185" s="59">
        <f t="shared" si="109"/>
        <v>625.68856751268993</v>
      </c>
      <c r="S185" s="59">
        <f ca="1">AVERAGE(OFFSET($R$3,0,0,'Données projet'!$E$9+1,1))-AVERAGE(OFFSET($H$3,0,0,'Données projet'!$E$9+1,1))</f>
        <v>581.88778927327667</v>
      </c>
      <c r="T185" s="59">
        <f t="shared" si="142"/>
        <v>269.67340993773422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145.09535196865994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145.09535196865994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1.7053025658242404E-13</v>
      </c>
      <c r="AJ185" s="13">
        <f>AI185*VLOOKUP('Données projet'!$B$10,Paramètres!$A$1:$I$89,3,0)*VLOOKUP('Données projet'!$B$10,Paramètres!$A$1:$I$89,5,0)</f>
        <v>1.1173142411280423E-13</v>
      </c>
      <c r="AK185" s="13">
        <f t="shared" si="164"/>
        <v>1.6569896290553793E-12</v>
      </c>
      <c r="AL185" s="20">
        <f t="shared" si="165"/>
        <v>3.0805225009345862E-12</v>
      </c>
      <c r="AM185" s="59">
        <f t="shared" si="113"/>
        <v>293.33333333333638</v>
      </c>
      <c r="AN185" s="59">
        <f ca="1">AVERAGE(OFFSET($AM$3,0,0,'Données projet'!$E$10+1,1))-AVERAGE(OFFSET($H$3,0,0,'Données projet'!$E$10+1,1))</f>
        <v>230.58262378842818</v>
      </c>
      <c r="AO185" s="59">
        <f t="shared" si="144"/>
        <v>235.68746142880792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8.9382753534092245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8.9382753534092245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151.83147200000045</v>
      </c>
      <c r="BF185" s="13">
        <f t="shared" si="167"/>
        <v>38.994499777620597</v>
      </c>
      <c r="BG185" s="20">
        <f t="shared" si="168"/>
        <v>332.35523417935661</v>
      </c>
      <c r="BH185" s="59">
        <f t="shared" si="116"/>
        <v>625.68856751268993</v>
      </c>
      <c r="BI185" s="59">
        <f ca="1">AVERAGE(OFFSET($BH$3,0,0,'Données projet'!$E$11+1,1))-AVERAGE(OFFSET($H$3,0,0,'Données projet'!$E$11+1,1))</f>
        <v>581.88778927327667</v>
      </c>
      <c r="BJ185" s="59">
        <f t="shared" si="146"/>
        <v>269.67340993773422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145.09535196865994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145.09535196865994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159.68482400000048</v>
      </c>
      <c r="CA185" s="13">
        <f t="shared" si="170"/>
        <v>40.771418424156359</v>
      </c>
      <c r="CB185" s="20">
        <f t="shared" si="171"/>
        <v>349.12795555540646</v>
      </c>
      <c r="CC185" s="59">
        <f t="shared" si="119"/>
        <v>642.46128888873977</v>
      </c>
      <c r="CD185" s="59">
        <f ca="1">AVERAGE(OFFSET($CC$3,0,0,'Données projet'!$E$12+1,1))-AVERAGE(OFFSET($H$3,0,0,'Données projet'!$E$12+1,1))</f>
        <v>609.60019207204277</v>
      </c>
      <c r="CE185" s="59">
        <f t="shared" si="148"/>
        <v>281.42238288764503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152.60028396703893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152.60028396703893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1.5999999999905867E-2</v>
      </c>
      <c r="CU185" s="17">
        <f>CT185*VLOOKUP('Données projet'!$B$13,Paramètres!$A$1:$I$89,3,0)*VLOOKUP('Données projet'!$B$13,Paramètres!$A$1:$I$89,5,0)</f>
        <v>1.2729599999925107E-2</v>
      </c>
      <c r="CV185" s="13">
        <f t="shared" si="173"/>
        <v>9.7491417338934176E-3</v>
      </c>
      <c r="CW185" s="20">
        <f t="shared" si="174"/>
        <v>3.9150475186400593E-2</v>
      </c>
      <c r="CX185" s="59">
        <f t="shared" si="122"/>
        <v>293.37248380851969</v>
      </c>
      <c r="CY185" s="59">
        <f ca="1">AVERAGE(OFFSET($CX$3,0,0,'Données projet'!$E$13+1,1))-AVERAGE(OFFSET($H$3,0,0,'Données projet'!$E$13+1,1))</f>
        <v>172.13940525084604</v>
      </c>
      <c r="CZ185" s="59">
        <f t="shared" si="150"/>
        <v>172.82328007157236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6.0642835596734042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6.0642835596734042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1.7053025658242404E-13</v>
      </c>
      <c r="DP185" s="17">
        <f>DO185*VLOOKUP('Données projet'!$B$14,Paramètres!$A$1:$I$89,3,0)*VLOOKUP('Données projet'!$B$14,Paramètres!$A$1:$I$89,5,0)</f>
        <v>1.250327841262333E-13</v>
      </c>
      <c r="DQ185" s="13">
        <f t="shared" si="176"/>
        <v>1.8301318724634299E-12</v>
      </c>
      <c r="DR185" s="20">
        <f t="shared" si="177"/>
        <v>3.405245110226996E-12</v>
      </c>
      <c r="DS185" s="59">
        <f t="shared" si="125"/>
        <v>293.33333333333672</v>
      </c>
      <c r="DT185" s="59">
        <f ca="1">AVERAGE(OFFSET($DS$3,0,0,'Données projet'!$E$14+1,1))-AVERAGE(OFFSET($H$3,0,0,'Données projet'!$E$14+1,1))</f>
        <v>197.34725966440715</v>
      </c>
      <c r="DU185" s="59">
        <f t="shared" si="152"/>
        <v>240.16326570529532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3.2039360638666157</v>
      </c>
      <c r="EB185" s="21">
        <f>EXP(-LN(2)/25)*EB184+(1-EXP(-LN(2)/25))/(LN(2)/25)*Calculateur!DW185*Calculateur!DY185*VLOOKUP('Données projet'!$B$14,Paramètres!$A$1:$I$89,3,0)*0.475*44/12</f>
        <v>0.79267929326063757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3.9966153571272534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5.6843418860808015E-14</v>
      </c>
      <c r="EK185" s="17">
        <f>EJ185*VLOOKUP('Données projet'!$B$15,Paramètres!$A$1:$I$89,3,0)*VLOOKUP('Données projet'!$B$15,Paramètres!$A$1:$I$89,5,0)</f>
        <v>4.4337866711430253E-14</v>
      </c>
      <c r="EL185" s="13">
        <f t="shared" si="179"/>
        <v>7.3222115536967035E-13</v>
      </c>
      <c r="EM185" s="20">
        <f t="shared" si="180"/>
        <v>1.3525069634579169E-12</v>
      </c>
      <c r="EN185" s="59">
        <f t="shared" si="128"/>
        <v>293.33333333333468</v>
      </c>
      <c r="EO185" s="59">
        <f ca="1">AVERAGE(OFFSET($EN$3,0,0,'Données projet'!$E$15+1,1))-AVERAGE(OFFSET($H$3,0,0,'Données projet'!$E$15+1,1))</f>
        <v>288.82868507674738</v>
      </c>
      <c r="EP185" s="59">
        <f t="shared" si="154"/>
        <v>283.48738729114024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11.009523256420987</v>
      </c>
      <c r="EW185" s="21">
        <f>EXP(-LN(2)/25)*EW184+(1-EXP(-LN(2)/25))/(LN(2)/25)*Calculateur!ER185*Calculateur!ET185*VLOOKUP('Données projet'!$B$15,Paramètres!$A$1:$I$89,3,0)*0.475*44/12</f>
        <v>2.2186950391505653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13.228218295571553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>
        <f>VLOOKUP(A186,'Données projet'!$A$35:$I$55,2,0)</f>
        <v>169.76</v>
      </c>
      <c r="L186" s="12">
        <f>VLOOKUP(A186,'Données projet'!$A$35:$I$55,9,0)</f>
        <v>1.9533333333333285</v>
      </c>
      <c r="M186" s="12">
        <f t="array" ref="M186">INDEX(L:L,MIN(IF(ISNUMBER(L186:L382),ROW(L186:L382),"")))</f>
        <v>1.9533333333333285</v>
      </c>
      <c r="N186" s="13">
        <f>IF('Données projet'!$A$36&gt;35,N185+M186-V185,IF(A186&lt;'Données projet'!$A$36,$K$205^A186,IF(A186='Données projet'!$A$36,'Données projet'!$B$36,N185+M186-V185)))</f>
        <v>169.76000000000047</v>
      </c>
      <c r="O186" s="13">
        <f>N186*VLOOKUP('Données projet'!$B$9,Paramètres!$A$1:$I$89,3,0)*VLOOKUP('Données projet'!$B$9,Paramètres!$A$1:$I$89,5,0)</f>
        <v>153.5988480000004</v>
      </c>
      <c r="P186" s="13">
        <f t="shared" si="141"/>
        <v>39.395304802658316</v>
      </c>
      <c r="Q186" s="20">
        <f t="shared" si="162"/>
        <v>336.13148279796388</v>
      </c>
      <c r="R186" s="59">
        <f t="shared" si="109"/>
        <v>629.4648161312972</v>
      </c>
      <c r="S186" s="59">
        <f ca="1">AVERAGE(OFFSET($R$3,0,0,'Données projet'!$E$9+1,1))-AVERAGE(OFFSET($H$3,0,0,'Données projet'!$E$9+1,1))</f>
        <v>581.88778927327667</v>
      </c>
      <c r="T186" s="59">
        <f t="shared" si="142"/>
        <v>269.67340993773422</v>
      </c>
      <c r="U186" s="15">
        <f>IF(ISNA(VLOOKUP(A186,'Données projet'!$A$35:$I$55,3,0)),0,VLOOKUP(A186,'Données projet'!$A$35:$I$55,3,0))</f>
        <v>18</v>
      </c>
      <c r="V186" s="15">
        <f>IF(ISNA(VLOOKUP(A186,'Données projet'!$A$35:$I$55,4,0)),0,VLOOKUP(A186,'Données projet'!$A$35:$I$55,4,0))</f>
        <v>169.76</v>
      </c>
      <c r="W186" s="16">
        <f>IF(ISNA(VLOOKUP(A186,'Données projet'!$A$35:$I$55,5,0)),0%,VLOOKUP(A186,'Données projet'!$A$35:$I$55,5,0)*VLOOKUP('Données projet'!$B$9,Paramètres!$A$1:$I$89,7,0))</f>
        <v>0.25800000000000001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186.05825662893167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186.05825662893167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1.7053025658242404E-13</v>
      </c>
      <c r="AJ186" s="13">
        <f>AI186*VLOOKUP('Données projet'!$B$10,Paramètres!$A$1:$I$89,3,0)*VLOOKUP('Données projet'!$B$10,Paramètres!$A$1:$I$89,5,0)</f>
        <v>1.1173142411280423E-13</v>
      </c>
      <c r="AK186" s="13">
        <f t="shared" si="164"/>
        <v>1.6569896290553793E-12</v>
      </c>
      <c r="AL186" s="20">
        <f t="shared" si="165"/>
        <v>3.0805225009345862E-12</v>
      </c>
      <c r="AM186" s="59">
        <f t="shared" si="113"/>
        <v>293.33333333333638</v>
      </c>
      <c r="AN186" s="59">
        <f ca="1">AVERAGE(OFFSET($AM$3,0,0,'Données projet'!$E$10+1,1))-AVERAGE(OFFSET($H$3,0,0,'Données projet'!$E$10+1,1))</f>
        <v>230.58262378842818</v>
      </c>
      <c r="AO186" s="59">
        <f t="shared" si="144"/>
        <v>235.68746142880792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8.7630012255385132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8.7630012255385132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153.5988480000004</v>
      </c>
      <c r="BF186" s="13">
        <f t="shared" si="167"/>
        <v>39.395304802658316</v>
      </c>
      <c r="BG186" s="20">
        <f t="shared" si="168"/>
        <v>336.13148279796388</v>
      </c>
      <c r="BH186" s="59">
        <f t="shared" si="116"/>
        <v>629.4648161312972</v>
      </c>
      <c r="BI186" s="59">
        <f ca="1">AVERAGE(OFFSET($BH$3,0,0,'Données projet'!$E$11+1,1))-AVERAGE(OFFSET($H$3,0,0,'Données projet'!$E$11+1,1))</f>
        <v>581.88778927327667</v>
      </c>
      <c r="BJ186" s="59">
        <f t="shared" si="146"/>
        <v>269.67340993773422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186.05825662893167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186.05825662893167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161.54361600000044</v>
      </c>
      <c r="CA186" s="13">
        <f t="shared" si="170"/>
        <v>41.190487510194309</v>
      </c>
      <c r="CB186" s="20">
        <f t="shared" si="171"/>
        <v>353.09523028025586</v>
      </c>
      <c r="CC186" s="59">
        <f t="shared" si="119"/>
        <v>646.42856361358918</v>
      </c>
      <c r="CD186" s="59">
        <f ca="1">AVERAGE(OFFSET($CC$3,0,0,'Données projet'!$E$12+1,1))-AVERAGE(OFFSET($H$3,0,0,'Données projet'!$E$12+1,1))</f>
        <v>609.60019207204277</v>
      </c>
      <c r="CE186" s="59">
        <f t="shared" si="148"/>
        <v>281.42238288764503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195.68195955801437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195.68195955801437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1.5999999999905867E-2</v>
      </c>
      <c r="CU186" s="17">
        <f>CT186*VLOOKUP('Données projet'!$B$13,Paramètres!$A$1:$I$89,3,0)*VLOOKUP('Données projet'!$B$13,Paramètres!$A$1:$I$89,5,0)</f>
        <v>1.2729599999925107E-2</v>
      </c>
      <c r="CV186" s="13">
        <f t="shared" si="173"/>
        <v>9.7491417338934176E-3</v>
      </c>
      <c r="CW186" s="20">
        <f t="shared" si="174"/>
        <v>3.9150475186400593E-2</v>
      </c>
      <c r="CX186" s="59">
        <f t="shared" si="122"/>
        <v>293.37248380851969</v>
      </c>
      <c r="CY186" s="59">
        <f ca="1">AVERAGE(OFFSET($CX$3,0,0,'Données projet'!$E$13+1,1))-AVERAGE(OFFSET($H$3,0,0,'Données projet'!$E$13+1,1))</f>
        <v>172.13940525084604</v>
      </c>
      <c r="CZ186" s="59">
        <f t="shared" si="150"/>
        <v>172.82328007157236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5.9453666579159492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5.9453666579159492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1.7053025658242404E-13</v>
      </c>
      <c r="DP186" s="17">
        <f>DO186*VLOOKUP('Données projet'!$B$14,Paramètres!$A$1:$I$89,3,0)*VLOOKUP('Données projet'!$B$14,Paramètres!$A$1:$I$89,5,0)</f>
        <v>1.250327841262333E-13</v>
      </c>
      <c r="DQ186" s="13">
        <f t="shared" si="176"/>
        <v>1.8301318724634299E-12</v>
      </c>
      <c r="DR186" s="20">
        <f t="shared" si="177"/>
        <v>3.405245110226996E-12</v>
      </c>
      <c r="DS186" s="59">
        <f t="shared" si="125"/>
        <v>293.33333333333672</v>
      </c>
      <c r="DT186" s="59">
        <f ca="1">AVERAGE(OFFSET($DS$3,0,0,'Données projet'!$E$14+1,1))-AVERAGE(OFFSET($H$3,0,0,'Données projet'!$E$14+1,1))</f>
        <v>197.34725966440715</v>
      </c>
      <c r="DU186" s="59">
        <f t="shared" si="152"/>
        <v>240.16326570529532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3.1411088318622284</v>
      </c>
      <c r="EB186" s="21">
        <f>EXP(-LN(2)/25)*EB185+(1-EXP(-LN(2)/25))/(LN(2)/25)*Calculateur!DW186*Calculateur!DY186*VLOOKUP('Données projet'!$B$14,Paramètres!$A$1:$I$89,3,0)*0.475*44/12</f>
        <v>0.77100343630123314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3.9121122681634617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5.6843418860808015E-14</v>
      </c>
      <c r="EK186" s="17">
        <f>EJ186*VLOOKUP('Données projet'!$B$15,Paramètres!$A$1:$I$89,3,0)*VLOOKUP('Données projet'!$B$15,Paramètres!$A$1:$I$89,5,0)</f>
        <v>4.4337866711430253E-14</v>
      </c>
      <c r="EL186" s="13">
        <f t="shared" si="179"/>
        <v>7.3222115536967035E-13</v>
      </c>
      <c r="EM186" s="20">
        <f t="shared" si="180"/>
        <v>1.3525069634579169E-12</v>
      </c>
      <c r="EN186" s="59">
        <f t="shared" si="128"/>
        <v>293.33333333333468</v>
      </c>
      <c r="EO186" s="59">
        <f ca="1">AVERAGE(OFFSET($EN$3,0,0,'Données projet'!$E$15+1,1))-AVERAGE(OFFSET($H$3,0,0,'Données projet'!$E$15+1,1))</f>
        <v>288.82868507674738</v>
      </c>
      <c r="EP186" s="59">
        <f t="shared" si="154"/>
        <v>283.48738729114024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10.793633220508692</v>
      </c>
      <c r="EW186" s="21">
        <f>EXP(-LN(2)/25)*EW185+(1-EXP(-LN(2)/25))/(LN(2)/25)*Calculateur!ER186*Calculateur!ET186*VLOOKUP('Données projet'!$B$15,Paramètres!$A$1:$I$89,3,0)*0.475*44/12</f>
        <v>2.158024706628892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12.951657927137584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4.8316906031686813E-13</v>
      </c>
      <c r="O187" s="13">
        <f>N187*VLOOKUP('Données projet'!$B$9,Paramètres!$A$1:$I$89,3,0)*VLOOKUP('Données projet'!$B$9,Paramètres!$A$1:$I$89,5,0)</f>
        <v>4.3717136577470225E-13</v>
      </c>
      <c r="P187" s="13">
        <f t="shared" si="141"/>
        <v>5.5313598682231701E-12</v>
      </c>
      <c r="Q187" s="20">
        <f t="shared" si="162"/>
        <v>1.039519189921296E-11</v>
      </c>
      <c r="R187" s="59">
        <f t="shared" si="109"/>
        <v>293.33333333334372</v>
      </c>
      <c r="S187" s="59">
        <f ca="1">AVERAGE(OFFSET($R$3,0,0,'Données projet'!$E$9+1,1))-AVERAGE(OFFSET($H$3,0,0,'Données projet'!$E$9+1,1))</f>
        <v>581.88778927327667</v>
      </c>
      <c r="T187" s="59">
        <f t="shared" si="142"/>
        <v>269.67340993773422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182.40976770076921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182.40976770076921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1.7053025658242404E-13</v>
      </c>
      <c r="AJ187" s="13">
        <f>AI187*VLOOKUP('Données projet'!$B$10,Paramètres!$A$1:$I$89,3,0)*VLOOKUP('Données projet'!$B$10,Paramètres!$A$1:$I$89,5,0)</f>
        <v>1.1173142411280423E-13</v>
      </c>
      <c r="AK187" s="13">
        <f t="shared" si="164"/>
        <v>1.6569896290553793E-12</v>
      </c>
      <c r="AL187" s="20">
        <f t="shared" si="165"/>
        <v>3.0805225009345862E-12</v>
      </c>
      <c r="AM187" s="59">
        <f t="shared" si="113"/>
        <v>293.33333333333638</v>
      </c>
      <c r="AN187" s="59">
        <f ca="1">AVERAGE(OFFSET($AM$3,0,0,'Données projet'!$E$10+1,1))-AVERAGE(OFFSET($H$3,0,0,'Données projet'!$E$10+1,1))</f>
        <v>230.58262378842818</v>
      </c>
      <c r="AO187" s="59">
        <f t="shared" si="144"/>
        <v>235.68746142880792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8.5911641164086845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8.5911641164086845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4.3717136577470225E-13</v>
      </c>
      <c r="BF187" s="13">
        <f t="shared" si="167"/>
        <v>5.5313598682231701E-12</v>
      </c>
      <c r="BG187" s="20">
        <f t="shared" si="168"/>
        <v>1.039519189921296E-11</v>
      </c>
      <c r="BH187" s="59">
        <f t="shared" si="116"/>
        <v>293.33333333334372</v>
      </c>
      <c r="BI187" s="59">
        <f ca="1">AVERAGE(OFFSET($BH$3,0,0,'Données projet'!$E$11+1,1))-AVERAGE(OFFSET($H$3,0,0,'Données projet'!$E$11+1,1))</f>
        <v>581.88778927327667</v>
      </c>
      <c r="BJ187" s="59">
        <f t="shared" si="146"/>
        <v>269.67340993773422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182.40976770076921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182.40976770076921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4.5978367779753168E-13</v>
      </c>
      <c r="CA187" s="13">
        <f t="shared" si="170"/>
        <v>5.7834153259568991E-12</v>
      </c>
      <c r="CB187" s="20">
        <f t="shared" si="171"/>
        <v>1.0873571598205634E-11</v>
      </c>
      <c r="CC187" s="59">
        <f t="shared" si="119"/>
        <v>293.33333333334417</v>
      </c>
      <c r="CD187" s="59">
        <f ca="1">AVERAGE(OFFSET($CC$3,0,0,'Données projet'!$E$12+1,1))-AVERAGE(OFFSET($H$3,0,0,'Données projet'!$E$12+1,1))</f>
        <v>609.60019207204277</v>
      </c>
      <c r="CE187" s="59">
        <f t="shared" si="148"/>
        <v>281.42238288764503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191.8447556852918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191.8447556852918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1.5999999999905867E-2</v>
      </c>
      <c r="CU187" s="17">
        <f>CT187*VLOOKUP('Données projet'!$B$13,Paramètres!$A$1:$I$89,3,0)*VLOOKUP('Données projet'!$B$13,Paramètres!$A$1:$I$89,5,0)</f>
        <v>1.2729599999925107E-2</v>
      </c>
      <c r="CV187" s="13">
        <f t="shared" si="173"/>
        <v>9.7491417338934176E-3</v>
      </c>
      <c r="CW187" s="20">
        <f t="shared" si="174"/>
        <v>3.9150475186400593E-2</v>
      </c>
      <c r="CX187" s="59">
        <f t="shared" si="122"/>
        <v>293.37248380851969</v>
      </c>
      <c r="CY187" s="59">
        <f ca="1">AVERAGE(OFFSET($CX$3,0,0,'Données projet'!$E$13+1,1))-AVERAGE(OFFSET($H$3,0,0,'Données projet'!$E$13+1,1))</f>
        <v>172.13940525084604</v>
      </c>
      <c r="CZ187" s="59">
        <f t="shared" si="150"/>
        <v>172.82328007157236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5.8287816440698101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5.8287816440698101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1.7053025658242404E-13</v>
      </c>
      <c r="DP187" s="17">
        <f>DO187*VLOOKUP('Données projet'!$B$14,Paramètres!$A$1:$I$89,3,0)*VLOOKUP('Données projet'!$B$14,Paramètres!$A$1:$I$89,5,0)</f>
        <v>1.250327841262333E-13</v>
      </c>
      <c r="DQ187" s="13">
        <f t="shared" si="176"/>
        <v>1.8301318724634299E-12</v>
      </c>
      <c r="DR187" s="20">
        <f t="shared" si="177"/>
        <v>3.405245110226996E-12</v>
      </c>
      <c r="DS187" s="59">
        <f t="shared" si="125"/>
        <v>293.33333333333672</v>
      </c>
      <c r="DT187" s="59">
        <f ca="1">AVERAGE(OFFSET($DS$3,0,0,'Données projet'!$E$14+1,1))-AVERAGE(OFFSET($H$3,0,0,'Données projet'!$E$14+1,1))</f>
        <v>197.34725966440715</v>
      </c>
      <c r="DU187" s="59">
        <f t="shared" si="152"/>
        <v>240.16326570529532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3.0795136035566193</v>
      </c>
      <c r="EB187" s="21">
        <f>EXP(-LN(2)/25)*EB186+(1-EXP(-LN(2)/25))/(LN(2)/25)*Calculateur!DW187*Calculateur!DY187*VLOOKUP('Données projet'!$B$14,Paramètres!$A$1:$I$89,3,0)*0.475*44/12</f>
        <v>0.74992030679026733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3.8294339103468866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5.6843418860808015E-14</v>
      </c>
      <c r="EK187" s="17">
        <f>EJ187*VLOOKUP('Données projet'!$B$15,Paramètres!$A$1:$I$89,3,0)*VLOOKUP('Données projet'!$B$15,Paramètres!$A$1:$I$89,5,0)</f>
        <v>4.4337866711430253E-14</v>
      </c>
      <c r="EL187" s="13">
        <f t="shared" si="179"/>
        <v>7.3222115536967035E-13</v>
      </c>
      <c r="EM187" s="20">
        <f t="shared" si="180"/>
        <v>1.3525069634579169E-12</v>
      </c>
      <c r="EN187" s="59">
        <f t="shared" si="128"/>
        <v>293.33333333333468</v>
      </c>
      <c r="EO187" s="59">
        <f ca="1">AVERAGE(OFFSET($EN$3,0,0,'Données projet'!$E$15+1,1))-AVERAGE(OFFSET($H$3,0,0,'Données projet'!$E$15+1,1))</f>
        <v>288.82868507674738</v>
      </c>
      <c r="EP187" s="59">
        <f t="shared" si="154"/>
        <v>283.48738729114024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10.581976656520718</v>
      </c>
      <c r="EW187" s="21">
        <f>EXP(-LN(2)/25)*EW186+(1-EXP(-LN(2)/25))/(LN(2)/25)*Calculateur!ER187*Calculateur!ET187*VLOOKUP('Données projet'!$B$15,Paramètres!$A$1:$I$89,3,0)*0.475*44/12</f>
        <v>2.099013407540538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12.680990064061255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4.8316906031686813E-13</v>
      </c>
      <c r="O188" s="13">
        <f>N188*VLOOKUP('Données projet'!$B$9,Paramètres!$A$1:$I$89,3,0)*VLOOKUP('Données projet'!$B$9,Paramètres!$A$1:$I$89,5,0)</f>
        <v>4.3717136577470225E-13</v>
      </c>
      <c r="P188" s="13">
        <f t="shared" si="141"/>
        <v>5.5313598682231701E-12</v>
      </c>
      <c r="Q188" s="20">
        <f t="shared" si="162"/>
        <v>1.039519189921296E-11</v>
      </c>
      <c r="R188" s="59">
        <f t="shared" si="109"/>
        <v>293.33333333334372</v>
      </c>
      <c r="S188" s="59">
        <f ca="1">AVERAGE(OFFSET($R$3,0,0,'Données projet'!$E$9+1,1))-AVERAGE(OFFSET($H$3,0,0,'Données projet'!$E$9+1,1))</f>
        <v>581.88778927327667</v>
      </c>
      <c r="T188" s="59">
        <f t="shared" si="142"/>
        <v>269.67340993773422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178.83282341512952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178.83282341512952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1.7053025658242404E-13</v>
      </c>
      <c r="AJ188" s="13">
        <f>AI188*VLOOKUP('Données projet'!$B$10,Paramètres!$A$1:$I$89,3,0)*VLOOKUP('Données projet'!$B$10,Paramètres!$A$1:$I$89,5,0)</f>
        <v>1.1173142411280423E-13</v>
      </c>
      <c r="AK188" s="13">
        <f t="shared" si="164"/>
        <v>1.6569896290553793E-12</v>
      </c>
      <c r="AL188" s="20">
        <f t="shared" si="165"/>
        <v>3.0805225009345862E-12</v>
      </c>
      <c r="AM188" s="59">
        <f t="shared" si="113"/>
        <v>293.33333333333638</v>
      </c>
      <c r="AN188" s="59">
        <f ca="1">AVERAGE(OFFSET($AM$3,0,0,'Données projet'!$E$10+1,1))-AVERAGE(OFFSET($H$3,0,0,'Données projet'!$E$10+1,1))</f>
        <v>230.58262378842818</v>
      </c>
      <c r="AO188" s="59">
        <f t="shared" si="144"/>
        <v>235.68746142880792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8.4226966281786044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8.4226966281786044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4.3717136577470225E-13</v>
      </c>
      <c r="BF188" s="13">
        <f t="shared" si="167"/>
        <v>5.5313598682231701E-12</v>
      </c>
      <c r="BG188" s="20">
        <f t="shared" si="168"/>
        <v>1.039519189921296E-11</v>
      </c>
      <c r="BH188" s="59">
        <f t="shared" si="116"/>
        <v>293.33333333334372</v>
      </c>
      <c r="BI188" s="59">
        <f ca="1">AVERAGE(OFFSET($BH$3,0,0,'Données projet'!$E$11+1,1))-AVERAGE(OFFSET($H$3,0,0,'Données projet'!$E$11+1,1))</f>
        <v>581.88778927327667</v>
      </c>
      <c r="BJ188" s="59">
        <f t="shared" si="146"/>
        <v>269.67340993773422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178.83282341512952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178.83282341512952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4.5978367779753168E-13</v>
      </c>
      <c r="CA188" s="13">
        <f t="shared" si="170"/>
        <v>5.7834153259568991E-12</v>
      </c>
      <c r="CB188" s="20">
        <f t="shared" si="171"/>
        <v>1.0873571598205634E-11</v>
      </c>
      <c r="CC188" s="59">
        <f t="shared" si="119"/>
        <v>293.33333333334417</v>
      </c>
      <c r="CD188" s="59">
        <f ca="1">AVERAGE(OFFSET($CC$3,0,0,'Données projet'!$E$12+1,1))-AVERAGE(OFFSET($H$3,0,0,'Données projet'!$E$12+1,1))</f>
        <v>609.60019207204277</v>
      </c>
      <c r="CE188" s="59">
        <f t="shared" si="148"/>
        <v>281.42238288764503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188.08279704005005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188.08279704005005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1.5999999999905867E-2</v>
      </c>
      <c r="CU188" s="17">
        <f>CT188*VLOOKUP('Données projet'!$B$13,Paramètres!$A$1:$I$89,3,0)*VLOOKUP('Données projet'!$B$13,Paramètres!$A$1:$I$89,5,0)</f>
        <v>1.2729599999925107E-2</v>
      </c>
      <c r="CV188" s="13">
        <f t="shared" si="173"/>
        <v>9.7491417338934176E-3</v>
      </c>
      <c r="CW188" s="20">
        <f t="shared" si="174"/>
        <v>3.9150475186400593E-2</v>
      </c>
      <c r="CX188" s="59">
        <f t="shared" si="122"/>
        <v>293.37248380851969</v>
      </c>
      <c r="CY188" s="59">
        <f ca="1">AVERAGE(OFFSET($CX$3,0,0,'Données projet'!$E$13+1,1))-AVERAGE(OFFSET($H$3,0,0,'Données projet'!$E$13+1,1))</f>
        <v>172.13940525084604</v>
      </c>
      <c r="CZ188" s="59">
        <f t="shared" si="150"/>
        <v>172.82328007157236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5.7144827912353566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5.7144827912353566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1.7053025658242404E-13</v>
      </c>
      <c r="DP188" s="17">
        <f>DO188*VLOOKUP('Données projet'!$B$14,Paramètres!$A$1:$I$89,3,0)*VLOOKUP('Données projet'!$B$14,Paramètres!$A$1:$I$89,5,0)</f>
        <v>1.250327841262333E-13</v>
      </c>
      <c r="DQ188" s="13">
        <f t="shared" si="176"/>
        <v>1.8301318724634299E-12</v>
      </c>
      <c r="DR188" s="20">
        <f t="shared" si="177"/>
        <v>3.405245110226996E-12</v>
      </c>
      <c r="DS188" s="59">
        <f t="shared" si="125"/>
        <v>293.33333333333672</v>
      </c>
      <c r="DT188" s="59">
        <f ca="1">AVERAGE(OFFSET($DS$3,0,0,'Données projet'!$E$14+1,1))-AVERAGE(OFFSET($H$3,0,0,'Données projet'!$E$14+1,1))</f>
        <v>197.34725966440715</v>
      </c>
      <c r="DU188" s="59">
        <f t="shared" si="152"/>
        <v>240.16326570529532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3.0191262201087037</v>
      </c>
      <c r="EB188" s="21">
        <f>EXP(-LN(2)/25)*EB187+(1-EXP(-LN(2)/25))/(LN(2)/25)*Calculateur!DW188*Calculateur!DY188*VLOOKUP('Données projet'!$B$14,Paramètres!$A$1:$I$89,3,0)*0.475*44/12</f>
        <v>0.72941369656449251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3.7485399166731961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5.6843418860808015E-14</v>
      </c>
      <c r="EK188" s="17">
        <f>EJ188*VLOOKUP('Données projet'!$B$15,Paramètres!$A$1:$I$89,3,0)*VLOOKUP('Données projet'!$B$15,Paramètres!$A$1:$I$89,5,0)</f>
        <v>4.4337866711430253E-14</v>
      </c>
      <c r="EL188" s="13">
        <f t="shared" si="179"/>
        <v>7.3222115536967035E-13</v>
      </c>
      <c r="EM188" s="20">
        <f t="shared" si="180"/>
        <v>1.3525069634579169E-12</v>
      </c>
      <c r="EN188" s="59">
        <f t="shared" si="128"/>
        <v>293.33333333333468</v>
      </c>
      <c r="EO188" s="59">
        <f ca="1">AVERAGE(OFFSET($EN$3,0,0,'Données projet'!$E$15+1,1))-AVERAGE(OFFSET($H$3,0,0,'Données projet'!$E$15+1,1))</f>
        <v>288.82868507674738</v>
      </c>
      <c r="EP188" s="59">
        <f t="shared" si="154"/>
        <v>283.48738729114024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10.374470548654791</v>
      </c>
      <c r="EW188" s="21">
        <f>EXP(-LN(2)/25)*EW187+(1-EXP(-LN(2)/25))/(LN(2)/25)*Calculateur!ER188*Calculateur!ET188*VLOOKUP('Données projet'!$B$15,Paramètres!$A$1:$I$89,3,0)*0.475*44/12</f>
        <v>2.0416157755290243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12.416086324183816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4.8316906031686813E-13</v>
      </c>
      <c r="O189" s="13">
        <f>N189*VLOOKUP('Données projet'!$B$9,Paramètres!$A$1:$I$89,3,0)*VLOOKUP('Données projet'!$B$9,Paramètres!$A$1:$I$89,5,0)</f>
        <v>4.3717136577470225E-13</v>
      </c>
      <c r="P189" s="13">
        <f t="shared" si="141"/>
        <v>5.5313598682231701E-12</v>
      </c>
      <c r="Q189" s="20">
        <f t="shared" si="162"/>
        <v>1.039519189921296E-11</v>
      </c>
      <c r="R189" s="59">
        <f t="shared" si="109"/>
        <v>293.33333333334372</v>
      </c>
      <c r="S189" s="59">
        <f ca="1">AVERAGE(OFFSET($R$3,0,0,'Données projet'!$E$9+1,1))-AVERAGE(OFFSET($H$3,0,0,'Données projet'!$E$9+1,1))</f>
        <v>581.88778927327667</v>
      </c>
      <c r="T189" s="59">
        <f t="shared" si="142"/>
        <v>269.67340993773422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175.32602082521063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175.32602082521063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1.7053025658242404E-13</v>
      </c>
      <c r="AJ189" s="13">
        <f>AI189*VLOOKUP('Données projet'!$B$10,Paramètres!$A$1:$I$89,3,0)*VLOOKUP('Données projet'!$B$10,Paramètres!$A$1:$I$89,5,0)</f>
        <v>1.1173142411280423E-13</v>
      </c>
      <c r="AK189" s="13">
        <f t="shared" si="164"/>
        <v>1.6569896290553793E-12</v>
      </c>
      <c r="AL189" s="20">
        <f t="shared" si="165"/>
        <v>3.0805225009345862E-12</v>
      </c>
      <c r="AM189" s="59">
        <f t="shared" si="113"/>
        <v>293.33333333333638</v>
      </c>
      <c r="AN189" s="59">
        <f ca="1">AVERAGE(OFFSET($AM$3,0,0,'Données projet'!$E$10+1,1))-AVERAGE(OFFSET($H$3,0,0,'Données projet'!$E$10+1,1))</f>
        <v>230.58262378842818</v>
      </c>
      <c r="AO189" s="59">
        <f t="shared" si="144"/>
        <v>235.68746142880792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8.2575326846376953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8.2575326846376953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4.3717136577470225E-13</v>
      </c>
      <c r="BF189" s="13">
        <f t="shared" si="167"/>
        <v>5.5313598682231701E-12</v>
      </c>
      <c r="BG189" s="20">
        <f t="shared" si="168"/>
        <v>1.039519189921296E-11</v>
      </c>
      <c r="BH189" s="59">
        <f t="shared" si="116"/>
        <v>293.33333333334372</v>
      </c>
      <c r="BI189" s="59">
        <f ca="1">AVERAGE(OFFSET($BH$3,0,0,'Données projet'!$E$11+1,1))-AVERAGE(OFFSET($H$3,0,0,'Données projet'!$E$11+1,1))</f>
        <v>581.88778927327667</v>
      </c>
      <c r="BJ189" s="59">
        <f t="shared" si="146"/>
        <v>269.67340993773422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175.32602082521063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175.32602082521063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4.5978367779753168E-13</v>
      </c>
      <c r="CA189" s="13">
        <f t="shared" si="170"/>
        <v>5.7834153259568991E-12</v>
      </c>
      <c r="CB189" s="20">
        <f t="shared" si="171"/>
        <v>1.0873571598205634E-11</v>
      </c>
      <c r="CC189" s="59">
        <f t="shared" si="119"/>
        <v>293.33333333334417</v>
      </c>
      <c r="CD189" s="59">
        <f ca="1">AVERAGE(OFFSET($CC$3,0,0,'Données projet'!$E$12+1,1))-AVERAGE(OFFSET($H$3,0,0,'Données projet'!$E$12+1,1))</f>
        <v>609.60019207204277</v>
      </c>
      <c r="CE189" s="59">
        <f t="shared" si="148"/>
        <v>281.42238288764503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184.39460810927329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184.39460810927329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1.5999999999905867E-2</v>
      </c>
      <c r="CU189" s="17">
        <f>CT189*VLOOKUP('Données projet'!$B$13,Paramètres!$A$1:$I$89,3,0)*VLOOKUP('Données projet'!$B$13,Paramètres!$A$1:$I$89,5,0)</f>
        <v>1.2729599999925107E-2</v>
      </c>
      <c r="CV189" s="13">
        <f t="shared" si="173"/>
        <v>9.7491417338934176E-3</v>
      </c>
      <c r="CW189" s="20">
        <f t="shared" si="174"/>
        <v>3.9150475186400593E-2</v>
      </c>
      <c r="CX189" s="59">
        <f t="shared" si="122"/>
        <v>293.37248380851969</v>
      </c>
      <c r="CY189" s="59">
        <f ca="1">AVERAGE(OFFSET($CX$3,0,0,'Données projet'!$E$13+1,1))-AVERAGE(OFFSET($H$3,0,0,'Données projet'!$E$13+1,1))</f>
        <v>172.13940525084604</v>
      </c>
      <c r="CZ189" s="59">
        <f t="shared" si="150"/>
        <v>172.82328007157236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5.6024252691895704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5.6024252691895704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1.7053025658242404E-13</v>
      </c>
      <c r="DP189" s="17">
        <f>DO189*VLOOKUP('Données projet'!$B$14,Paramètres!$A$1:$I$89,3,0)*VLOOKUP('Données projet'!$B$14,Paramètres!$A$1:$I$89,5,0)</f>
        <v>1.250327841262333E-13</v>
      </c>
      <c r="DQ189" s="13">
        <f t="shared" si="176"/>
        <v>1.8301318724634299E-12</v>
      </c>
      <c r="DR189" s="20">
        <f t="shared" si="177"/>
        <v>3.405245110226996E-12</v>
      </c>
      <c r="DS189" s="59">
        <f t="shared" si="125"/>
        <v>293.33333333333672</v>
      </c>
      <c r="DT189" s="59">
        <f ca="1">AVERAGE(OFFSET($DS$3,0,0,'Données projet'!$E$14+1,1))-AVERAGE(OFFSET($H$3,0,0,'Données projet'!$E$14+1,1))</f>
        <v>197.34725966440715</v>
      </c>
      <c r="DU189" s="59">
        <f t="shared" si="152"/>
        <v>240.16326570529532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2.9599229964175349</v>
      </c>
      <c r="EB189" s="21">
        <f>EXP(-LN(2)/25)*EB188+(1-EXP(-LN(2)/25))/(LN(2)/25)*Calculateur!DW189*Calculateur!DY189*VLOOKUP('Données projet'!$B$14,Paramètres!$A$1:$I$89,3,0)*0.475*44/12</f>
        <v>0.70946784067373725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3.6693908370912722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5.6843418860808015E-14</v>
      </c>
      <c r="EK189" s="17">
        <f>EJ189*VLOOKUP('Données projet'!$B$15,Paramètres!$A$1:$I$89,3,0)*VLOOKUP('Données projet'!$B$15,Paramètres!$A$1:$I$89,5,0)</f>
        <v>4.4337866711430253E-14</v>
      </c>
      <c r="EL189" s="13">
        <f t="shared" si="179"/>
        <v>7.3222115536967035E-13</v>
      </c>
      <c r="EM189" s="20">
        <f t="shared" si="180"/>
        <v>1.3525069634579169E-12</v>
      </c>
      <c r="EN189" s="59">
        <f t="shared" si="128"/>
        <v>293.33333333333468</v>
      </c>
      <c r="EO189" s="59">
        <f ca="1">AVERAGE(OFFSET($EN$3,0,0,'Données projet'!$E$15+1,1))-AVERAGE(OFFSET($H$3,0,0,'Données projet'!$E$15+1,1))</f>
        <v>288.82868507674738</v>
      </c>
      <c r="EP189" s="59">
        <f t="shared" si="154"/>
        <v>283.48738729114024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10.171033508997887</v>
      </c>
      <c r="EW189" s="21">
        <f>EXP(-LN(2)/25)*EW188+(1-EXP(-LN(2)/25))/(LN(2)/25)*Calculateur!ER189*Calculateur!ET189*VLOOKUP('Données projet'!$B$15,Paramètres!$A$1:$I$89,3,0)*0.475*44/12</f>
        <v>1.9857876847832756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12.156821193781163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4.8316906031686813E-13</v>
      </c>
      <c r="O190" s="13">
        <f>N190*VLOOKUP('Données projet'!$B$9,Paramètres!$A$1:$I$89,3,0)*VLOOKUP('Données projet'!$B$9,Paramètres!$A$1:$I$89,5,0)</f>
        <v>4.3717136577470225E-13</v>
      </c>
      <c r="P190" s="13">
        <f t="shared" si="141"/>
        <v>5.5313598682231701E-12</v>
      </c>
      <c r="Q190" s="20">
        <f t="shared" si="162"/>
        <v>1.039519189921296E-11</v>
      </c>
      <c r="R190" s="59">
        <f t="shared" si="109"/>
        <v>293.33333333334372</v>
      </c>
      <c r="S190" s="59">
        <f ca="1">AVERAGE(OFFSET($R$3,0,0,'Données projet'!$E$9+1,1))-AVERAGE(OFFSET($H$3,0,0,'Données projet'!$E$9+1,1))</f>
        <v>581.88778927327667</v>
      </c>
      <c r="T190" s="59">
        <f t="shared" si="142"/>
        <v>269.67340993773422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171.88798449514167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171.88798449514167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1.7053025658242404E-13</v>
      </c>
      <c r="AJ190" s="13">
        <f>AI190*VLOOKUP('Données projet'!$B$10,Paramètres!$A$1:$I$89,3,0)*VLOOKUP('Données projet'!$B$10,Paramètres!$A$1:$I$89,5,0)</f>
        <v>1.1173142411280423E-13</v>
      </c>
      <c r="AK190" s="13">
        <f t="shared" si="164"/>
        <v>1.6569896290553793E-12</v>
      </c>
      <c r="AL190" s="20">
        <f t="shared" si="165"/>
        <v>3.0805225009345862E-12</v>
      </c>
      <c r="AM190" s="59">
        <f t="shared" si="113"/>
        <v>293.33333333333638</v>
      </c>
      <c r="AN190" s="59">
        <f ca="1">AVERAGE(OFFSET($AM$3,0,0,'Données projet'!$E$10+1,1))-AVERAGE(OFFSET($H$3,0,0,'Données projet'!$E$10+1,1))</f>
        <v>230.58262378842818</v>
      </c>
      <c r="AO190" s="59">
        <f t="shared" si="144"/>
        <v>235.68746142880792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8.0956075052895642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8.0956075052895642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4.3717136577470225E-13</v>
      </c>
      <c r="BF190" s="13">
        <f t="shared" si="167"/>
        <v>5.5313598682231701E-12</v>
      </c>
      <c r="BG190" s="20">
        <f t="shared" si="168"/>
        <v>1.039519189921296E-11</v>
      </c>
      <c r="BH190" s="59">
        <f t="shared" si="116"/>
        <v>293.33333333334372</v>
      </c>
      <c r="BI190" s="59">
        <f ca="1">AVERAGE(OFFSET($BH$3,0,0,'Données projet'!$E$11+1,1))-AVERAGE(OFFSET($H$3,0,0,'Données projet'!$E$11+1,1))</f>
        <v>581.88778927327667</v>
      </c>
      <c r="BJ190" s="59">
        <f t="shared" si="146"/>
        <v>269.67340993773422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171.88798449514167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171.88798449514167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4.5978367779753168E-13</v>
      </c>
      <c r="CA190" s="13">
        <f t="shared" si="170"/>
        <v>5.7834153259568991E-12</v>
      </c>
      <c r="CB190" s="20">
        <f t="shared" si="171"/>
        <v>1.0873571598205634E-11</v>
      </c>
      <c r="CC190" s="59">
        <f t="shared" si="119"/>
        <v>293.33333333334417</v>
      </c>
      <c r="CD190" s="59">
        <f ca="1">AVERAGE(OFFSET($CC$3,0,0,'Données projet'!$E$12+1,1))-AVERAGE(OFFSET($H$3,0,0,'Données projet'!$E$12+1,1))</f>
        <v>609.60019207204277</v>
      </c>
      <c r="CE190" s="59">
        <f t="shared" si="148"/>
        <v>281.42238288764503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180.77874231385593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180.77874231385593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1.5999999999905867E-2</v>
      </c>
      <c r="CU190" s="17">
        <f>CT190*VLOOKUP('Données projet'!$B$13,Paramètres!$A$1:$I$89,3,0)*VLOOKUP('Données projet'!$B$13,Paramètres!$A$1:$I$89,5,0)</f>
        <v>1.2729599999925107E-2</v>
      </c>
      <c r="CV190" s="13">
        <f t="shared" si="173"/>
        <v>9.7491417338934176E-3</v>
      </c>
      <c r="CW190" s="20">
        <f t="shared" si="174"/>
        <v>3.9150475186400593E-2</v>
      </c>
      <c r="CX190" s="59">
        <f t="shared" si="122"/>
        <v>293.37248380851969</v>
      </c>
      <c r="CY190" s="59">
        <f ca="1">AVERAGE(OFFSET($CX$3,0,0,'Données projet'!$E$13+1,1))-AVERAGE(OFFSET($H$3,0,0,'Données projet'!$E$13+1,1))</f>
        <v>172.13940525084604</v>
      </c>
      <c r="CZ190" s="59">
        <f t="shared" si="150"/>
        <v>172.82328007157236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5.492565126802762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5.492565126802762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1.7053025658242404E-13</v>
      </c>
      <c r="DP190" s="17">
        <f>DO190*VLOOKUP('Données projet'!$B$14,Paramètres!$A$1:$I$89,3,0)*VLOOKUP('Données projet'!$B$14,Paramètres!$A$1:$I$89,5,0)</f>
        <v>1.250327841262333E-13</v>
      </c>
      <c r="DQ190" s="13">
        <f t="shared" si="176"/>
        <v>1.8301318724634299E-12</v>
      </c>
      <c r="DR190" s="20">
        <f t="shared" si="177"/>
        <v>3.405245110226996E-12</v>
      </c>
      <c r="DS190" s="59">
        <f t="shared" si="125"/>
        <v>293.33333333333672</v>
      </c>
      <c r="DT190" s="59">
        <f ca="1">AVERAGE(OFFSET($DS$3,0,0,'Données projet'!$E$14+1,1))-AVERAGE(OFFSET($H$3,0,0,'Données projet'!$E$14+1,1))</f>
        <v>197.34725966440715</v>
      </c>
      <c r="DU190" s="59">
        <f t="shared" si="152"/>
        <v>240.16326570529532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2.9018807118325487</v>
      </c>
      <c r="EB190" s="21">
        <f>EXP(-LN(2)/25)*EB189+(1-EXP(-LN(2)/25))/(LN(2)/25)*Calculateur!DW190*Calculateur!DY190*VLOOKUP('Données projet'!$B$14,Paramètres!$A$1:$I$89,3,0)*0.475*44/12</f>
        <v>0.69006740526122168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3.5919481170937706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5.6843418860808015E-14</v>
      </c>
      <c r="EK190" s="17">
        <f>EJ190*VLOOKUP('Données projet'!$B$15,Paramètres!$A$1:$I$89,3,0)*VLOOKUP('Données projet'!$B$15,Paramètres!$A$1:$I$89,5,0)</f>
        <v>4.4337866711430253E-14</v>
      </c>
      <c r="EL190" s="13">
        <f t="shared" si="179"/>
        <v>7.3222115536967035E-13</v>
      </c>
      <c r="EM190" s="20">
        <f t="shared" si="180"/>
        <v>1.3525069634579169E-12</v>
      </c>
      <c r="EN190" s="59">
        <f t="shared" si="128"/>
        <v>293.33333333333468</v>
      </c>
      <c r="EO190" s="59">
        <f ca="1">AVERAGE(OFFSET($EN$3,0,0,'Données projet'!$E$15+1,1))-AVERAGE(OFFSET($H$3,0,0,'Données projet'!$E$15+1,1))</f>
        <v>288.82868507674738</v>
      </c>
      <c r="EP190" s="59">
        <f t="shared" si="154"/>
        <v>283.48738729114024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9.9715857456043118</v>
      </c>
      <c r="EW190" s="21">
        <f>EXP(-LN(2)/25)*EW189+(1-EXP(-LN(2)/25))/(LN(2)/25)*Calculateur!ER190*Calculateur!ET190*VLOOKUP('Données projet'!$B$15,Paramètres!$A$1:$I$89,3,0)*0.475*44/12</f>
        <v>1.9314862161148412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11.903071961719153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4.8316906031686813E-13</v>
      </c>
      <c r="O191" s="13">
        <f>N191*VLOOKUP('Données projet'!$B$9,Paramètres!$A$1:$I$89,3,0)*VLOOKUP('Données projet'!$B$9,Paramètres!$A$1:$I$89,5,0)</f>
        <v>4.3717136577470225E-13</v>
      </c>
      <c r="P191" s="13">
        <f t="shared" si="141"/>
        <v>5.5313598682231701E-12</v>
      </c>
      <c r="Q191" s="20">
        <f t="shared" si="162"/>
        <v>1.039519189921296E-11</v>
      </c>
      <c r="R191" s="59">
        <f t="shared" si="109"/>
        <v>293.33333333334372</v>
      </c>
      <c r="S191" s="59">
        <f ca="1">AVERAGE(OFFSET($R$3,0,0,'Données projet'!$E$9+1,1))-AVERAGE(OFFSET($H$3,0,0,'Données projet'!$E$9+1,1))</f>
        <v>581.88778927327667</v>
      </c>
      <c r="T191" s="59">
        <f t="shared" si="142"/>
        <v>269.67340993773422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168.51736596051026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168.51736596051026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1.7053025658242404E-13</v>
      </c>
      <c r="AJ191" s="13">
        <f>AI191*VLOOKUP('Données projet'!$B$10,Paramètres!$A$1:$I$89,3,0)*VLOOKUP('Données projet'!$B$10,Paramètres!$A$1:$I$89,5,0)</f>
        <v>1.1173142411280423E-13</v>
      </c>
      <c r="AK191" s="13">
        <f t="shared" si="164"/>
        <v>1.6569896290553793E-12</v>
      </c>
      <c r="AL191" s="20">
        <f t="shared" si="165"/>
        <v>3.0805225009345862E-12</v>
      </c>
      <c r="AM191" s="59">
        <f t="shared" si="113"/>
        <v>293.33333333333638</v>
      </c>
      <c r="AN191" s="59">
        <f ca="1">AVERAGE(OFFSET($AM$3,0,0,'Données projet'!$E$10+1,1))-AVERAGE(OFFSET($H$3,0,0,'Données projet'!$E$10+1,1))</f>
        <v>230.58262378842818</v>
      </c>
      <c r="AO191" s="59">
        <f t="shared" si="144"/>
        <v>235.68746142880792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7.9368575799438439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7.9368575799438439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4.3717136577470225E-13</v>
      </c>
      <c r="BF191" s="13">
        <f t="shared" si="167"/>
        <v>5.5313598682231701E-12</v>
      </c>
      <c r="BG191" s="20">
        <f t="shared" si="168"/>
        <v>1.039519189921296E-11</v>
      </c>
      <c r="BH191" s="59">
        <f t="shared" si="116"/>
        <v>293.33333333334372</v>
      </c>
      <c r="BI191" s="59">
        <f ca="1">AVERAGE(OFFSET($BH$3,0,0,'Données projet'!$E$11+1,1))-AVERAGE(OFFSET($H$3,0,0,'Données projet'!$E$11+1,1))</f>
        <v>581.88778927327667</v>
      </c>
      <c r="BJ191" s="59">
        <f t="shared" si="146"/>
        <v>269.67340993773422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168.51736596051026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168.51736596051026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4.5978367779753168E-13</v>
      </c>
      <c r="CA191" s="13">
        <f t="shared" si="170"/>
        <v>5.7834153259568991E-12</v>
      </c>
      <c r="CB191" s="20">
        <f t="shared" si="171"/>
        <v>1.0873571598205634E-11</v>
      </c>
      <c r="CC191" s="59">
        <f t="shared" si="119"/>
        <v>293.33333333334417</v>
      </c>
      <c r="CD191" s="59">
        <f ca="1">AVERAGE(OFFSET($CC$3,0,0,'Données projet'!$E$12+1,1))-AVERAGE(OFFSET($H$3,0,0,'Données projet'!$E$12+1,1))</f>
        <v>609.60019207204277</v>
      </c>
      <c r="CE191" s="59">
        <f t="shared" si="148"/>
        <v>281.42238288764503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177.23378144122634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177.23378144122634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1.5999999999905867E-2</v>
      </c>
      <c r="CU191" s="17">
        <f>CT191*VLOOKUP('Données projet'!$B$13,Paramètres!$A$1:$I$89,3,0)*VLOOKUP('Données projet'!$B$13,Paramètres!$A$1:$I$89,5,0)</f>
        <v>1.2729599999925107E-2</v>
      </c>
      <c r="CV191" s="13">
        <f t="shared" si="173"/>
        <v>9.7491417338934176E-3</v>
      </c>
      <c r="CW191" s="20">
        <f t="shared" si="174"/>
        <v>3.9150475186400593E-2</v>
      </c>
      <c r="CX191" s="59">
        <f t="shared" si="122"/>
        <v>293.37248380851969</v>
      </c>
      <c r="CY191" s="59">
        <f ca="1">AVERAGE(OFFSET($CX$3,0,0,'Données projet'!$E$13+1,1))-AVERAGE(OFFSET($H$3,0,0,'Données projet'!$E$13+1,1))</f>
        <v>172.13940525084604</v>
      </c>
      <c r="CZ191" s="59">
        <f t="shared" si="150"/>
        <v>172.82328007157236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5.384859274800089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5.384859274800089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1.7053025658242404E-13</v>
      </c>
      <c r="DP191" s="17">
        <f>DO191*VLOOKUP('Données projet'!$B$14,Paramètres!$A$1:$I$89,3,0)*VLOOKUP('Données projet'!$B$14,Paramètres!$A$1:$I$89,5,0)</f>
        <v>1.250327841262333E-13</v>
      </c>
      <c r="DQ191" s="13">
        <f t="shared" si="176"/>
        <v>1.8301318724634299E-12</v>
      </c>
      <c r="DR191" s="20">
        <f t="shared" si="177"/>
        <v>3.405245110226996E-12</v>
      </c>
      <c r="DS191" s="59">
        <f t="shared" si="125"/>
        <v>293.33333333333672</v>
      </c>
      <c r="DT191" s="59">
        <f ca="1">AVERAGE(OFFSET($DS$3,0,0,'Données projet'!$E$14+1,1))-AVERAGE(OFFSET($H$3,0,0,'Données projet'!$E$14+1,1))</f>
        <v>197.34725966440715</v>
      </c>
      <c r="DU191" s="59">
        <f t="shared" si="152"/>
        <v>240.16326570529532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2.8449766010459765</v>
      </c>
      <c r="EB191" s="21">
        <f>EXP(-LN(2)/25)*EB190+(1-EXP(-LN(2)/25))/(LN(2)/25)*Calculateur!DW191*Calculateur!DY191*VLOOKUP('Données projet'!$B$14,Paramètres!$A$1:$I$89,3,0)*0.475*44/12</f>
        <v>0.67119747577528588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3.5161740768212626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5.6843418860808015E-14</v>
      </c>
      <c r="EK191" s="17">
        <f>EJ191*VLOOKUP('Données projet'!$B$15,Paramètres!$A$1:$I$89,3,0)*VLOOKUP('Données projet'!$B$15,Paramètres!$A$1:$I$89,5,0)</f>
        <v>4.4337866711430253E-14</v>
      </c>
      <c r="EL191" s="13">
        <f t="shared" si="179"/>
        <v>7.3222115536967035E-13</v>
      </c>
      <c r="EM191" s="20">
        <f t="shared" si="180"/>
        <v>1.3525069634579169E-12</v>
      </c>
      <c r="EN191" s="59">
        <f t="shared" si="128"/>
        <v>293.33333333333468</v>
      </c>
      <c r="EO191" s="59">
        <f ca="1">AVERAGE(OFFSET($EN$3,0,0,'Données projet'!$E$15+1,1))-AVERAGE(OFFSET($H$3,0,0,'Données projet'!$E$15+1,1))</f>
        <v>288.82868507674738</v>
      </c>
      <c r="EP191" s="59">
        <f t="shared" si="154"/>
        <v>283.48738729114024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9.7760490311997614</v>
      </c>
      <c r="EW191" s="21">
        <f>EXP(-LN(2)/25)*EW190+(1-EXP(-LN(2)/25))/(LN(2)/25)*Calculateur!ER191*Calculateur!ET191*VLOOKUP('Données projet'!$B$15,Paramètres!$A$1:$I$89,3,0)*0.475*44/12</f>
        <v>1.8786696239627352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11.654718655162497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4.8316906031686813E-13</v>
      </c>
      <c r="O192" s="13">
        <f>N192*VLOOKUP('Données projet'!$B$9,Paramètres!$A$1:$I$89,3,0)*VLOOKUP('Données projet'!$B$9,Paramètres!$A$1:$I$89,5,0)</f>
        <v>4.3717136577470225E-13</v>
      </c>
      <c r="P192" s="13">
        <f t="shared" si="141"/>
        <v>5.5313598682231701E-12</v>
      </c>
      <c r="Q192" s="20">
        <f t="shared" si="162"/>
        <v>1.039519189921296E-11</v>
      </c>
      <c r="R192" s="59">
        <f t="shared" si="109"/>
        <v>293.33333333334372</v>
      </c>
      <c r="S192" s="59">
        <f ca="1">AVERAGE(OFFSET($R$3,0,0,'Données projet'!$E$9+1,1))-AVERAGE(OFFSET($H$3,0,0,'Données projet'!$E$9+1,1))</f>
        <v>581.88778927327667</v>
      </c>
      <c r="T192" s="59">
        <f t="shared" si="142"/>
        <v>269.67340993773422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165.21284319946867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165.21284319946867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1.7053025658242404E-13</v>
      </c>
      <c r="AJ192" s="13">
        <f>AI192*VLOOKUP('Données projet'!$B$10,Paramètres!$A$1:$I$89,3,0)*VLOOKUP('Données projet'!$B$10,Paramètres!$A$1:$I$89,5,0)</f>
        <v>1.1173142411280423E-13</v>
      </c>
      <c r="AK192" s="13">
        <f t="shared" si="164"/>
        <v>1.6569896290553793E-12</v>
      </c>
      <c r="AL192" s="20">
        <f t="shared" si="165"/>
        <v>3.0805225009345862E-12</v>
      </c>
      <c r="AM192" s="59">
        <f t="shared" si="113"/>
        <v>293.33333333333638</v>
      </c>
      <c r="AN192" s="59">
        <f ca="1">AVERAGE(OFFSET($AM$3,0,0,'Données projet'!$E$10+1,1))-AVERAGE(OFFSET($H$3,0,0,'Données projet'!$E$10+1,1))</f>
        <v>230.58262378842818</v>
      </c>
      <c r="AO192" s="59">
        <f t="shared" si="144"/>
        <v>235.68746142880792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7.7812206438062592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7.7812206438062592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4.3717136577470225E-13</v>
      </c>
      <c r="BF192" s="13">
        <f t="shared" si="167"/>
        <v>5.5313598682231701E-12</v>
      </c>
      <c r="BG192" s="20">
        <f t="shared" si="168"/>
        <v>1.039519189921296E-11</v>
      </c>
      <c r="BH192" s="59">
        <f t="shared" si="116"/>
        <v>293.33333333334372</v>
      </c>
      <c r="BI192" s="59">
        <f ca="1">AVERAGE(OFFSET($BH$3,0,0,'Données projet'!$E$11+1,1))-AVERAGE(OFFSET($H$3,0,0,'Données projet'!$E$11+1,1))</f>
        <v>581.88778927327667</v>
      </c>
      <c r="BJ192" s="59">
        <f t="shared" si="146"/>
        <v>269.67340993773422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165.21284319946867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165.21284319946867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4.5978367779753168E-13</v>
      </c>
      <c r="CA192" s="13">
        <f t="shared" si="170"/>
        <v>5.7834153259568991E-12</v>
      </c>
      <c r="CB192" s="20">
        <f t="shared" si="171"/>
        <v>1.0873571598205634E-11</v>
      </c>
      <c r="CC192" s="59">
        <f t="shared" si="119"/>
        <v>293.33333333334417</v>
      </c>
      <c r="CD192" s="59">
        <f ca="1">AVERAGE(OFFSET($CC$3,0,0,'Données projet'!$E$12+1,1))-AVERAGE(OFFSET($H$3,0,0,'Données projet'!$E$12+1,1))</f>
        <v>609.60019207204277</v>
      </c>
      <c r="CE192" s="59">
        <f t="shared" si="148"/>
        <v>281.42238288764503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173.75833508909639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173.75833508909639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1.5999999999905867E-2</v>
      </c>
      <c r="CU192" s="17">
        <f>CT192*VLOOKUP('Données projet'!$B$13,Paramètres!$A$1:$I$89,3,0)*VLOOKUP('Données projet'!$B$13,Paramètres!$A$1:$I$89,5,0)</f>
        <v>1.2729599999925107E-2</v>
      </c>
      <c r="CV192" s="13">
        <f t="shared" si="173"/>
        <v>9.7491417338934176E-3</v>
      </c>
      <c r="CW192" s="20">
        <f t="shared" si="174"/>
        <v>3.9150475186400593E-2</v>
      </c>
      <c r="CX192" s="59">
        <f t="shared" si="122"/>
        <v>293.37248380851969</v>
      </c>
      <c r="CY192" s="59">
        <f ca="1">AVERAGE(OFFSET($CX$3,0,0,'Données projet'!$E$13+1,1))-AVERAGE(OFFSET($H$3,0,0,'Données projet'!$E$13+1,1))</f>
        <v>172.13940525084604</v>
      </c>
      <c r="CZ192" s="59">
        <f t="shared" si="150"/>
        <v>172.82328007157236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5.2792654688611051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5.2792654688611051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1.7053025658242404E-13</v>
      </c>
      <c r="DP192" s="17">
        <f>DO192*VLOOKUP('Données projet'!$B$14,Paramètres!$A$1:$I$89,3,0)*VLOOKUP('Données projet'!$B$14,Paramètres!$A$1:$I$89,5,0)</f>
        <v>1.250327841262333E-13</v>
      </c>
      <c r="DQ192" s="13">
        <f t="shared" si="176"/>
        <v>1.8301318724634299E-12</v>
      </c>
      <c r="DR192" s="20">
        <f t="shared" si="177"/>
        <v>3.405245110226996E-12</v>
      </c>
      <c r="DS192" s="59">
        <f t="shared" si="125"/>
        <v>293.33333333333672</v>
      </c>
      <c r="DT192" s="59">
        <f ca="1">AVERAGE(OFFSET($DS$3,0,0,'Données projet'!$E$14+1,1))-AVERAGE(OFFSET($H$3,0,0,'Données projet'!$E$14+1,1))</f>
        <v>197.34725966440715</v>
      </c>
      <c r="DU192" s="59">
        <f t="shared" si="152"/>
        <v>240.16326570529532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2.7891883451638484</v>
      </c>
      <c r="EB192" s="21">
        <f>EXP(-LN(2)/25)*EB191+(1-EXP(-LN(2)/25))/(LN(2)/25)*Calculateur!DW192*Calculateur!DY192*VLOOKUP('Données projet'!$B$14,Paramètres!$A$1:$I$89,3,0)*0.475*44/12</f>
        <v>0.65284354550346946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3.4420318906673177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5.6843418860808015E-14</v>
      </c>
      <c r="EK192" s="17">
        <f>EJ192*VLOOKUP('Données projet'!$B$15,Paramètres!$A$1:$I$89,3,0)*VLOOKUP('Données projet'!$B$15,Paramètres!$A$1:$I$89,5,0)</f>
        <v>4.4337866711430253E-14</v>
      </c>
      <c r="EL192" s="13">
        <f t="shared" si="179"/>
        <v>7.3222115536967035E-13</v>
      </c>
      <c r="EM192" s="20">
        <f t="shared" si="180"/>
        <v>1.3525069634579169E-12</v>
      </c>
      <c r="EN192" s="59">
        <f t="shared" si="128"/>
        <v>293.33333333333468</v>
      </c>
      <c r="EO192" s="59">
        <f ca="1">AVERAGE(OFFSET($EN$3,0,0,'Données projet'!$E$15+1,1))-AVERAGE(OFFSET($H$3,0,0,'Données projet'!$E$15+1,1))</f>
        <v>288.82868507674738</v>
      </c>
      <c r="EP192" s="59">
        <f t="shared" si="154"/>
        <v>283.48738729114024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9.5843466724990662</v>
      </c>
      <c r="EW192" s="21">
        <f>EXP(-LN(2)/25)*EW191+(1-EXP(-LN(2)/25))/(LN(2)/25)*Calculateur!ER192*Calculateur!ET192*VLOOKUP('Données projet'!$B$15,Paramètres!$A$1:$I$89,3,0)*0.475*44/12</f>
        <v>1.8272973043005325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11.411643976799599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4.8316906031686813E-13</v>
      </c>
      <c r="O193" s="13">
        <f>N193*VLOOKUP('Données projet'!$B$9,Paramètres!$A$1:$I$89,3,0)*VLOOKUP('Données projet'!$B$9,Paramètres!$A$1:$I$89,5,0)</f>
        <v>4.3717136577470225E-13</v>
      </c>
      <c r="P193" s="13">
        <f t="shared" si="141"/>
        <v>5.5313598682231701E-12</v>
      </c>
      <c r="Q193" s="20">
        <f t="shared" si="162"/>
        <v>1.039519189921296E-11</v>
      </c>
      <c r="R193" s="59">
        <f t="shared" si="109"/>
        <v>293.33333333334372</v>
      </c>
      <c r="S193" s="59">
        <f ca="1">AVERAGE(OFFSET($R$3,0,0,'Données projet'!$E$9+1,1))-AVERAGE(OFFSET($H$3,0,0,'Données projet'!$E$9+1,1))</f>
        <v>581.88778927327667</v>
      </c>
      <c r="T193" s="59">
        <f t="shared" si="142"/>
        <v>269.67340993773422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161.97312011421124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161.97312011421124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1.7053025658242404E-13</v>
      </c>
      <c r="AJ193" s="13">
        <f>AI193*VLOOKUP('Données projet'!$B$10,Paramètres!$A$1:$I$89,3,0)*VLOOKUP('Données projet'!$B$10,Paramètres!$A$1:$I$89,5,0)</f>
        <v>1.1173142411280423E-13</v>
      </c>
      <c r="AK193" s="13">
        <f t="shared" si="164"/>
        <v>1.6569896290553793E-12</v>
      </c>
      <c r="AL193" s="20">
        <f t="shared" si="165"/>
        <v>3.0805225009345862E-12</v>
      </c>
      <c r="AM193" s="59">
        <f t="shared" si="113"/>
        <v>293.33333333333638</v>
      </c>
      <c r="AN193" s="59">
        <f ca="1">AVERAGE(OFFSET($AM$3,0,0,'Données projet'!$E$10+1,1))-AVERAGE(OFFSET($H$3,0,0,'Données projet'!$E$10+1,1))</f>
        <v>230.58262378842818</v>
      </c>
      <c r="AO193" s="59">
        <f t="shared" si="144"/>
        <v>235.68746142880792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7.6286356530571755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7.6286356530571755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4.3717136577470225E-13</v>
      </c>
      <c r="BF193" s="13">
        <f t="shared" si="167"/>
        <v>5.5313598682231701E-12</v>
      </c>
      <c r="BG193" s="20">
        <f t="shared" si="168"/>
        <v>1.039519189921296E-11</v>
      </c>
      <c r="BH193" s="59">
        <f t="shared" si="116"/>
        <v>293.33333333334372</v>
      </c>
      <c r="BI193" s="59">
        <f ca="1">AVERAGE(OFFSET($BH$3,0,0,'Données projet'!$E$11+1,1))-AVERAGE(OFFSET($H$3,0,0,'Données projet'!$E$11+1,1))</f>
        <v>581.88778927327667</v>
      </c>
      <c r="BJ193" s="59">
        <f t="shared" si="146"/>
        <v>269.67340993773422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161.97312011421124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161.97312011421124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4.5978367779753168E-13</v>
      </c>
      <c r="CA193" s="13">
        <f t="shared" si="170"/>
        <v>5.7834153259568991E-12</v>
      </c>
      <c r="CB193" s="20">
        <f t="shared" si="171"/>
        <v>1.0873571598205634E-11</v>
      </c>
      <c r="CC193" s="59">
        <f t="shared" si="119"/>
        <v>293.33333333334417</v>
      </c>
      <c r="CD193" s="59">
        <f ca="1">AVERAGE(OFFSET($CC$3,0,0,'Données projet'!$E$12+1,1))-AVERAGE(OFFSET($H$3,0,0,'Données projet'!$E$12+1,1))</f>
        <v>609.60019207204277</v>
      </c>
      <c r="CE193" s="59">
        <f t="shared" si="148"/>
        <v>281.42238288764503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170.35104012011874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170.35104012011874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1.5999999999905867E-2</v>
      </c>
      <c r="CU193" s="17">
        <f>CT193*VLOOKUP('Données projet'!$B$13,Paramètres!$A$1:$I$89,3,0)*VLOOKUP('Données projet'!$B$13,Paramètres!$A$1:$I$89,5,0)</f>
        <v>1.2729599999925107E-2</v>
      </c>
      <c r="CV193" s="13">
        <f t="shared" si="173"/>
        <v>9.7491417338934176E-3</v>
      </c>
      <c r="CW193" s="20">
        <f t="shared" si="174"/>
        <v>3.9150475186400593E-2</v>
      </c>
      <c r="CX193" s="59">
        <f t="shared" si="122"/>
        <v>293.37248380851969</v>
      </c>
      <c r="CY193" s="59">
        <f ca="1">AVERAGE(OFFSET($CX$3,0,0,'Données projet'!$E$13+1,1))-AVERAGE(OFFSET($H$3,0,0,'Données projet'!$E$13+1,1))</f>
        <v>172.13940525084604</v>
      </c>
      <c r="CZ193" s="59">
        <f t="shared" si="150"/>
        <v>172.82328007157236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5.1757422930507229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5.1757422930507229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1.7053025658242404E-13</v>
      </c>
      <c r="DP193" s="17">
        <f>DO193*VLOOKUP('Données projet'!$B$14,Paramètres!$A$1:$I$89,3,0)*VLOOKUP('Données projet'!$B$14,Paramètres!$A$1:$I$89,5,0)</f>
        <v>1.250327841262333E-13</v>
      </c>
      <c r="DQ193" s="13">
        <f t="shared" si="176"/>
        <v>1.8301318724634299E-12</v>
      </c>
      <c r="DR193" s="20">
        <f t="shared" si="177"/>
        <v>3.405245110226996E-12</v>
      </c>
      <c r="DS193" s="59">
        <f t="shared" si="125"/>
        <v>293.33333333333672</v>
      </c>
      <c r="DT193" s="59">
        <f ca="1">AVERAGE(OFFSET($DS$3,0,0,'Données projet'!$E$14+1,1))-AVERAGE(OFFSET($H$3,0,0,'Données projet'!$E$14+1,1))</f>
        <v>197.34725966440715</v>
      </c>
      <c r="DU193" s="59">
        <f t="shared" si="152"/>
        <v>240.16326570529532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2.7344940629520926</v>
      </c>
      <c r="EB193" s="21">
        <f>EXP(-LN(2)/25)*EB192+(1-EXP(-LN(2)/25))/(LN(2)/25)*Calculateur!DW193*Calculateur!DY193*VLOOKUP('Données projet'!$B$14,Paramètres!$A$1:$I$89,3,0)*0.475*44/12</f>
        <v>0.63499150442012708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3.3694855673722195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5.6843418860808015E-14</v>
      </c>
      <c r="EK193" s="17">
        <f>EJ193*VLOOKUP('Données projet'!$B$15,Paramètres!$A$1:$I$89,3,0)*VLOOKUP('Données projet'!$B$15,Paramètres!$A$1:$I$89,5,0)</f>
        <v>4.4337866711430253E-14</v>
      </c>
      <c r="EL193" s="13">
        <f t="shared" si="179"/>
        <v>7.3222115536967035E-13</v>
      </c>
      <c r="EM193" s="20">
        <f t="shared" si="180"/>
        <v>1.3525069634579169E-12</v>
      </c>
      <c r="EN193" s="59">
        <f t="shared" si="128"/>
        <v>293.33333333333468</v>
      </c>
      <c r="EO193" s="59">
        <f ca="1">AVERAGE(OFFSET($EN$3,0,0,'Données projet'!$E$15+1,1))-AVERAGE(OFFSET($H$3,0,0,'Données projet'!$E$15+1,1))</f>
        <v>288.82868507674738</v>
      </c>
      <c r="EP193" s="59">
        <f t="shared" si="154"/>
        <v>283.48738729114024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9.3964034801255973</v>
      </c>
      <c r="EW193" s="21">
        <f>EXP(-LN(2)/25)*EW192+(1-EXP(-LN(2)/25))/(LN(2)/25)*Calculateur!ER193*Calculateur!ET193*VLOOKUP('Données projet'!$B$15,Paramètres!$A$1:$I$89,3,0)*0.475*44/12</f>
        <v>1.7773297634210456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11.173733243546643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4.8316906031686813E-13</v>
      </c>
      <c r="O194" s="13">
        <f>N194*VLOOKUP('Données projet'!$B$9,Paramètres!$A$1:$I$89,3,0)*VLOOKUP('Données projet'!$B$9,Paramètres!$A$1:$I$89,5,0)</f>
        <v>4.3717136577470225E-13</v>
      </c>
      <c r="P194" s="13">
        <f t="shared" si="141"/>
        <v>5.5313598682231701E-12</v>
      </c>
      <c r="Q194" s="20">
        <f t="shared" si="162"/>
        <v>1.039519189921296E-11</v>
      </c>
      <c r="R194" s="59">
        <f t="shared" si="109"/>
        <v>293.33333333334372</v>
      </c>
      <c r="S194" s="59">
        <f ca="1">AVERAGE(OFFSET($R$3,0,0,'Données projet'!$E$9+1,1))-AVERAGE(OFFSET($H$3,0,0,'Données projet'!$E$9+1,1))</f>
        <v>581.88778927327667</v>
      </c>
      <c r="T194" s="59">
        <f t="shared" si="142"/>
        <v>269.67340993773422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158.79692602261974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158.79692602261974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1.7053025658242404E-13</v>
      </c>
      <c r="AJ194" s="13">
        <f>AI194*VLOOKUP('Données projet'!$B$10,Paramètres!$A$1:$I$89,3,0)*VLOOKUP('Données projet'!$B$10,Paramètres!$A$1:$I$89,5,0)</f>
        <v>1.1173142411280423E-13</v>
      </c>
      <c r="AK194" s="13">
        <f t="shared" si="164"/>
        <v>1.6569896290553793E-12</v>
      </c>
      <c r="AL194" s="20">
        <f t="shared" si="165"/>
        <v>3.0805225009345862E-12</v>
      </c>
      <c r="AM194" s="59">
        <f t="shared" si="113"/>
        <v>293.33333333333638</v>
      </c>
      <c r="AN194" s="59">
        <f ca="1">AVERAGE(OFFSET($AM$3,0,0,'Données projet'!$E$10+1,1))-AVERAGE(OFFSET($H$3,0,0,'Données projet'!$E$10+1,1))</f>
        <v>230.58262378842818</v>
      </c>
      <c r="AO194" s="59">
        <f t="shared" si="144"/>
        <v>235.68746142880792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7.4790427609090262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7.4790427609090262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4.3717136577470225E-13</v>
      </c>
      <c r="BF194" s="13">
        <f t="shared" si="167"/>
        <v>5.5313598682231701E-12</v>
      </c>
      <c r="BG194" s="20">
        <f t="shared" si="168"/>
        <v>1.039519189921296E-11</v>
      </c>
      <c r="BH194" s="59">
        <f t="shared" si="116"/>
        <v>293.33333333334372</v>
      </c>
      <c r="BI194" s="59">
        <f ca="1">AVERAGE(OFFSET($BH$3,0,0,'Données projet'!$E$11+1,1))-AVERAGE(OFFSET($H$3,0,0,'Données projet'!$E$11+1,1))</f>
        <v>581.88778927327667</v>
      </c>
      <c r="BJ194" s="59">
        <f t="shared" si="146"/>
        <v>269.67340993773422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158.79692602261974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158.79692602261974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4.5978367779753168E-13</v>
      </c>
      <c r="CA194" s="13">
        <f t="shared" si="170"/>
        <v>5.7834153259568991E-12</v>
      </c>
      <c r="CB194" s="20">
        <f t="shared" si="171"/>
        <v>1.0873571598205634E-11</v>
      </c>
      <c r="CC194" s="59">
        <f t="shared" si="119"/>
        <v>293.33333333334417</v>
      </c>
      <c r="CD194" s="59">
        <f ca="1">AVERAGE(OFFSET($CC$3,0,0,'Données projet'!$E$12+1,1))-AVERAGE(OFFSET($H$3,0,0,'Données projet'!$E$12+1,1))</f>
        <v>609.60019207204277</v>
      </c>
      <c r="CE194" s="59">
        <f t="shared" si="148"/>
        <v>281.42238288764503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167.01056012723802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167.01056012723802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1.5999999999905867E-2</v>
      </c>
      <c r="CU194" s="17">
        <f>CT194*VLOOKUP('Données projet'!$B$13,Paramètres!$A$1:$I$89,3,0)*VLOOKUP('Données projet'!$B$13,Paramètres!$A$1:$I$89,5,0)</f>
        <v>1.2729599999925107E-2</v>
      </c>
      <c r="CV194" s="13">
        <f t="shared" si="173"/>
        <v>9.7491417338934176E-3</v>
      </c>
      <c r="CW194" s="20">
        <f t="shared" si="174"/>
        <v>3.9150475186400593E-2</v>
      </c>
      <c r="CX194" s="59">
        <f t="shared" si="122"/>
        <v>293.37248380851969</v>
      </c>
      <c r="CY194" s="59">
        <f ca="1">AVERAGE(OFFSET($CX$3,0,0,'Données projet'!$E$13+1,1))-AVERAGE(OFFSET($H$3,0,0,'Données projet'!$E$13+1,1))</f>
        <v>172.13940525084604</v>
      </c>
      <c r="CZ194" s="59">
        <f t="shared" si="150"/>
        <v>172.82328007157236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5.0742491435750798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5.0742491435750798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1.7053025658242404E-13</v>
      </c>
      <c r="DP194" s="17">
        <f>DO194*VLOOKUP('Données projet'!$B$14,Paramètres!$A$1:$I$89,3,0)*VLOOKUP('Données projet'!$B$14,Paramètres!$A$1:$I$89,5,0)</f>
        <v>1.250327841262333E-13</v>
      </c>
      <c r="DQ194" s="13">
        <f t="shared" si="176"/>
        <v>1.8301318724634299E-12</v>
      </c>
      <c r="DR194" s="20">
        <f t="shared" si="177"/>
        <v>3.405245110226996E-12</v>
      </c>
      <c r="DS194" s="59">
        <f t="shared" si="125"/>
        <v>293.33333333333672</v>
      </c>
      <c r="DT194" s="59">
        <f ca="1">AVERAGE(OFFSET($DS$3,0,0,'Données projet'!$E$14+1,1))-AVERAGE(OFFSET($H$3,0,0,'Données projet'!$E$14+1,1))</f>
        <v>197.34725966440715</v>
      </c>
      <c r="DU194" s="59">
        <f t="shared" si="152"/>
        <v>240.16326570529532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2.6808723022542913</v>
      </c>
      <c r="EB194" s="21">
        <f>EXP(-LN(2)/25)*EB193+(1-EXP(-LN(2)/25))/(LN(2)/25)*Calculateur!DW194*Calculateur!DY194*VLOOKUP('Données projet'!$B$14,Paramètres!$A$1:$I$89,3,0)*0.475*44/12</f>
        <v>0.61762762833900675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3.298499930593298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5.6843418860808015E-14</v>
      </c>
      <c r="EK194" s="17">
        <f>EJ194*VLOOKUP('Données projet'!$B$15,Paramètres!$A$1:$I$89,3,0)*VLOOKUP('Données projet'!$B$15,Paramètres!$A$1:$I$89,5,0)</f>
        <v>4.4337866711430253E-14</v>
      </c>
      <c r="EL194" s="13">
        <f t="shared" si="179"/>
        <v>7.3222115536967035E-13</v>
      </c>
      <c r="EM194" s="20">
        <f t="shared" si="180"/>
        <v>1.3525069634579169E-12</v>
      </c>
      <c r="EN194" s="59">
        <f t="shared" si="128"/>
        <v>293.33333333333468</v>
      </c>
      <c r="EO194" s="59">
        <f ca="1">AVERAGE(OFFSET($EN$3,0,0,'Données projet'!$E$15+1,1))-AVERAGE(OFFSET($H$3,0,0,'Données projet'!$E$15+1,1))</f>
        <v>288.82868507674738</v>
      </c>
      <c r="EP194" s="59">
        <f t="shared" si="154"/>
        <v>283.48738729114024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9.2121457391205439</v>
      </c>
      <c r="EW194" s="21">
        <f>EXP(-LN(2)/25)*EW193+(1-EXP(-LN(2)/25))/(LN(2)/25)*Calculateur!ER194*Calculateur!ET194*VLOOKUP('Données projet'!$B$15,Paramètres!$A$1:$I$89,3,0)*0.475*44/12</f>
        <v>1.728728587574587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10.94087432669513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4.8316906031686813E-13</v>
      </c>
      <c r="O195" s="13">
        <f>N195*VLOOKUP('Données projet'!$B$9,Paramètres!$A$1:$I$89,3,0)*VLOOKUP('Données projet'!$B$9,Paramètres!$A$1:$I$89,5,0)</f>
        <v>4.3717136577470225E-13</v>
      </c>
      <c r="P195" s="13">
        <f t="shared" si="141"/>
        <v>5.5313598682231701E-12</v>
      </c>
      <c r="Q195" s="20">
        <f t="shared" si="162"/>
        <v>1.039519189921296E-11</v>
      </c>
      <c r="R195" s="59">
        <f t="shared" ref="R195:R203" si="191">Q195+(I195+J195)*44/12</f>
        <v>293.33333333334372</v>
      </c>
      <c r="S195" s="59">
        <f ca="1">AVERAGE(OFFSET($R$3,0,0,'Données projet'!$E$9+1,1))-AVERAGE(OFFSET($H$3,0,0,'Données projet'!$E$9+1,1))</f>
        <v>581.88778927327667</v>
      </c>
      <c r="T195" s="59">
        <f t="shared" si="142"/>
        <v>269.67340993773422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155.68301515987724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155.68301515987724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1.7053025658242404E-13</v>
      </c>
      <c r="AJ195" s="13">
        <f>AI195*VLOOKUP('Données projet'!$B$10,Paramètres!$A$1:$I$89,3,0)*VLOOKUP('Données projet'!$B$10,Paramètres!$A$1:$I$89,5,0)</f>
        <v>1.1173142411280423E-13</v>
      </c>
      <c r="AK195" s="13">
        <f t="shared" si="164"/>
        <v>1.6569896290553793E-12</v>
      </c>
      <c r="AL195" s="20">
        <f t="shared" si="165"/>
        <v>3.0805225009345862E-12</v>
      </c>
      <c r="AM195" s="59">
        <f t="shared" si="113"/>
        <v>293.33333333333638</v>
      </c>
      <c r="AN195" s="59">
        <f ca="1">AVERAGE(OFFSET($AM$3,0,0,'Données projet'!$E$10+1,1))-AVERAGE(OFFSET($H$3,0,0,'Données projet'!$E$10+1,1))</f>
        <v>230.58262378842818</v>
      </c>
      <c r="AO195" s="59">
        <f t="shared" si="144"/>
        <v>235.68746142880792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7.3323832941332476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7.3323832941332476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4.3717136577470225E-13</v>
      </c>
      <c r="BF195" s="13">
        <f t="shared" si="167"/>
        <v>5.5313598682231701E-12</v>
      </c>
      <c r="BG195" s="20">
        <f t="shared" si="168"/>
        <v>1.039519189921296E-11</v>
      </c>
      <c r="BH195" s="59">
        <f t="shared" si="116"/>
        <v>293.33333333334372</v>
      </c>
      <c r="BI195" s="59">
        <f ca="1">AVERAGE(OFFSET($BH$3,0,0,'Données projet'!$E$11+1,1))-AVERAGE(OFFSET($H$3,0,0,'Données projet'!$E$11+1,1))</f>
        <v>581.88778927327667</v>
      </c>
      <c r="BJ195" s="59">
        <f t="shared" si="146"/>
        <v>269.67340993773422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155.68301515987724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155.68301515987724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4.5978367779753168E-13</v>
      </c>
      <c r="CA195" s="13">
        <f t="shared" si="170"/>
        <v>5.7834153259568991E-12</v>
      </c>
      <c r="CB195" s="20">
        <f t="shared" si="171"/>
        <v>1.0873571598205634E-11</v>
      </c>
      <c r="CC195" s="59">
        <f t="shared" si="119"/>
        <v>293.33333333334417</v>
      </c>
      <c r="CD195" s="59">
        <f ca="1">AVERAGE(OFFSET($CC$3,0,0,'Données projet'!$E$12+1,1))-AVERAGE(OFFSET($H$3,0,0,'Données projet'!$E$12+1,1))</f>
        <v>609.60019207204277</v>
      </c>
      <c r="CE195" s="59">
        <f t="shared" si="148"/>
        <v>281.42238288764503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163.7355849095261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163.7355849095261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1.5999999999905867E-2</v>
      </c>
      <c r="CU195" s="17">
        <f>CT195*VLOOKUP('Données projet'!$B$13,Paramètres!$A$1:$I$89,3,0)*VLOOKUP('Données projet'!$B$13,Paramètres!$A$1:$I$89,5,0)</f>
        <v>1.2729599999925107E-2</v>
      </c>
      <c r="CV195" s="13">
        <f t="shared" si="173"/>
        <v>9.7491417338934176E-3</v>
      </c>
      <c r="CW195" s="20">
        <f t="shared" si="174"/>
        <v>3.9150475186400593E-2</v>
      </c>
      <c r="CX195" s="59">
        <f t="shared" si="122"/>
        <v>293.37248380851969</v>
      </c>
      <c r="CY195" s="59">
        <f ca="1">AVERAGE(OFFSET($CX$3,0,0,'Données projet'!$E$13+1,1))-AVERAGE(OFFSET($H$3,0,0,'Données projet'!$E$13+1,1))</f>
        <v>172.13940525084604</v>
      </c>
      <c r="CZ195" s="59">
        <f t="shared" si="150"/>
        <v>172.82328007157236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4.9747462128559459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4.9747462128559459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1.7053025658242404E-13</v>
      </c>
      <c r="DP195" s="17">
        <f>DO195*VLOOKUP('Données projet'!$B$14,Paramètres!$A$1:$I$89,3,0)*VLOOKUP('Données projet'!$B$14,Paramètres!$A$1:$I$89,5,0)</f>
        <v>1.250327841262333E-13</v>
      </c>
      <c r="DQ195" s="13">
        <f t="shared" si="176"/>
        <v>1.8301318724634299E-12</v>
      </c>
      <c r="DR195" s="20">
        <f t="shared" si="177"/>
        <v>3.405245110226996E-12</v>
      </c>
      <c r="DS195" s="59">
        <f t="shared" si="125"/>
        <v>293.33333333333672</v>
      </c>
      <c r="DT195" s="59">
        <f ca="1">AVERAGE(OFFSET($DS$3,0,0,'Données projet'!$E$14+1,1))-AVERAGE(OFFSET($H$3,0,0,'Données projet'!$E$14+1,1))</f>
        <v>197.34725966440715</v>
      </c>
      <c r="DU195" s="59">
        <f t="shared" si="152"/>
        <v>240.16326570529532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2.6283020315777295</v>
      </c>
      <c r="EB195" s="21">
        <f>EXP(-LN(2)/25)*EB194+(1-EXP(-LN(2)/25))/(LN(2)/25)*Calculateur!DW195*Calculateur!DY195*VLOOKUP('Données projet'!$B$14,Paramètres!$A$1:$I$89,3,0)*0.475*44/12</f>
        <v>0.60073856836245121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3.2290405999401806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5.6843418860808015E-14</v>
      </c>
      <c r="EK195" s="17">
        <f>EJ195*VLOOKUP('Données projet'!$B$15,Paramètres!$A$1:$I$89,3,0)*VLOOKUP('Données projet'!$B$15,Paramètres!$A$1:$I$89,5,0)</f>
        <v>4.4337866711430253E-14</v>
      </c>
      <c r="EL195" s="13">
        <f t="shared" si="179"/>
        <v>7.3222115536967035E-13</v>
      </c>
      <c r="EM195" s="20">
        <f t="shared" si="180"/>
        <v>1.3525069634579169E-12</v>
      </c>
      <c r="EN195" s="59">
        <f t="shared" si="128"/>
        <v>293.33333333333468</v>
      </c>
      <c r="EO195" s="59">
        <f ca="1">AVERAGE(OFFSET($EN$3,0,0,'Données projet'!$E$15+1,1))-AVERAGE(OFFSET($H$3,0,0,'Données projet'!$E$15+1,1))</f>
        <v>288.82868507674738</v>
      </c>
      <c r="EP195" s="59">
        <f t="shared" si="154"/>
        <v>283.48738729114024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9.0315011800304745</v>
      </c>
      <c r="EW195" s="21">
        <f>EXP(-LN(2)/25)*EW194+(1-EXP(-LN(2)/25))/(LN(2)/25)*Calculateur!ER195*Calculateur!ET195*VLOOKUP('Données projet'!$B$15,Paramètres!$A$1:$I$89,3,0)*0.475*44/12</f>
        <v>1.6814564134374745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10.71295759346795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4.8316906031686813E-13</v>
      </c>
      <c r="O196" s="13">
        <f>N196*VLOOKUP('Données projet'!$B$9,Paramètres!$A$1:$I$89,3,0)*VLOOKUP('Données projet'!$B$9,Paramètres!$A$1:$I$89,5,0)</f>
        <v>4.3717136577470225E-13</v>
      </c>
      <c r="P196" s="13">
        <f t="shared" si="141"/>
        <v>5.5313598682231701E-12</v>
      </c>
      <c r="Q196" s="20">
        <f t="shared" si="162"/>
        <v>1.039519189921296E-11</v>
      </c>
      <c r="R196" s="59">
        <f t="shared" si="191"/>
        <v>293.33333333334372</v>
      </c>
      <c r="S196" s="59">
        <f ca="1">AVERAGE(OFFSET($R$3,0,0,'Données projet'!$E$9+1,1))-AVERAGE(OFFSET($H$3,0,0,'Données projet'!$E$9+1,1))</f>
        <v>581.88778927327667</v>
      </c>
      <c r="T196" s="59">
        <f t="shared" si="142"/>
        <v>269.67340993773422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152.63016618985506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152.63016618985506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1.7053025658242404E-13</v>
      </c>
      <c r="AJ196" s="13">
        <f>AI196*VLOOKUP('Données projet'!$B$10,Paramètres!$A$1:$I$89,3,0)*VLOOKUP('Données projet'!$B$10,Paramètres!$A$1:$I$89,5,0)</f>
        <v>1.1173142411280423E-13</v>
      </c>
      <c r="AK196" s="13">
        <f t="shared" si="164"/>
        <v>1.6569896290553793E-12</v>
      </c>
      <c r="AL196" s="20">
        <f t="shared" si="165"/>
        <v>3.0805225009345862E-12</v>
      </c>
      <c r="AM196" s="59">
        <f t="shared" ref="AM196:AM203" si="193">AL196+(AD196+AE196)*44/12</f>
        <v>293.33333333333638</v>
      </c>
      <c r="AN196" s="59">
        <f ca="1">AVERAGE(OFFSET($AM$3,0,0,'Données projet'!$E$10+1,1))-AVERAGE(OFFSET($H$3,0,0,'Données projet'!$E$10+1,1))</f>
        <v>230.58262378842818</v>
      </c>
      <c r="AO196" s="59">
        <f t="shared" si="144"/>
        <v>235.68746142880792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7.1885997300474997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7.1885997300474997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4.3717136577470225E-13</v>
      </c>
      <c r="BF196" s="13">
        <f t="shared" si="167"/>
        <v>5.5313598682231701E-12</v>
      </c>
      <c r="BG196" s="20">
        <f t="shared" si="168"/>
        <v>1.039519189921296E-11</v>
      </c>
      <c r="BH196" s="59">
        <f t="shared" ref="BH196:BH203" si="194">BG196+(AY196+AZ196)*44/12</f>
        <v>293.33333333334372</v>
      </c>
      <c r="BI196" s="59">
        <f ca="1">AVERAGE(OFFSET($BH$3,0,0,'Données projet'!$E$11+1,1))-AVERAGE(OFFSET($H$3,0,0,'Données projet'!$E$11+1,1))</f>
        <v>581.88778927327667</v>
      </c>
      <c r="BJ196" s="59">
        <f t="shared" si="146"/>
        <v>269.67340993773422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152.63016618985506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152.63016618985506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4.5978367779753168E-13</v>
      </c>
      <c r="CA196" s="13">
        <f t="shared" si="170"/>
        <v>5.7834153259568991E-12</v>
      </c>
      <c r="CB196" s="20">
        <f t="shared" si="171"/>
        <v>1.0873571598205634E-11</v>
      </c>
      <c r="CC196" s="59">
        <f t="shared" ref="CC196:CC203" si="195">CB196+(BT196+BU196)*44/12</f>
        <v>293.33333333334417</v>
      </c>
      <c r="CD196" s="59">
        <f ca="1">AVERAGE(OFFSET($CC$3,0,0,'Données projet'!$E$12+1,1))-AVERAGE(OFFSET($H$3,0,0,'Données projet'!$E$12+1,1))</f>
        <v>609.60019207204277</v>
      </c>
      <c r="CE196" s="59">
        <f t="shared" si="148"/>
        <v>281.42238288764503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160.52482995829587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160.52482995829587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1.5999999999905867E-2</v>
      </c>
      <c r="CU196" s="17">
        <f>CT196*VLOOKUP('Données projet'!$B$13,Paramètres!$A$1:$I$89,3,0)*VLOOKUP('Données projet'!$B$13,Paramètres!$A$1:$I$89,5,0)</f>
        <v>1.2729599999925107E-2</v>
      </c>
      <c r="CV196" s="13">
        <f t="shared" si="173"/>
        <v>9.7491417338934176E-3</v>
      </c>
      <c r="CW196" s="20">
        <f t="shared" si="174"/>
        <v>3.9150475186400593E-2</v>
      </c>
      <c r="CX196" s="59">
        <f t="shared" ref="CX196:CX203" si="196">CW196+(CO196+CP196)*44/12</f>
        <v>293.37248380851969</v>
      </c>
      <c r="CY196" s="59">
        <f ca="1">AVERAGE(OFFSET($CX$3,0,0,'Données projet'!$E$13+1,1))-AVERAGE(OFFSET($H$3,0,0,'Données projet'!$E$13+1,1))</f>
        <v>172.13940525084604</v>
      </c>
      <c r="CZ196" s="59">
        <f t="shared" si="150"/>
        <v>172.82328007157236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4.8771944739174184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4.8771944739174184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1.7053025658242404E-13</v>
      </c>
      <c r="DP196" s="17">
        <f>DO196*VLOOKUP('Données projet'!$B$14,Paramètres!$A$1:$I$89,3,0)*VLOOKUP('Données projet'!$B$14,Paramètres!$A$1:$I$89,5,0)</f>
        <v>1.250327841262333E-13</v>
      </c>
      <c r="DQ196" s="13">
        <f t="shared" si="176"/>
        <v>1.8301318724634299E-12</v>
      </c>
      <c r="DR196" s="20">
        <f t="shared" si="177"/>
        <v>3.405245110226996E-12</v>
      </c>
      <c r="DS196" s="59">
        <f t="shared" ref="DS196:DS203" si="197">DR196+(DJ196+DK196)*44/12</f>
        <v>293.33333333333672</v>
      </c>
      <c r="DT196" s="59">
        <f ca="1">AVERAGE(OFFSET($DS$3,0,0,'Données projet'!$E$14+1,1))-AVERAGE(OFFSET($H$3,0,0,'Données projet'!$E$14+1,1))</f>
        <v>197.34725966440715</v>
      </c>
      <c r="DU196" s="59">
        <f t="shared" si="152"/>
        <v>240.16326570529532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2.5767626318444359</v>
      </c>
      <c r="EB196" s="21">
        <f>EXP(-LN(2)/25)*EB195+(1-EXP(-LN(2)/25))/(LN(2)/25)*Calculateur!DW196*Calculateur!DY196*VLOOKUP('Données projet'!$B$14,Paramètres!$A$1:$I$89,3,0)*0.475*44/12</f>
        <v>0.58431134061911172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3.1610739724635475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5.6843418860808015E-14</v>
      </c>
      <c r="EK196" s="17">
        <f>EJ196*VLOOKUP('Données projet'!$B$15,Paramètres!$A$1:$I$89,3,0)*VLOOKUP('Données projet'!$B$15,Paramètres!$A$1:$I$89,5,0)</f>
        <v>4.4337866711430253E-14</v>
      </c>
      <c r="EL196" s="13">
        <f t="shared" si="179"/>
        <v>7.3222115536967035E-13</v>
      </c>
      <c r="EM196" s="20">
        <f t="shared" si="180"/>
        <v>1.3525069634579169E-12</v>
      </c>
      <c r="EN196" s="59">
        <f t="shared" ref="EN196:EN203" si="198">EM196+(EE196+EF196)*44/12</f>
        <v>293.33333333333468</v>
      </c>
      <c r="EO196" s="59">
        <f ca="1">AVERAGE(OFFSET($EN$3,0,0,'Données projet'!$E$15+1,1))-AVERAGE(OFFSET($H$3,0,0,'Données projet'!$E$15+1,1))</f>
        <v>288.82868507674738</v>
      </c>
      <c r="EP196" s="59">
        <f t="shared" si="154"/>
        <v>283.48738729114024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8.8543989505618601</v>
      </c>
      <c r="EW196" s="21">
        <f>EXP(-LN(2)/25)*EW195+(1-EXP(-LN(2)/25))/(LN(2)/25)*Calculateur!ER196*Calculateur!ET196*VLOOKUP('Données projet'!$B$15,Paramètres!$A$1:$I$89,3,0)*0.475*44/12</f>
        <v>1.6354768993880771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10.489875849949938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4.8316906031686813E-13</v>
      </c>
      <c r="O197" s="13">
        <f>N197*VLOOKUP('Données projet'!$B$9,Paramètres!$A$1:$I$89,3,0)*VLOOKUP('Données projet'!$B$9,Paramètres!$A$1:$I$89,5,0)</f>
        <v>4.3717136577470225E-13</v>
      </c>
      <c r="P197" s="13">
        <f t="shared" ref="P197:P203" si="203">EXP(-1.0587+0.8836*LN(O197)+0.284)</f>
        <v>5.5313598682231701E-12</v>
      </c>
      <c r="Q197" s="20">
        <f t="shared" si="162"/>
        <v>1.039519189921296E-11</v>
      </c>
      <c r="R197" s="59">
        <f t="shared" si="191"/>
        <v>293.33333333334372</v>
      </c>
      <c r="S197" s="59">
        <f ca="1">AVERAGE(OFFSET($R$3,0,0,'Données projet'!$E$9+1,1))-AVERAGE(OFFSET($H$3,0,0,'Données projet'!$E$9+1,1))</f>
        <v>581.88778927327667</v>
      </c>
      <c r="T197" s="59">
        <f t="shared" ref="T197:T203" si="204">$T$3</f>
        <v>269.67340993773422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149.637181726081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149.637181726081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1.7053025658242404E-13</v>
      </c>
      <c r="AJ197" s="13">
        <f>AI197*VLOOKUP('Données projet'!$B$10,Paramètres!$A$1:$I$89,3,0)*VLOOKUP('Données projet'!$B$10,Paramètres!$A$1:$I$89,5,0)</f>
        <v>1.1173142411280423E-13</v>
      </c>
      <c r="AK197" s="13">
        <f t="shared" si="164"/>
        <v>1.6569896290553793E-12</v>
      </c>
      <c r="AL197" s="20">
        <f t="shared" si="165"/>
        <v>3.0805225009345862E-12</v>
      </c>
      <c r="AM197" s="59">
        <f t="shared" si="193"/>
        <v>293.33333333333638</v>
      </c>
      <c r="AN197" s="59">
        <f ca="1">AVERAGE(OFFSET($AM$3,0,0,'Données projet'!$E$10+1,1))-AVERAGE(OFFSET($H$3,0,0,'Données projet'!$E$10+1,1))</f>
        <v>230.58262378842818</v>
      </c>
      <c r="AO197" s="59">
        <f t="shared" ref="AO197:AO203" si="205">$AO$3</f>
        <v>235.68746142880792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7.0476356739541588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7.0476356739541588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4.3717136577470225E-13</v>
      </c>
      <c r="BF197" s="13">
        <f t="shared" si="167"/>
        <v>5.5313598682231701E-12</v>
      </c>
      <c r="BG197" s="20">
        <f t="shared" si="168"/>
        <v>1.039519189921296E-11</v>
      </c>
      <c r="BH197" s="59">
        <f t="shared" si="194"/>
        <v>293.33333333334372</v>
      </c>
      <c r="BI197" s="59">
        <f ca="1">AVERAGE(OFFSET($BH$3,0,0,'Données projet'!$E$11+1,1))-AVERAGE(OFFSET($H$3,0,0,'Données projet'!$E$11+1,1))</f>
        <v>581.88778927327667</v>
      </c>
      <c r="BJ197" s="59">
        <f t="shared" ref="BJ197:BJ203" si="206">$BJ$3</f>
        <v>269.67340993773422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149.637181726081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149.637181726081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4.5978367779753168E-13</v>
      </c>
      <c r="CA197" s="13">
        <f t="shared" si="170"/>
        <v>5.7834153259568991E-12</v>
      </c>
      <c r="CB197" s="20">
        <f t="shared" si="171"/>
        <v>1.0873571598205634E-11</v>
      </c>
      <c r="CC197" s="59">
        <f t="shared" si="195"/>
        <v>293.33333333334417</v>
      </c>
      <c r="CD197" s="59">
        <f ca="1">AVERAGE(OFFSET($CC$3,0,0,'Données projet'!$E$12+1,1))-AVERAGE(OFFSET($H$3,0,0,'Données projet'!$E$12+1,1))</f>
        <v>609.60019207204277</v>
      </c>
      <c r="CE197" s="59">
        <f t="shared" ref="CE197:CE203" si="207">$CE$3</f>
        <v>281.42238288764503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157.37703595329211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157.37703595329211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1.5999999999905867E-2</v>
      </c>
      <c r="CU197" s="17">
        <f>CT197*VLOOKUP('Données projet'!$B$13,Paramètres!$A$1:$I$89,3,0)*VLOOKUP('Données projet'!$B$13,Paramètres!$A$1:$I$89,5,0)</f>
        <v>1.2729599999925107E-2</v>
      </c>
      <c r="CV197" s="13">
        <f t="shared" si="173"/>
        <v>9.7491417338934176E-3</v>
      </c>
      <c r="CW197" s="20">
        <f t="shared" si="174"/>
        <v>3.9150475186400593E-2</v>
      </c>
      <c r="CX197" s="59">
        <f t="shared" si="196"/>
        <v>293.37248380851969</v>
      </c>
      <c r="CY197" s="59">
        <f ca="1">AVERAGE(OFFSET($CX$3,0,0,'Données projet'!$E$13+1,1))-AVERAGE(OFFSET($H$3,0,0,'Données projet'!$E$13+1,1))</f>
        <v>172.13940525084604</v>
      </c>
      <c r="CZ197" s="59">
        <f t="shared" ref="CZ197:CZ203" si="208">$CZ$3</f>
        <v>172.82328007157236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4.7815556650787903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4.7815556650787903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1.7053025658242404E-13</v>
      </c>
      <c r="DP197" s="17">
        <f>DO197*VLOOKUP('Données projet'!$B$14,Paramètres!$A$1:$I$89,3,0)*VLOOKUP('Données projet'!$B$14,Paramètres!$A$1:$I$89,5,0)</f>
        <v>1.250327841262333E-13</v>
      </c>
      <c r="DQ197" s="13">
        <f t="shared" si="176"/>
        <v>1.8301318724634299E-12</v>
      </c>
      <c r="DR197" s="20">
        <f t="shared" si="177"/>
        <v>3.405245110226996E-12</v>
      </c>
      <c r="DS197" s="59">
        <f t="shared" si="197"/>
        <v>293.33333333333672</v>
      </c>
      <c r="DT197" s="59">
        <f ca="1">AVERAGE(OFFSET($DS$3,0,0,'Données projet'!$E$14+1,1))-AVERAGE(OFFSET($H$3,0,0,'Données projet'!$E$14+1,1))</f>
        <v>197.34725966440715</v>
      </c>
      <c r="DU197" s="59">
        <f t="shared" ref="DU197:DU203" si="209">$DU$3</f>
        <v>240.16326570529532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2.5262338883039823</v>
      </c>
      <c r="EB197" s="21">
        <f>EXP(-LN(2)/25)*EB196+(1-EXP(-LN(2)/25))/(LN(2)/25)*Calculateur!DW197*Calculateur!DY197*VLOOKUP('Données projet'!$B$14,Paramètres!$A$1:$I$89,3,0)*0.475*44/12</f>
        <v>0.56833331628228412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3.0945672045862667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5.6843418860808015E-14</v>
      </c>
      <c r="EK197" s="17">
        <f>EJ197*VLOOKUP('Données projet'!$B$15,Paramètres!$A$1:$I$89,3,0)*VLOOKUP('Données projet'!$B$15,Paramètres!$A$1:$I$89,5,0)</f>
        <v>4.4337866711430253E-14</v>
      </c>
      <c r="EL197" s="13">
        <f t="shared" si="179"/>
        <v>7.3222115536967035E-13</v>
      </c>
      <c r="EM197" s="20">
        <f t="shared" si="180"/>
        <v>1.3525069634579169E-12</v>
      </c>
      <c r="EN197" s="59">
        <f t="shared" si="198"/>
        <v>293.33333333333468</v>
      </c>
      <c r="EO197" s="59">
        <f ca="1">AVERAGE(OFFSET($EN$3,0,0,'Données projet'!$E$15+1,1))-AVERAGE(OFFSET($H$3,0,0,'Données projet'!$E$15+1,1))</f>
        <v>288.82868507674738</v>
      </c>
      <c r="EP197" s="59">
        <f t="shared" ref="EP197:EP203" si="210">$EP$3</f>
        <v>283.48738729114024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8.6807695877914313</v>
      </c>
      <c r="EW197" s="21">
        <f>EXP(-LN(2)/25)*EW196+(1-EXP(-LN(2)/25))/(LN(2)/25)*Calculateur!ER197*Calculateur!ET197*VLOOKUP('Données projet'!$B$15,Paramètres!$A$1:$I$89,3,0)*0.475*44/12</f>
        <v>1.5907546975683178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10.271524285359749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4.8316906031686813E-13</v>
      </c>
      <c r="O198" s="13">
        <f>N198*VLOOKUP('Données projet'!$B$9,Paramètres!$A$1:$I$89,3,0)*VLOOKUP('Données projet'!$B$9,Paramètres!$A$1:$I$89,5,0)</f>
        <v>4.3717136577470225E-13</v>
      </c>
      <c r="P198" s="13">
        <f t="shared" si="203"/>
        <v>5.5313598682231701E-12</v>
      </c>
      <c r="Q198" s="20">
        <f t="shared" si="162"/>
        <v>1.039519189921296E-11</v>
      </c>
      <c r="R198" s="59">
        <f t="shared" si="191"/>
        <v>293.33333333334372</v>
      </c>
      <c r="S198" s="59">
        <f ca="1">AVERAGE(OFFSET($R$3,0,0,'Données projet'!$E$9+1,1))-AVERAGE(OFFSET($H$3,0,0,'Données projet'!$E$9+1,1))</f>
        <v>581.88778927327667</v>
      </c>
      <c r="T198" s="59">
        <f t="shared" si="204"/>
        <v>269.67340993773422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146.70288786210128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146.70288786210128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1.7053025658242404E-13</v>
      </c>
      <c r="AJ198" s="13">
        <f>AI198*VLOOKUP('Données projet'!$B$10,Paramètres!$A$1:$I$89,3,0)*VLOOKUP('Données projet'!$B$10,Paramètres!$A$1:$I$89,5,0)</f>
        <v>1.1173142411280423E-13</v>
      </c>
      <c r="AK198" s="13">
        <f t="shared" si="164"/>
        <v>1.6569896290553793E-12</v>
      </c>
      <c r="AL198" s="20">
        <f t="shared" si="165"/>
        <v>3.0805225009345862E-12</v>
      </c>
      <c r="AM198" s="59">
        <f t="shared" si="193"/>
        <v>293.33333333333638</v>
      </c>
      <c r="AN198" s="59">
        <f ca="1">AVERAGE(OFFSET($AM$3,0,0,'Données projet'!$E$10+1,1))-AVERAGE(OFFSET($H$3,0,0,'Données projet'!$E$10+1,1))</f>
        <v>230.58262378842818</v>
      </c>
      <c r="AO198" s="59">
        <f t="shared" si="205"/>
        <v>235.68746142880792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6.9094358370212241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6.9094358370212241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4.3717136577470225E-13</v>
      </c>
      <c r="BF198" s="13">
        <f t="shared" si="167"/>
        <v>5.5313598682231701E-12</v>
      </c>
      <c r="BG198" s="20">
        <f t="shared" si="168"/>
        <v>1.039519189921296E-11</v>
      </c>
      <c r="BH198" s="59">
        <f t="shared" si="194"/>
        <v>293.33333333334372</v>
      </c>
      <c r="BI198" s="59">
        <f ca="1">AVERAGE(OFFSET($BH$3,0,0,'Données projet'!$E$11+1,1))-AVERAGE(OFFSET($H$3,0,0,'Données projet'!$E$11+1,1))</f>
        <v>581.88778927327667</v>
      </c>
      <c r="BJ198" s="59">
        <f t="shared" si="206"/>
        <v>269.67340993773422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146.70288786210128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146.70288786210128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4.5978367779753168E-13</v>
      </c>
      <c r="CA198" s="13">
        <f t="shared" si="170"/>
        <v>5.7834153259568991E-12</v>
      </c>
      <c r="CB198" s="20">
        <f t="shared" si="171"/>
        <v>1.0873571598205634E-11</v>
      </c>
      <c r="CC198" s="59">
        <f t="shared" si="195"/>
        <v>293.33333333334417</v>
      </c>
      <c r="CD198" s="59">
        <f ca="1">AVERAGE(OFFSET($CC$3,0,0,'Données projet'!$E$12+1,1))-AVERAGE(OFFSET($H$3,0,0,'Données projet'!$E$12+1,1))</f>
        <v>609.60019207204277</v>
      </c>
      <c r="CE198" s="59">
        <f t="shared" si="207"/>
        <v>281.42238288764503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154.2909682687617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154.2909682687617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1.5999999999905867E-2</v>
      </c>
      <c r="CU198" s="17">
        <f>CT198*VLOOKUP('Données projet'!$B$13,Paramètres!$A$1:$I$89,3,0)*VLOOKUP('Données projet'!$B$13,Paramètres!$A$1:$I$89,5,0)</f>
        <v>1.2729599999925107E-2</v>
      </c>
      <c r="CV198" s="13">
        <f t="shared" si="173"/>
        <v>9.7491417338934176E-3</v>
      </c>
      <c r="CW198" s="20">
        <f t="shared" si="174"/>
        <v>3.9150475186400593E-2</v>
      </c>
      <c r="CX198" s="59">
        <f t="shared" si="196"/>
        <v>293.37248380851969</v>
      </c>
      <c r="CY198" s="59">
        <f ca="1">AVERAGE(OFFSET($CX$3,0,0,'Données projet'!$E$13+1,1))-AVERAGE(OFFSET($H$3,0,0,'Données projet'!$E$13+1,1))</f>
        <v>172.13940525084604</v>
      </c>
      <c r="CZ198" s="59">
        <f t="shared" si="208"/>
        <v>172.82328007157236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4.687792274947574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4.687792274947574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1.7053025658242404E-13</v>
      </c>
      <c r="DP198" s="17">
        <f>DO198*VLOOKUP('Données projet'!$B$14,Paramètres!$A$1:$I$89,3,0)*VLOOKUP('Données projet'!$B$14,Paramètres!$A$1:$I$89,5,0)</f>
        <v>1.250327841262333E-13</v>
      </c>
      <c r="DQ198" s="13">
        <f t="shared" si="176"/>
        <v>1.8301318724634299E-12</v>
      </c>
      <c r="DR198" s="20">
        <f t="shared" si="177"/>
        <v>3.405245110226996E-12</v>
      </c>
      <c r="DS198" s="59">
        <f t="shared" si="197"/>
        <v>293.33333333333672</v>
      </c>
      <c r="DT198" s="59">
        <f ca="1">AVERAGE(OFFSET($DS$3,0,0,'Données projet'!$E$14+1,1))-AVERAGE(OFFSET($H$3,0,0,'Données projet'!$E$14+1,1))</f>
        <v>197.34725966440715</v>
      </c>
      <c r="DU198" s="59">
        <f t="shared" si="209"/>
        <v>240.16326570529532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2.4766959826048667</v>
      </c>
      <c r="EB198" s="21">
        <f>EXP(-LN(2)/25)*EB197+(1-EXP(-LN(2)/25))/(LN(2)/25)*Calculateur!DW198*Calculateur!DY198*VLOOKUP('Données projet'!$B$14,Paramètres!$A$1:$I$89,3,0)*0.475*44/12</f>
        <v>0.55279221186119487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3.0294881944660617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5.6843418860808015E-14</v>
      </c>
      <c r="EK198" s="17">
        <f>EJ198*VLOOKUP('Données projet'!$B$15,Paramètres!$A$1:$I$89,3,0)*VLOOKUP('Données projet'!$B$15,Paramètres!$A$1:$I$89,5,0)</f>
        <v>4.4337866711430253E-14</v>
      </c>
      <c r="EL198" s="13">
        <f t="shared" si="179"/>
        <v>7.3222115536967035E-13</v>
      </c>
      <c r="EM198" s="20">
        <f t="shared" si="180"/>
        <v>1.3525069634579169E-12</v>
      </c>
      <c r="EN198" s="59">
        <f t="shared" si="198"/>
        <v>293.33333333333468</v>
      </c>
      <c r="EO198" s="59">
        <f ca="1">AVERAGE(OFFSET($EN$3,0,0,'Données projet'!$E$15+1,1))-AVERAGE(OFFSET($H$3,0,0,'Données projet'!$E$15+1,1))</f>
        <v>288.82868507674738</v>
      </c>
      <c r="EP198" s="59">
        <f t="shared" si="210"/>
        <v>283.48738729114024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8.5105449909214776</v>
      </c>
      <c r="EW198" s="21">
        <f>EXP(-LN(2)/25)*EW197+(1-EXP(-LN(2)/25))/(LN(2)/25)*Calculateur!ER198*Calculateur!ET198*VLOOKUP('Données projet'!$B$15,Paramètres!$A$1:$I$89,3,0)*0.475*44/12</f>
        <v>1.5472554267091583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10.057800417630636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4.8316906031686813E-13</v>
      </c>
      <c r="O199" s="13">
        <f>N199*VLOOKUP('Données projet'!$B$9,Paramètres!$A$1:$I$89,3,0)*VLOOKUP('Données projet'!$B$9,Paramètres!$A$1:$I$89,5,0)</f>
        <v>4.3717136577470225E-13</v>
      </c>
      <c r="P199" s="13">
        <f t="shared" si="203"/>
        <v>5.5313598682231701E-12</v>
      </c>
      <c r="Q199" s="20">
        <f t="shared" si="162"/>
        <v>1.039519189921296E-11</v>
      </c>
      <c r="R199" s="59">
        <f t="shared" si="191"/>
        <v>293.33333333334372</v>
      </c>
      <c r="S199" s="59">
        <f ca="1">AVERAGE(OFFSET($R$3,0,0,'Données projet'!$E$9+1,1))-AVERAGE(OFFSET($H$3,0,0,'Données projet'!$E$9+1,1))</f>
        <v>581.88778927327667</v>
      </c>
      <c r="T199" s="59">
        <f t="shared" si="204"/>
        <v>269.67340993773422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143.82613371105165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143.82613371105165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1.7053025658242404E-13</v>
      </c>
      <c r="AJ199" s="13">
        <f>AI199*VLOOKUP('Données projet'!$B$10,Paramètres!$A$1:$I$89,3,0)*VLOOKUP('Données projet'!$B$10,Paramètres!$A$1:$I$89,5,0)</f>
        <v>1.1173142411280423E-13</v>
      </c>
      <c r="AK199" s="13">
        <f t="shared" si="164"/>
        <v>1.6569896290553793E-12</v>
      </c>
      <c r="AL199" s="20">
        <f t="shared" si="165"/>
        <v>3.0805225009345862E-12</v>
      </c>
      <c r="AM199" s="59">
        <f t="shared" si="193"/>
        <v>293.33333333333638</v>
      </c>
      <c r="AN199" s="59">
        <f ca="1">AVERAGE(OFFSET($AM$3,0,0,'Données projet'!$E$10+1,1))-AVERAGE(OFFSET($H$3,0,0,'Données projet'!$E$10+1,1))</f>
        <v>230.58262378842818</v>
      </c>
      <c r="AO199" s="59">
        <f t="shared" si="205"/>
        <v>235.68746142880792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6.7739460145969668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6.7739460145969668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4.3717136577470225E-13</v>
      </c>
      <c r="BF199" s="13">
        <f t="shared" si="167"/>
        <v>5.5313598682231701E-12</v>
      </c>
      <c r="BG199" s="20">
        <f t="shared" si="168"/>
        <v>1.039519189921296E-11</v>
      </c>
      <c r="BH199" s="59">
        <f t="shared" si="194"/>
        <v>293.33333333334372</v>
      </c>
      <c r="BI199" s="59">
        <f ca="1">AVERAGE(OFFSET($BH$3,0,0,'Données projet'!$E$11+1,1))-AVERAGE(OFFSET($H$3,0,0,'Données projet'!$E$11+1,1))</f>
        <v>581.88778927327667</v>
      </c>
      <c r="BJ199" s="59">
        <f t="shared" si="206"/>
        <v>269.67340993773422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143.82613371105165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143.82613371105165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4.5978367779753168E-13</v>
      </c>
      <c r="CA199" s="13">
        <f t="shared" si="170"/>
        <v>5.7834153259568991E-12</v>
      </c>
      <c r="CB199" s="20">
        <f t="shared" si="171"/>
        <v>1.0873571598205634E-11</v>
      </c>
      <c r="CC199" s="59">
        <f t="shared" si="195"/>
        <v>293.33333333334417</v>
      </c>
      <c r="CD199" s="59">
        <f ca="1">AVERAGE(OFFSET($CC$3,0,0,'Données projet'!$E$12+1,1))-AVERAGE(OFFSET($H$3,0,0,'Données projet'!$E$12+1,1))</f>
        <v>609.60019207204277</v>
      </c>
      <c r="CE199" s="59">
        <f t="shared" si="207"/>
        <v>281.42238288764503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151.26541648920951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151.26541648920951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1.5999999999905867E-2</v>
      </c>
      <c r="CU199" s="17">
        <f>CT199*VLOOKUP('Données projet'!$B$13,Paramètres!$A$1:$I$89,3,0)*VLOOKUP('Données projet'!$B$13,Paramètres!$A$1:$I$89,5,0)</f>
        <v>1.2729599999925107E-2</v>
      </c>
      <c r="CV199" s="13">
        <f t="shared" si="173"/>
        <v>9.7491417338934176E-3</v>
      </c>
      <c r="CW199" s="20">
        <f t="shared" si="174"/>
        <v>3.9150475186400593E-2</v>
      </c>
      <c r="CX199" s="59">
        <f t="shared" si="196"/>
        <v>293.37248380851969</v>
      </c>
      <c r="CY199" s="59">
        <f ca="1">AVERAGE(OFFSET($CX$3,0,0,'Données projet'!$E$13+1,1))-AVERAGE(OFFSET($H$3,0,0,'Données projet'!$E$13+1,1))</f>
        <v>172.13940525084604</v>
      </c>
      <c r="CZ199" s="59">
        <f t="shared" si="208"/>
        <v>172.82328007157236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4.59586752770681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4.59586752770681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1.7053025658242404E-13</v>
      </c>
      <c r="DP199" s="17">
        <f>DO199*VLOOKUP('Données projet'!$B$14,Paramètres!$A$1:$I$89,3,0)*VLOOKUP('Données projet'!$B$14,Paramètres!$A$1:$I$89,5,0)</f>
        <v>1.250327841262333E-13</v>
      </c>
      <c r="DQ199" s="13">
        <f t="shared" si="176"/>
        <v>1.8301318724634299E-12</v>
      </c>
      <c r="DR199" s="20">
        <f t="shared" si="177"/>
        <v>3.405245110226996E-12</v>
      </c>
      <c r="DS199" s="59">
        <f t="shared" si="197"/>
        <v>293.33333333333672</v>
      </c>
      <c r="DT199" s="59">
        <f ca="1">AVERAGE(OFFSET($DS$3,0,0,'Données projet'!$E$14+1,1))-AVERAGE(OFFSET($H$3,0,0,'Données projet'!$E$14+1,1))</f>
        <v>197.34725966440715</v>
      </c>
      <c r="DU199" s="59">
        <f t="shared" si="209"/>
        <v>240.16326570529532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2.4281294850213717</v>
      </c>
      <c r="EB199" s="21">
        <f>EXP(-LN(2)/25)*EB198+(1-EXP(-LN(2)/25))/(LN(2)/25)*Calculateur!DW199*Calculateur!DY199*VLOOKUP('Données projet'!$B$14,Paramètres!$A$1:$I$89,3,0)*0.475*44/12</f>
        <v>0.53767607975777154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2.965805564779143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5.6843418860808015E-14</v>
      </c>
      <c r="EK199" s="17">
        <f>EJ199*VLOOKUP('Données projet'!$B$15,Paramètres!$A$1:$I$89,3,0)*VLOOKUP('Données projet'!$B$15,Paramètres!$A$1:$I$89,5,0)</f>
        <v>4.4337866711430253E-14</v>
      </c>
      <c r="EL199" s="13">
        <f t="shared" si="179"/>
        <v>7.3222115536967035E-13</v>
      </c>
      <c r="EM199" s="20">
        <f t="shared" si="180"/>
        <v>1.3525069634579169E-12</v>
      </c>
      <c r="EN199" s="59">
        <f t="shared" si="198"/>
        <v>293.33333333333468</v>
      </c>
      <c r="EO199" s="59">
        <f ca="1">AVERAGE(OFFSET($EN$3,0,0,'Données projet'!$E$15+1,1))-AVERAGE(OFFSET($H$3,0,0,'Données projet'!$E$15+1,1))</f>
        <v>288.82868507674738</v>
      </c>
      <c r="EP199" s="59">
        <f t="shared" si="210"/>
        <v>283.48738729114024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8.3436583945693918</v>
      </c>
      <c r="EW199" s="21">
        <f>EXP(-LN(2)/25)*EW198+(1-EXP(-LN(2)/25))/(LN(2)/25)*Calculateur!ER199*Calculateur!ET199*VLOOKUP('Données projet'!$B$15,Paramètres!$A$1:$I$89,3,0)*0.475*44/12</f>
        <v>1.5049456456991697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9.8486040402685617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4.8316906031686813E-13</v>
      </c>
      <c r="O200" s="13">
        <f>N200*VLOOKUP('Données projet'!$B$9,Paramètres!$A$1:$I$89,3,0)*VLOOKUP('Données projet'!$B$9,Paramètres!$A$1:$I$89,5,0)</f>
        <v>4.3717136577470225E-13</v>
      </c>
      <c r="P200" s="13">
        <f t="shared" si="203"/>
        <v>5.5313598682231701E-12</v>
      </c>
      <c r="Q200" s="20">
        <f t="shared" si="162"/>
        <v>1.039519189921296E-11</v>
      </c>
      <c r="R200" s="59">
        <f t="shared" si="191"/>
        <v>293.33333333334372</v>
      </c>
      <c r="S200" s="59">
        <f ca="1">AVERAGE(OFFSET($R$3,0,0,'Données projet'!$E$9+1,1))-AVERAGE(OFFSET($H$3,0,0,'Données projet'!$E$9+1,1))</f>
        <v>581.88778927327667</v>
      </c>
      <c r="T200" s="59">
        <f t="shared" si="204"/>
        <v>269.67340993773422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141.00579095425735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141.00579095425735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1.7053025658242404E-13</v>
      </c>
      <c r="AJ200" s="13">
        <f>AI200*VLOOKUP('Données projet'!$B$10,Paramètres!$A$1:$I$89,3,0)*VLOOKUP('Données projet'!$B$10,Paramètres!$A$1:$I$89,5,0)</f>
        <v>1.1173142411280423E-13</v>
      </c>
      <c r="AK200" s="13">
        <f t="shared" si="164"/>
        <v>1.6569896290553793E-12</v>
      </c>
      <c r="AL200" s="20">
        <f t="shared" si="165"/>
        <v>3.0805225009345862E-12</v>
      </c>
      <c r="AM200" s="59">
        <f t="shared" si="193"/>
        <v>293.33333333333638</v>
      </c>
      <c r="AN200" s="59">
        <f ca="1">AVERAGE(OFFSET($AM$3,0,0,'Données projet'!$E$10+1,1))-AVERAGE(OFFSET($H$3,0,0,'Données projet'!$E$10+1,1))</f>
        <v>230.58262378842818</v>
      </c>
      <c r="AO200" s="59">
        <f t="shared" si="205"/>
        <v>235.68746142880792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6.6411130649498178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6.6411130649498178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4.3717136577470225E-13</v>
      </c>
      <c r="BF200" s="13">
        <f t="shared" si="167"/>
        <v>5.5313598682231701E-12</v>
      </c>
      <c r="BG200" s="20">
        <f t="shared" si="168"/>
        <v>1.039519189921296E-11</v>
      </c>
      <c r="BH200" s="59">
        <f t="shared" si="194"/>
        <v>293.33333333334372</v>
      </c>
      <c r="BI200" s="59">
        <f ca="1">AVERAGE(OFFSET($BH$3,0,0,'Données projet'!$E$11+1,1))-AVERAGE(OFFSET($H$3,0,0,'Données projet'!$E$11+1,1))</f>
        <v>581.88778927327667</v>
      </c>
      <c r="BJ200" s="59">
        <f t="shared" si="206"/>
        <v>269.67340993773422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141.00579095425735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141.00579095425735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4.5978367779753168E-13</v>
      </c>
      <c r="CA200" s="13">
        <f t="shared" si="170"/>
        <v>5.7834153259568991E-12</v>
      </c>
      <c r="CB200" s="20">
        <f t="shared" si="171"/>
        <v>1.0873571598205634E-11</v>
      </c>
      <c r="CC200" s="59">
        <f t="shared" si="195"/>
        <v>293.33333333334417</v>
      </c>
      <c r="CD200" s="59">
        <f ca="1">AVERAGE(OFFSET($CC$3,0,0,'Données projet'!$E$12+1,1))-AVERAGE(OFFSET($H$3,0,0,'Données projet'!$E$12+1,1))</f>
        <v>609.60019207204277</v>
      </c>
      <c r="CE200" s="59">
        <f t="shared" si="207"/>
        <v>281.42238288764503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148.29919393464999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148.29919393464999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1.5999999999905867E-2</v>
      </c>
      <c r="CU200" s="17">
        <f>CT200*VLOOKUP('Données projet'!$B$13,Paramètres!$A$1:$I$89,3,0)*VLOOKUP('Données projet'!$B$13,Paramètres!$A$1:$I$89,5,0)</f>
        <v>1.2729599999925107E-2</v>
      </c>
      <c r="CV200" s="13">
        <f t="shared" si="173"/>
        <v>9.7491417338934176E-3</v>
      </c>
      <c r="CW200" s="20">
        <f t="shared" si="174"/>
        <v>3.9150475186400593E-2</v>
      </c>
      <c r="CX200" s="59">
        <f t="shared" si="196"/>
        <v>293.37248380851969</v>
      </c>
      <c r="CY200" s="59">
        <f ca="1">AVERAGE(OFFSET($CX$3,0,0,'Données projet'!$E$13+1,1))-AVERAGE(OFFSET($H$3,0,0,'Données projet'!$E$13+1,1))</f>
        <v>172.13940525084604</v>
      </c>
      <c r="CZ200" s="59">
        <f t="shared" si="208"/>
        <v>172.82328007157236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4.5057453686908779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4.5057453686908779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1.7053025658242404E-13</v>
      </c>
      <c r="DP200" s="17">
        <f>DO200*VLOOKUP('Données projet'!$B$14,Paramètres!$A$1:$I$89,3,0)*VLOOKUP('Données projet'!$B$14,Paramètres!$A$1:$I$89,5,0)</f>
        <v>1.250327841262333E-13</v>
      </c>
      <c r="DQ200" s="13">
        <f t="shared" si="176"/>
        <v>1.8301318724634299E-12</v>
      </c>
      <c r="DR200" s="20">
        <f t="shared" si="177"/>
        <v>3.405245110226996E-12</v>
      </c>
      <c r="DS200" s="59">
        <f t="shared" si="197"/>
        <v>293.33333333333672</v>
      </c>
      <c r="DT200" s="59">
        <f ca="1">AVERAGE(OFFSET($DS$3,0,0,'Données projet'!$E$14+1,1))-AVERAGE(OFFSET($H$3,0,0,'Données projet'!$E$14+1,1))</f>
        <v>197.34725966440715</v>
      </c>
      <c r="DU200" s="59">
        <f t="shared" si="209"/>
        <v>240.16326570529532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2.3805153468328508</v>
      </c>
      <c r="EB200" s="21">
        <f>EXP(-LN(2)/25)*EB199+(1-EXP(-LN(2)/25))/(LN(2)/25)*Calculateur!DW200*Calculateur!DY200*VLOOKUP('Données projet'!$B$14,Paramètres!$A$1:$I$89,3,0)*0.475*44/12</f>
        <v>0.52297329908163914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2.9034886459144902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5.6843418860808015E-14</v>
      </c>
      <c r="EK200" s="17">
        <f>EJ200*VLOOKUP('Données projet'!$B$15,Paramètres!$A$1:$I$89,3,0)*VLOOKUP('Données projet'!$B$15,Paramètres!$A$1:$I$89,5,0)</f>
        <v>4.4337866711430253E-14</v>
      </c>
      <c r="EL200" s="13">
        <f t="shared" si="179"/>
        <v>7.3222115536967035E-13</v>
      </c>
      <c r="EM200" s="20">
        <f t="shared" si="180"/>
        <v>1.3525069634579169E-12</v>
      </c>
      <c r="EN200" s="59">
        <f t="shared" si="198"/>
        <v>293.33333333333468</v>
      </c>
      <c r="EO200" s="59">
        <f ca="1">AVERAGE(OFFSET($EN$3,0,0,'Données projet'!$E$15+1,1))-AVERAGE(OFFSET($H$3,0,0,'Données projet'!$E$15+1,1))</f>
        <v>288.82868507674738</v>
      </c>
      <c r="EP200" s="59">
        <f t="shared" si="210"/>
        <v>283.48738729114024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8.180044342580997</v>
      </c>
      <c r="EW200" s="21">
        <f>EXP(-LN(2)/25)*EW199+(1-EXP(-LN(2)/25))/(LN(2)/25)*Calculateur!ER200*Calculateur!ET200*VLOOKUP('Données projet'!$B$15,Paramètres!$A$1:$I$89,3,0)*0.475*44/12</f>
        <v>1.4637928278758741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9.6438371704568713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4.8316906031686813E-13</v>
      </c>
      <c r="O201" s="13">
        <f>N201*VLOOKUP('Données projet'!$B$9,Paramètres!$A$1:$I$89,3,0)*VLOOKUP('Données projet'!$B$9,Paramètres!$A$1:$I$89,5,0)</f>
        <v>4.3717136577470225E-13</v>
      </c>
      <c r="P201" s="13">
        <f t="shared" si="203"/>
        <v>5.5313598682231701E-12</v>
      </c>
      <c r="Q201" s="20">
        <f t="shared" si="162"/>
        <v>1.039519189921296E-11</v>
      </c>
      <c r="R201" s="59">
        <f t="shared" si="191"/>
        <v>293.33333333334372</v>
      </c>
      <c r="S201" s="59">
        <f ca="1">AVERAGE(OFFSET($R$3,0,0,'Données projet'!$E$9+1,1))-AVERAGE(OFFSET($H$3,0,0,'Données projet'!$E$9+1,1))</f>
        <v>581.88778927327667</v>
      </c>
      <c r="T201" s="59">
        <f t="shared" si="204"/>
        <v>269.67340993773422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138.24075339868455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138.24075339868455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1.7053025658242404E-13</v>
      </c>
      <c r="AJ201" s="13">
        <f>AI201*VLOOKUP('Données projet'!$B$10,Paramètres!$A$1:$I$89,3,0)*VLOOKUP('Données projet'!$B$10,Paramètres!$A$1:$I$89,5,0)</f>
        <v>1.1173142411280423E-13</v>
      </c>
      <c r="AK201" s="13">
        <f t="shared" si="164"/>
        <v>1.6569896290553793E-12</v>
      </c>
      <c r="AL201" s="20">
        <f t="shared" si="165"/>
        <v>3.0805225009345862E-12</v>
      </c>
      <c r="AM201" s="59">
        <f t="shared" si="193"/>
        <v>293.33333333333638</v>
      </c>
      <c r="AN201" s="59">
        <f ca="1">AVERAGE(OFFSET($AM$3,0,0,'Données projet'!$E$10+1,1))-AVERAGE(OFFSET($H$3,0,0,'Données projet'!$E$10+1,1))</f>
        <v>230.58262378842818</v>
      </c>
      <c r="AO201" s="59">
        <f t="shared" si="205"/>
        <v>235.68746142880792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6.5108848884251502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6.5108848884251502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4.3717136577470225E-13</v>
      </c>
      <c r="BF201" s="13">
        <f t="shared" si="167"/>
        <v>5.5313598682231701E-12</v>
      </c>
      <c r="BG201" s="20">
        <f t="shared" si="168"/>
        <v>1.039519189921296E-11</v>
      </c>
      <c r="BH201" s="59">
        <f t="shared" si="194"/>
        <v>293.33333333334372</v>
      </c>
      <c r="BI201" s="59">
        <f ca="1">AVERAGE(OFFSET($BH$3,0,0,'Données projet'!$E$11+1,1))-AVERAGE(OFFSET($H$3,0,0,'Données projet'!$E$11+1,1))</f>
        <v>581.88778927327667</v>
      </c>
      <c r="BJ201" s="59">
        <f t="shared" si="206"/>
        <v>269.67340993773422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138.24075339868455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138.24075339868455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4.5978367779753168E-13</v>
      </c>
      <c r="CA201" s="13">
        <f t="shared" si="170"/>
        <v>5.7834153259568991E-12</v>
      </c>
      <c r="CB201" s="20">
        <f t="shared" si="171"/>
        <v>1.0873571598205634E-11</v>
      </c>
      <c r="CC201" s="59">
        <f t="shared" si="195"/>
        <v>293.33333333334417</v>
      </c>
      <c r="CD201" s="59">
        <f ca="1">AVERAGE(OFFSET($CC$3,0,0,'Données projet'!$E$12+1,1))-AVERAGE(OFFSET($H$3,0,0,'Données projet'!$E$12+1,1))</f>
        <v>609.60019207204277</v>
      </c>
      <c r="CE201" s="59">
        <f t="shared" si="207"/>
        <v>281.42238288764503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145.39113719516826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145.39113719516826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1.5999999999905867E-2</v>
      </c>
      <c r="CU201" s="17">
        <f>CT201*VLOOKUP('Données projet'!$B$13,Paramètres!$A$1:$I$89,3,0)*VLOOKUP('Données projet'!$B$13,Paramètres!$A$1:$I$89,5,0)</f>
        <v>1.2729599999925107E-2</v>
      </c>
      <c r="CV201" s="13">
        <f t="shared" si="173"/>
        <v>9.7491417338934176E-3</v>
      </c>
      <c r="CW201" s="20">
        <f t="shared" si="174"/>
        <v>3.9150475186400593E-2</v>
      </c>
      <c r="CX201" s="59">
        <f t="shared" si="196"/>
        <v>293.37248380851969</v>
      </c>
      <c r="CY201" s="59">
        <f ca="1">AVERAGE(OFFSET($CX$3,0,0,'Données projet'!$E$13+1,1))-AVERAGE(OFFSET($H$3,0,0,'Données projet'!$E$13+1,1))</f>
        <v>172.13940525084604</v>
      </c>
      <c r="CZ201" s="59">
        <f t="shared" si="208"/>
        <v>172.82328007157236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4.4173904502441594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4.4173904502441594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1.7053025658242404E-13</v>
      </c>
      <c r="DP201" s="17">
        <f>DO201*VLOOKUP('Données projet'!$B$14,Paramètres!$A$1:$I$89,3,0)*VLOOKUP('Données projet'!$B$14,Paramètres!$A$1:$I$89,5,0)</f>
        <v>1.250327841262333E-13</v>
      </c>
      <c r="DQ201" s="13">
        <f t="shared" si="176"/>
        <v>1.8301318724634299E-12</v>
      </c>
      <c r="DR201" s="20">
        <f t="shared" si="177"/>
        <v>3.405245110226996E-12</v>
      </c>
      <c r="DS201" s="59">
        <f t="shared" si="197"/>
        <v>293.33333333333672</v>
      </c>
      <c r="DT201" s="59">
        <f ca="1">AVERAGE(OFFSET($DS$3,0,0,'Données projet'!$E$14+1,1))-AVERAGE(OFFSET($H$3,0,0,'Données projet'!$E$14+1,1))</f>
        <v>197.34725966440715</v>
      </c>
      <c r="DU201" s="59">
        <f t="shared" si="209"/>
        <v>240.16326570529532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2.3338348928524502</v>
      </c>
      <c r="EB201" s="21">
        <f>EXP(-LN(2)/25)*EB200+(1-EXP(-LN(2)/25))/(LN(2)/25)*Calculateur!DW201*Calculateur!DY201*VLOOKUP('Données projet'!$B$14,Paramètres!$A$1:$I$89,3,0)*0.475*44/12</f>
        <v>0.50867256671628114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2.8425074595687314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5.6843418860808015E-14</v>
      </c>
      <c r="EK201" s="17">
        <f>EJ201*VLOOKUP('Données projet'!$B$15,Paramètres!$A$1:$I$89,3,0)*VLOOKUP('Données projet'!$B$15,Paramètres!$A$1:$I$89,5,0)</f>
        <v>4.4337866711430253E-14</v>
      </c>
      <c r="EL201" s="13">
        <f t="shared" si="179"/>
        <v>7.3222115536967035E-13</v>
      </c>
      <c r="EM201" s="20">
        <f t="shared" si="180"/>
        <v>1.3525069634579169E-12</v>
      </c>
      <c r="EN201" s="59">
        <f t="shared" si="198"/>
        <v>293.33333333333468</v>
      </c>
      <c r="EO201" s="59">
        <f ca="1">AVERAGE(OFFSET($EN$3,0,0,'Données projet'!$E$15+1,1))-AVERAGE(OFFSET($H$3,0,0,'Données projet'!$E$15+1,1))</f>
        <v>288.82868507674738</v>
      </c>
      <c r="EP201" s="59">
        <f t="shared" si="210"/>
        <v>283.48738729114024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8.0196386623573765</v>
      </c>
      <c r="EW201" s="21">
        <f>EXP(-LN(2)/25)*EW200+(1-EXP(-LN(2)/25))/(LN(2)/25)*Calculateur!ER201*Calculateur!ET201*VLOOKUP('Données projet'!$B$15,Paramètres!$A$1:$I$89,3,0)*0.475*44/12</f>
        <v>1.423765336020089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9.443403998377466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4.8316906031686813E-13</v>
      </c>
      <c r="O202" s="13">
        <f>N202*VLOOKUP('Données projet'!$B$9,Paramètres!$A$1:$I$89,3,0)*VLOOKUP('Données projet'!$B$9,Paramètres!$A$1:$I$89,5,0)</f>
        <v>4.3717136577470225E-13</v>
      </c>
      <c r="P202" s="13">
        <f t="shared" si="203"/>
        <v>5.5313598682231701E-12</v>
      </c>
      <c r="Q202" s="20">
        <f t="shared" si="162"/>
        <v>1.039519189921296E-11</v>
      </c>
      <c r="R202" s="59">
        <f t="shared" si="191"/>
        <v>293.33333333334372</v>
      </c>
      <c r="S202" s="59">
        <f ca="1">AVERAGE(OFFSET($R$3,0,0,'Données projet'!$E$9+1,1))-AVERAGE(OFFSET($H$3,0,0,'Données projet'!$E$9+1,1))</f>
        <v>581.88778927327667</v>
      </c>
      <c r="T202" s="59">
        <f t="shared" si="204"/>
        <v>269.67340993773422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135.52993654307016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135.52993654307016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1.7053025658242404E-13</v>
      </c>
      <c r="AJ202" s="13">
        <f>AI202*VLOOKUP('Données projet'!$B$10,Paramètres!$A$1:$I$89,3,0)*VLOOKUP('Données projet'!$B$10,Paramètres!$A$1:$I$89,5,0)</f>
        <v>1.1173142411280423E-13</v>
      </c>
      <c r="AK202" s="13">
        <f t="shared" si="164"/>
        <v>1.6569896290553793E-12</v>
      </c>
      <c r="AL202" s="20">
        <f t="shared" si="165"/>
        <v>3.0805225009345862E-12</v>
      </c>
      <c r="AM202" s="59">
        <f t="shared" si="193"/>
        <v>293.33333333333638</v>
      </c>
      <c r="AN202" s="59">
        <f ca="1">AVERAGE(OFFSET($AM$3,0,0,'Données projet'!$E$10+1,1))-AVERAGE(OFFSET($H$3,0,0,'Données projet'!$E$10+1,1))</f>
        <v>230.58262378842818</v>
      </c>
      <c r="AO202" s="59">
        <f t="shared" si="205"/>
        <v>235.68746142880792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6.3832104070107869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6.3832104070107869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4.3717136577470225E-13</v>
      </c>
      <c r="BF202" s="13">
        <f t="shared" si="167"/>
        <v>5.5313598682231701E-12</v>
      </c>
      <c r="BG202" s="20">
        <f t="shared" si="168"/>
        <v>1.039519189921296E-11</v>
      </c>
      <c r="BH202" s="59">
        <f t="shared" si="194"/>
        <v>293.33333333334372</v>
      </c>
      <c r="BI202" s="59">
        <f ca="1">AVERAGE(OFFSET($BH$3,0,0,'Données projet'!$E$11+1,1))-AVERAGE(OFFSET($H$3,0,0,'Données projet'!$E$11+1,1))</f>
        <v>581.88778927327667</v>
      </c>
      <c r="BJ202" s="59">
        <f t="shared" si="206"/>
        <v>269.67340993773422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135.52993654307016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135.52993654307016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4.5978367779753168E-13</v>
      </c>
      <c r="CA202" s="13">
        <f t="shared" si="170"/>
        <v>5.7834153259568991E-12</v>
      </c>
      <c r="CB202" s="20">
        <f t="shared" si="171"/>
        <v>1.0873571598205634E-11</v>
      </c>
      <c r="CC202" s="59">
        <f t="shared" si="195"/>
        <v>293.33333333334417</v>
      </c>
      <c r="CD202" s="59">
        <f ca="1">AVERAGE(OFFSET($CC$3,0,0,'Données projet'!$E$12+1,1))-AVERAGE(OFFSET($H$3,0,0,'Données projet'!$E$12+1,1))</f>
        <v>609.60019207204277</v>
      </c>
      <c r="CE202" s="59">
        <f t="shared" si="207"/>
        <v>281.42238288764503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142.5401056746083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142.5401056746083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1.5999999999905867E-2</v>
      </c>
      <c r="CU202" s="17">
        <f>CT202*VLOOKUP('Données projet'!$B$13,Paramètres!$A$1:$I$89,3,0)*VLOOKUP('Données projet'!$B$13,Paramètres!$A$1:$I$89,5,0)</f>
        <v>1.2729599999925107E-2</v>
      </c>
      <c r="CV202" s="13">
        <f t="shared" si="173"/>
        <v>9.7491417338934176E-3</v>
      </c>
      <c r="CW202" s="20">
        <f t="shared" si="174"/>
        <v>3.9150475186400593E-2</v>
      </c>
      <c r="CX202" s="59">
        <f t="shared" si="196"/>
        <v>293.37248380851969</v>
      </c>
      <c r="CY202" s="59">
        <f ca="1">AVERAGE(OFFSET($CX$3,0,0,'Données projet'!$E$13+1,1))-AVERAGE(OFFSET($H$3,0,0,'Données projet'!$E$13+1,1))</f>
        <v>172.13940525084604</v>
      </c>
      <c r="CZ202" s="59">
        <f t="shared" si="208"/>
        <v>172.82328007157236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4.3307681178570023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4.3307681178570023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1.7053025658242404E-13</v>
      </c>
      <c r="DP202" s="17">
        <f>DO202*VLOOKUP('Données projet'!$B$14,Paramètres!$A$1:$I$89,3,0)*VLOOKUP('Données projet'!$B$14,Paramètres!$A$1:$I$89,5,0)</f>
        <v>1.250327841262333E-13</v>
      </c>
      <c r="DQ202" s="13">
        <f t="shared" si="176"/>
        <v>1.8301318724634299E-12</v>
      </c>
      <c r="DR202" s="20">
        <f t="shared" si="177"/>
        <v>3.405245110226996E-12</v>
      </c>
      <c r="DS202" s="59">
        <f t="shared" si="197"/>
        <v>293.33333333333672</v>
      </c>
      <c r="DT202" s="59">
        <f ca="1">AVERAGE(OFFSET($DS$3,0,0,'Données projet'!$E$14+1,1))-AVERAGE(OFFSET($H$3,0,0,'Données projet'!$E$14+1,1))</f>
        <v>197.34725966440715</v>
      </c>
      <c r="DU202" s="59">
        <f t="shared" si="209"/>
        <v>240.16326570529532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2.2880698141023394</v>
      </c>
      <c r="EB202" s="21">
        <f>EXP(-LN(2)/25)*EB201+(1-EXP(-LN(2)/25))/(LN(2)/25)*Calculateur!DW202*Calculateur!DY202*VLOOKUP('Données projet'!$B$14,Paramètres!$A$1:$I$89,3,0)*0.475*44/12</f>
        <v>0.49476288862949674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2.7828327027318362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5.6843418860808015E-14</v>
      </c>
      <c r="EK202" s="17">
        <f>EJ202*VLOOKUP('Données projet'!$B$15,Paramètres!$A$1:$I$89,3,0)*VLOOKUP('Données projet'!$B$15,Paramètres!$A$1:$I$89,5,0)</f>
        <v>4.4337866711430253E-14</v>
      </c>
      <c r="EL202" s="13">
        <f t="shared" si="179"/>
        <v>7.3222115536967035E-13</v>
      </c>
      <c r="EM202" s="20">
        <f t="shared" si="180"/>
        <v>1.3525069634579169E-12</v>
      </c>
      <c r="EN202" s="59">
        <f t="shared" si="198"/>
        <v>293.33333333333468</v>
      </c>
      <c r="EO202" s="59">
        <f ca="1">AVERAGE(OFFSET($EN$3,0,0,'Données projet'!$E$15+1,1))-AVERAGE(OFFSET($H$3,0,0,'Données projet'!$E$15+1,1))</f>
        <v>288.82868507674738</v>
      </c>
      <c r="EP202" s="59">
        <f t="shared" si="210"/>
        <v>283.48738729114024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7.8623784396851368</v>
      </c>
      <c r="EW202" s="21">
        <f>EXP(-LN(2)/25)*EW201+(1-EXP(-LN(2)/25))/(LN(2)/25)*Calculateur!ER202*Calculateur!ET202*VLOOKUP('Données projet'!$B$15,Paramètres!$A$1:$I$89,3,0)*0.475*44/12</f>
        <v>1.3848323980340547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9.2472108377191908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4.8316906031686813E-13</v>
      </c>
      <c r="O203" s="13">
        <f>N203*VLOOKUP('Données projet'!$B$9,Paramètres!$A$1:$I$89,3,0)*VLOOKUP('Données projet'!$B$9,Paramètres!$A$1:$I$89,5,0)</f>
        <v>4.3717136577470225E-13</v>
      </c>
      <c r="P203" s="13">
        <f t="shared" si="203"/>
        <v>5.5313598682231701E-12</v>
      </c>
      <c r="Q203" s="20">
        <f t="shared" si="162"/>
        <v>1.039519189921296E-11</v>
      </c>
      <c r="R203" s="59">
        <f t="shared" si="191"/>
        <v>293.33333333334372</v>
      </c>
      <c r="S203" s="59">
        <f ca="1">AVERAGE(OFFSET($R$3,0,0,'Données projet'!$E$9+1,1))-AVERAGE(OFFSET($H$3,0,0,'Données projet'!$E$9+1,1))</f>
        <v>581.88778927327667</v>
      </c>
      <c r="T203" s="59">
        <f t="shared" si="204"/>
        <v>269.67340993773422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132.87227715255935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132.87227715255935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1.7053025658242404E-13</v>
      </c>
      <c r="AJ203" s="13">
        <f>AI203*VLOOKUP('Données projet'!$B$10,Paramètres!$A$1:$I$89,3,0)*VLOOKUP('Données projet'!$B$10,Paramètres!$A$1:$I$89,5,0)</f>
        <v>1.1173142411280423E-13</v>
      </c>
      <c r="AK203" s="13">
        <f t="shared" si="164"/>
        <v>1.6569896290553793E-12</v>
      </c>
      <c r="AL203" s="20">
        <f t="shared" si="165"/>
        <v>3.0805225009345862E-12</v>
      </c>
      <c r="AM203" s="59">
        <f t="shared" si="193"/>
        <v>293.33333333333638</v>
      </c>
      <c r="AN203" s="59">
        <f ca="1">AVERAGE(OFFSET($AM$3,0,0,'Données projet'!$E$10+1,1))-AVERAGE(OFFSET($H$3,0,0,'Données projet'!$E$10+1,1))</f>
        <v>230.58262378842818</v>
      </c>
      <c r="AO203" s="59">
        <f t="shared" si="205"/>
        <v>235.68746142880792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6.2580395443032151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6.2580395443032151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4.3717136577470225E-13</v>
      </c>
      <c r="BF203" s="13">
        <f t="shared" si="167"/>
        <v>5.5313598682231701E-12</v>
      </c>
      <c r="BG203" s="20">
        <f t="shared" si="168"/>
        <v>1.039519189921296E-11</v>
      </c>
      <c r="BH203" s="59">
        <f t="shared" si="194"/>
        <v>293.33333333334372</v>
      </c>
      <c r="BI203" s="59">
        <f ca="1">AVERAGE(OFFSET($BH$3,0,0,'Données projet'!$E$11+1,1))-AVERAGE(OFFSET($H$3,0,0,'Données projet'!$E$11+1,1))</f>
        <v>581.88778927327667</v>
      </c>
      <c r="BJ203" s="59">
        <f t="shared" si="206"/>
        <v>269.67340993773422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132.87227715255935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132.87227715255935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4.5978367779753168E-13</v>
      </c>
      <c r="CA203" s="13">
        <f t="shared" si="170"/>
        <v>5.7834153259568991E-12</v>
      </c>
      <c r="CB203" s="20">
        <f t="shared" si="171"/>
        <v>1.0873571598205634E-11</v>
      </c>
      <c r="CC203" s="59">
        <f t="shared" si="195"/>
        <v>293.33333333334417</v>
      </c>
      <c r="CD203" s="59">
        <f ca="1">AVERAGE(OFFSET($CC$3,0,0,'Données projet'!$E$12+1,1))-AVERAGE(OFFSET($H$3,0,0,'Données projet'!$E$12+1,1))</f>
        <v>609.60019207204277</v>
      </c>
      <c r="CE203" s="59">
        <f t="shared" si="207"/>
        <v>281.42238288764503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139.744981143209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139.744981143209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1.5999999999905867E-2</v>
      </c>
      <c r="CU203" s="17">
        <f>CT203*VLOOKUP('Données projet'!$B$13,Paramètres!$A$1:$I$89,3,0)*VLOOKUP('Données projet'!$B$13,Paramètres!$A$1:$I$89,5,0)</f>
        <v>1.2729599999925107E-2</v>
      </c>
      <c r="CV203" s="13">
        <f t="shared" si="173"/>
        <v>9.7491417338934176E-3</v>
      </c>
      <c r="CW203" s="20">
        <f t="shared" si="174"/>
        <v>3.9150475186400593E-2</v>
      </c>
      <c r="CX203" s="59">
        <f t="shared" si="196"/>
        <v>293.37248380851969</v>
      </c>
      <c r="CY203" s="59">
        <f ca="1">AVERAGE(OFFSET($CX$3,0,0,'Données projet'!$E$13+1,1))-AVERAGE(OFFSET($H$3,0,0,'Données projet'!$E$13+1,1))</f>
        <v>172.13940525084604</v>
      </c>
      <c r="CZ203" s="59">
        <f t="shared" si="208"/>
        <v>172.82328007157236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4.2458443965735508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4.2458443965735508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1.7053025658242404E-13</v>
      </c>
      <c r="DP203" s="17">
        <f>DO203*VLOOKUP('Données projet'!$B$14,Paramètres!$A$1:$I$89,3,0)*VLOOKUP('Données projet'!$B$14,Paramètres!$A$1:$I$89,5,0)</f>
        <v>1.250327841262333E-13</v>
      </c>
      <c r="DQ203" s="13">
        <f t="shared" si="176"/>
        <v>1.8301318724634299E-12</v>
      </c>
      <c r="DR203" s="20">
        <f t="shared" si="177"/>
        <v>3.405245110226996E-12</v>
      </c>
      <c r="DS203" s="59">
        <f t="shared" si="197"/>
        <v>293.33333333333672</v>
      </c>
      <c r="DT203" s="59">
        <f ca="1">AVERAGE(OFFSET($DS$3,0,0,'Données projet'!$E$14+1,1))-AVERAGE(OFFSET($H$3,0,0,'Données projet'!$E$14+1,1))</f>
        <v>197.34725966440715</v>
      </c>
      <c r="DU203" s="59">
        <f t="shared" si="209"/>
        <v>240.16326570529532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2.2432021606325767</v>
      </c>
      <c r="EB203" s="21">
        <f>EXP(-LN(2)/25)*EB202+(1-EXP(-LN(2)/25))/(LN(2)/25)*Calculateur!DW203*Calculateur!DY203*VLOOKUP('Données projet'!$B$14,Paramètres!$A$1:$I$89,3,0)*0.475*44/12</f>
        <v>0.48123357142147366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2.7244357320540504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5.6843418860808015E-14</v>
      </c>
      <c r="EK203" s="17">
        <f>EJ203*VLOOKUP('Données projet'!$B$15,Paramètres!$A$1:$I$89,3,0)*VLOOKUP('Données projet'!$B$15,Paramètres!$A$1:$I$89,5,0)</f>
        <v>4.4337866711430253E-14</v>
      </c>
      <c r="EL203" s="13">
        <f t="shared" si="179"/>
        <v>7.3222115536967035E-13</v>
      </c>
      <c r="EM203" s="20">
        <f t="shared" si="180"/>
        <v>1.3525069634579169E-12</v>
      </c>
      <c r="EN203" s="59">
        <f t="shared" si="198"/>
        <v>293.33333333333468</v>
      </c>
      <c r="EO203" s="59">
        <f ca="1">AVERAGE(OFFSET($EN$3,0,0,'Données projet'!$E$15+1,1))-AVERAGE(OFFSET($H$3,0,0,'Données projet'!$E$15+1,1))</f>
        <v>288.82868507674738</v>
      </c>
      <c r="EP203" s="59">
        <f t="shared" si="210"/>
        <v>283.48738729114024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7.7082019940602358</v>
      </c>
      <c r="EW203" s="21">
        <f>EXP(-LN(2)/25)*EW202+(1-EXP(-LN(2)/25))/(LN(2)/25)*Calculateur!ER203*Calculateur!ET203*VLOOKUP('Données projet'!$B$15,Paramètres!$A$1:$I$89,3,0)*0.475*44/12</f>
        <v>1.3469640832846428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9.0551660773448788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1.1289835501862808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1.2457309396155174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>
        <f>EXP(LN('Données projet'!B140)/'Données projet'!A140)</f>
        <v>1.1877463287677161</v>
      </c>
      <c r="DL205" s="82">
        <f>EXP(LN('Données projet'!B166)/'Données projet'!A166)</f>
        <v>1.6071994829923506</v>
      </c>
      <c r="EG205" s="82">
        <f>EXP(LN('Données projet'!B192)/'Données projet'!A192)</f>
        <v>1.2788040393997409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6" sqref="K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sessile</v>
      </c>
      <c r="B6" s="146">
        <f>'Données projet'!D9</f>
        <v>2.647650014779781</v>
      </c>
      <c r="C6" s="147">
        <f ca="1">IF(OR('Données projet'!B9="",'Données projet'!C9="",'Données projet'!C9=0%),0,Calculateur!S3)</f>
        <v>581.88778927327667</v>
      </c>
      <c r="D6" s="147">
        <f>IF(OR('Données projet'!B9="",'Données projet'!C9="",'Données projet'!C9=0%),0,Calculateur!T3)</f>
        <v>269.67340993773422</v>
      </c>
      <c r="E6" s="147">
        <f ca="1">MIN(C6,D6)</f>
        <v>269.67340993773422</v>
      </c>
      <c r="F6" s="147">
        <f ca="1">E6*B6</f>
        <v>714.00080780735595</v>
      </c>
      <c r="G6" s="147">
        <f ca="1">F6*(100%-'Données projet'!$C$24)*(100%-'Données projet'!$C$25)*(100%-'Données projet'!$C$26)*(100%-'Données projet'!$C$27)</f>
        <v>642.60072702662035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642.60072702662035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Aulne glutineux</v>
      </c>
      <c r="B7" s="154">
        <f>'Données projet'!D10</f>
        <v>3.2970736033106705E-2</v>
      </c>
      <c r="C7" s="147">
        <f ca="1">IF(OR('Données projet'!B10="",'Données projet'!C10="",'Données projet'!C10=0%),0,Calculateur!AN3)</f>
        <v>230.58262378842818</v>
      </c>
      <c r="D7" s="147">
        <f>IF(OR('Données projet'!B10="",'Données projet'!C10="",'Données projet'!C10=0%),0,Calculateur!AO3)</f>
        <v>235.68746142880792</v>
      </c>
      <c r="E7" s="147">
        <f t="shared" ref="E7:E15" ca="1" si="0">MIN(C7,D7)</f>
        <v>230.58262378842818</v>
      </c>
      <c r="F7" s="147">
        <f t="shared" ref="F7:F15" ca="1" si="1">E7*B7</f>
        <v>7.6024788227494167</v>
      </c>
      <c r="G7" s="147">
        <f ca="1">F7*(100%-'Données projet'!$C$24)*(100%-'Données projet'!$C$25)*(100%-'Données projet'!$C$26)*(100%-'Données projet'!$C$27)</f>
        <v>6.842230940474475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0.42037688442211052</v>
      </c>
      <c r="K7" s="151">
        <f>J7*(100%-'Données projet'!$C$24)*(100%-'Données projet'!$C$25)*(100%-'Données projet'!$C$26)*(100%-'Données projet'!$C$27)</f>
        <v>0.37833919597989946</v>
      </c>
      <c r="L7" s="152">
        <f t="shared" ref="L7:L15" ca="1" si="2">G7+I7+K7</f>
        <v>7.2205701364543744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0.13987584983742241</v>
      </c>
      <c r="C8" s="147">
        <f ca="1">IF(OR('Données projet'!B11="",'Données projet'!C11="",'Données projet'!C11=0%),0,Calculateur!BI3)</f>
        <v>581.88778927327667</v>
      </c>
      <c r="D8" s="147">
        <f>IF(OR('Données projet'!B11="",'Données projet'!C11="",'Données projet'!C11=0%),0,Calculateur!BJ3)</f>
        <v>269.67340993773422</v>
      </c>
      <c r="E8" s="147">
        <f t="shared" ca="1" si="0"/>
        <v>269.67340993773422</v>
      </c>
      <c r="F8" s="147">
        <f t="shared" ca="1" si="1"/>
        <v>37.720797393596165</v>
      </c>
      <c r="G8" s="147">
        <f ca="1">F8*(100%-'Données projet'!$C$24)*(100%-'Données projet'!$C$25)*(100%-'Données projet'!$C$26)*(100%-'Données projet'!$C$27)</f>
        <v>33.948717654236546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33.948717654236546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Charme</v>
      </c>
      <c r="B9" s="154">
        <f>'Données projet'!D12</f>
        <v>0.13987584983742241</v>
      </c>
      <c r="C9" s="147">
        <f ca="1">IF(OR('Données projet'!B12="",'Données projet'!C12="",'Données projet'!C12=0%),0,Calculateur!CD3)</f>
        <v>609.60019207204277</v>
      </c>
      <c r="D9" s="147">
        <f>IF(OR('Données projet'!B12="",'Données projet'!C12="",'Données projet'!C12=0%),0,Calculateur!CE3)</f>
        <v>281.42238288764503</v>
      </c>
      <c r="E9" s="147">
        <f t="shared" ca="1" si="0"/>
        <v>281.42238288764503</v>
      </c>
      <c r="F9" s="147">
        <f t="shared" ca="1" si="1"/>
        <v>39.364194969681826</v>
      </c>
      <c r="G9" s="147">
        <f ca="1">F9*(100%-'Données projet'!$C$24)*(100%-'Données projet'!$C$25)*(100%-'Données projet'!$C$26)*(100%-'Données projet'!$C$27)</f>
        <v>35.427775472713641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35.427775472713641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sycomore</v>
      </c>
      <c r="B10" s="154">
        <f>'Données projet'!D13</f>
        <v>0.13987584983742241</v>
      </c>
      <c r="C10" s="147">
        <f ca="1">IF(OR('Données projet'!B13="",'Données projet'!C13="",'Données projet'!C13=0%),0,Calculateur!CY3)</f>
        <v>172.13940525084604</v>
      </c>
      <c r="D10" s="147">
        <f>IF(OR('Données projet'!B13="",'Données projet'!C13="",'Données projet'!C13=0%),0,Calculateur!CZ3)</f>
        <v>172.82328007157236</v>
      </c>
      <c r="E10" s="147">
        <f t="shared" ca="1" si="0"/>
        <v>172.13940525084604</v>
      </c>
      <c r="F10" s="147">
        <f t="shared" ca="1" si="1"/>
        <v>24.078145599970544</v>
      </c>
      <c r="G10" s="147">
        <f ca="1">F10*(100%-'Données projet'!$C$24)*(100%-'Données projet'!$C$25)*(100%-'Données projet'!$C$26)*(100%-'Données projet'!$C$27)</f>
        <v>21.67033103997349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2.0926476204552173</v>
      </c>
      <c r="K10" s="151">
        <f>J10*(100%-'Données projet'!$C$24)*(100%-'Données projet'!$C$25)*(100%-'Données projet'!$C$26)*(100%-'Données projet'!$C$27)</f>
        <v>1.8833828584096957</v>
      </c>
      <c r="L10" s="152">
        <f t="shared" ca="1" si="2"/>
        <v>23.553713898383187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Châtaignier</v>
      </c>
      <c r="B11" s="154">
        <f>'Données projet'!D14</f>
        <v>0.13987584983742241</v>
      </c>
      <c r="C11" s="147">
        <f ca="1">IF(OR('Données projet'!B14="",'Données projet'!C14="",'Données projet'!C14=0%),0,Calculateur!DT3)</f>
        <v>197.34725966440715</v>
      </c>
      <c r="D11" s="147">
        <f>IF(OR('Données projet'!B14="",'Données projet'!C14="",'Données projet'!C14=0%),0,Calculateur!DU3)</f>
        <v>240.16326570529532</v>
      </c>
      <c r="E11" s="147">
        <f t="shared" ca="1" si="0"/>
        <v>197.34725966440715</v>
      </c>
      <c r="F11" s="147">
        <f t="shared" ca="1" si="1"/>
        <v>27.604115658645423</v>
      </c>
      <c r="G11" s="147">
        <f ca="1">F11*(100%-'Données projet'!$C$24)*(100%-'Données projet'!$C$25)*(100%-'Données projet'!$C$26)*(100%-'Données projet'!$C$27)</f>
        <v>24.843704092780882</v>
      </c>
      <c r="H11" s="155">
        <f>IF(OR('Données projet'!B14="",'Données projet'!C14="",'Données projet'!C14=0%),0,AVERAGE(Calculateur!$ED$3:$ED$33)*B11)</f>
        <v>1.399080055567375</v>
      </c>
      <c r="I11" s="149">
        <f>H11*(100%-'Données projet'!$C$24)*(100%-'Données projet'!$C$25)*(100%-'Données projet'!$C$26)*(100%-'Données projet'!$C$27)</f>
        <v>1.2591720500106376</v>
      </c>
      <c r="J11" s="150">
        <f>IF(OR('Données projet'!B14="",'Données projet'!C14="",'Données projet'!C14=0%),0,SUM(Calculateur!$DW$3:$DW$33)*VLOOKUP('Données projet'!$B$14,Paramètres!$A$1:$I$89,9,0)*B11)</f>
        <v>5.0704995566065625</v>
      </c>
      <c r="K11" s="151">
        <f>J11*(100%-'Données projet'!$C$24)*(100%-'Données projet'!$C$25)*(100%-'Données projet'!$C$26)*(100%-'Données projet'!$C$27)</f>
        <v>4.5634496009459067</v>
      </c>
      <c r="L11" s="152">
        <f t="shared" ca="1" si="2"/>
        <v>30.666325743737424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Merisier</v>
      </c>
      <c r="B12" s="154">
        <f>'Données projet'!D15</f>
        <v>0.13987584983742241</v>
      </c>
      <c r="C12" s="147">
        <f ca="1">IF(OR('Données projet'!B15="",'Données projet'!C15="",'Données projet'!C15=0%),0,Calculateur!EO3)</f>
        <v>288.82868507674738</v>
      </c>
      <c r="D12" s="147">
        <f>IF(OR('Données projet'!B15="",'Données projet'!C15="",'Données projet'!C15=0%),0,Calculateur!EP3)</f>
        <v>283.48738729114024</v>
      </c>
      <c r="E12" s="147">
        <f t="shared" ca="1" si="0"/>
        <v>283.48738729114024</v>
      </c>
      <c r="F12" s="147">
        <f t="shared" ca="1" si="1"/>
        <v>39.65303921553874</v>
      </c>
      <c r="G12" s="147">
        <f ca="1">F12*(100%-'Données projet'!$C$24)*(100%-'Données projet'!$C$25)*(100%-'Données projet'!$C$26)*(100%-'Données projet'!$C$27)</f>
        <v>35.687735293984865</v>
      </c>
      <c r="H12" s="155">
        <f>IF(OR('Données projet'!B15="",'Données projet'!C15="",'Données projet'!C15=0%),0,AVERAGE(Calculateur!$EY$3:$EY$33)*B12)</f>
        <v>0.35906705388617799</v>
      </c>
      <c r="I12" s="149">
        <f>H12*(100%-'Données projet'!$C$24)*(100%-'Données projet'!$C$25)*(100%-'Données projet'!$C$26)*(100%-'Données projet'!$C$27)</f>
        <v>0.3231603484975602</v>
      </c>
      <c r="J12" s="150">
        <f>IF(OR('Données projet'!B15="",'Données projet'!C15="",'Données projet'!C15=0%),0,SUM(Calculateur!$ER$3:$ER$33)*VLOOKUP('Données projet'!$B$15,Paramètres!$A$1:$I$89,9,0)*B12)</f>
        <v>1.923292935264558</v>
      </c>
      <c r="K12" s="151">
        <f>J12*(100%-'Données projet'!$C$24)*(100%-'Données projet'!$C$25)*(100%-'Données projet'!$C$26)*(100%-'Données projet'!$C$27)</f>
        <v>1.7309636417381022</v>
      </c>
      <c r="L12" s="152">
        <f t="shared" ca="1" si="2"/>
        <v>37.741859284220524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890.02357946753818</v>
      </c>
      <c r="G16" s="166">
        <f t="shared" ca="1" si="3"/>
        <v>801.02122152078414</v>
      </c>
      <c r="H16" s="167">
        <f t="shared" si="3"/>
        <v>1.758147109453553</v>
      </c>
      <c r="I16" s="167">
        <f t="shared" si="3"/>
        <v>1.5823323985081978</v>
      </c>
      <c r="J16" s="168">
        <f t="shared" si="3"/>
        <v>9.5068169967484479</v>
      </c>
      <c r="K16" s="168">
        <f t="shared" si="3"/>
        <v>8.5561352970736042</v>
      </c>
      <c r="L16" s="169">
        <f t="shared" ca="1" si="3"/>
        <v>811.15968921636602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Châtaignier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80" zoomScaleNormal="80" workbookViewId="0">
      <selection activeCell="T34" sqref="T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-4502.874341811892</v>
      </c>
      <c r="U10" s="178">
        <f>'Données projet'!D9</f>
        <v>2.647650014779781</v>
      </c>
      <c r="V10" s="177">
        <f>U10*T10</f>
        <v>-11922.035317649752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Aulne glutineux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-5202.0500145192318</v>
      </c>
      <c r="U11" s="178">
        <f>'Données projet'!D10</f>
        <v>3.2970736033106705E-2</v>
      </c>
      <c r="V11" s="177">
        <f t="shared" ref="V11" si="0">U11*T11</f>
        <v>-171.51541785973251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-5443.090273864701</v>
      </c>
      <c r="U12" s="178">
        <f>'Données projet'!D11</f>
        <v>0.13987584983742241</v>
      </c>
      <c r="V12" s="177">
        <f t="shared" ref="V12:V19" si="1">U12*T12</f>
        <v>-761.35687779863326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-2463.2336011869247</v>
      </c>
      <c r="U13" s="178">
        <f>'Données projet'!D12</f>
        <v>0.13987584983742241</v>
      </c>
      <c r="V13" s="177">
        <f t="shared" si="1"/>
        <v>-344.54689331411549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-4064.7963044785815</v>
      </c>
      <c r="U14" s="178">
        <f>'Données projet'!D13</f>
        <v>0.13987584983742241</v>
      </c>
      <c r="V14" s="177">
        <f t="shared" si="1"/>
        <v>-568.56683750495563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Châtaignier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-7926.4175887719584</v>
      </c>
      <c r="U15" s="178">
        <f>'Données projet'!D14</f>
        <v>0.13987584983742241</v>
      </c>
      <c r="V15" s="177">
        <f t="shared" si="1"/>
        <v>-1108.7143963957703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6"/>
      <c r="H16" s="190"/>
      <c r="I16" s="191"/>
      <c r="J16" s="202"/>
      <c r="K16" s="208"/>
      <c r="L16" s="293" t="s">
        <v>254</v>
      </c>
      <c r="M16" s="294"/>
      <c r="N16" s="2"/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-7399.3006582511225</v>
      </c>
      <c r="U16" s="178">
        <f>'Données projet'!D15</f>
        <v>0.13987584983742241</v>
      </c>
      <c r="V16" s="177">
        <f t="shared" si="1"/>
        <v>-1034.9834677754748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880+(4200+2800+(4000*0.18))/'Données projet'!D9</f>
        <v>3795.7932343418556</v>
      </c>
      <c r="F17" s="230"/>
      <c r="G17" s="296"/>
      <c r="I17" s="195"/>
      <c r="J17" s="202"/>
      <c r="K17" s="208"/>
      <c r="L17" s="266" t="s">
        <v>289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6"/>
      <c r="J18" s="202"/>
      <c r="K18" s="208"/>
      <c r="L18" s="266" t="s">
        <v>255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1399.3689851512784</v>
      </c>
      <c r="F19" s="230"/>
      <c r="G19" s="296"/>
      <c r="H19" s="212" t="s">
        <v>178</v>
      </c>
      <c r="I19" s="212" t="s">
        <v>287</v>
      </c>
      <c r="J19" s="93"/>
      <c r="K19" s="173"/>
      <c r="L19" s="293" t="s">
        <v>288</v>
      </c>
      <c r="M19" s="29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6"/>
      <c r="H20" s="190">
        <v>1</v>
      </c>
      <c r="I20" s="191">
        <f>20+(400/'Données projet'!C5+20)+(200/'Données projet'!C5+10)</f>
        <v>227.51479289940826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89.171597633136088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43.21</v>
      </c>
      <c r="C23" s="193">
        <v>58</v>
      </c>
      <c r="D23" s="182">
        <f>B23*C23</f>
        <v>2506.1799999999998</v>
      </c>
      <c r="E23" s="193"/>
      <c r="F23" s="230"/>
      <c r="H23" s="190">
        <v>4</v>
      </c>
      <c r="I23" s="191">
        <v>20</v>
      </c>
      <c r="K23" s="208"/>
      <c r="L23" s="295" t="s">
        <v>260</v>
      </c>
      <c r="M23" s="295"/>
      <c r="N23" s="295"/>
      <c r="O23" s="23"/>
      <c r="P23" s="23"/>
      <c r="Q23" s="234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-19479.181500098544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50</v>
      </c>
      <c r="B24" s="181">
        <f>'Données projet'!D37</f>
        <v>35.58</v>
      </c>
      <c r="C24" s="193">
        <v>58</v>
      </c>
      <c r="D24" s="182">
        <f t="shared" ref="D24:D42" si="2">B24*C24</f>
        <v>2063.64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550.57704869631846</v>
      </c>
      <c r="K24" s="208"/>
      <c r="O24" s="23"/>
      <c r="P24" s="23"/>
      <c r="Q24" s="234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58</v>
      </c>
      <c r="B25" s="181">
        <f>'Données projet'!D38</f>
        <v>44.93</v>
      </c>
      <c r="C25" s="193">
        <v>58</v>
      </c>
      <c r="D25" s="182">
        <f t="shared" si="2"/>
        <v>2605.94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0">
        <f ca="1">T23-T24</f>
        <v>-19479.181500098544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66</v>
      </c>
      <c r="B26" s="181">
        <f>'Données projet'!D39</f>
        <v>49.91</v>
      </c>
      <c r="C26" s="193">
        <v>106</v>
      </c>
      <c r="D26" s="182">
        <f t="shared" si="2"/>
        <v>5290.46</v>
      </c>
      <c r="E26" s="193"/>
      <c r="F26" s="233"/>
      <c r="G26" s="229"/>
      <c r="H26" s="190">
        <v>7</v>
      </c>
      <c r="I26" s="191">
        <v>20</v>
      </c>
      <c r="K26" s="208"/>
      <c r="L26" s="297" t="s">
        <v>258</v>
      </c>
      <c r="M26" s="298"/>
      <c r="N26" s="298"/>
      <c r="O26" s="298"/>
      <c r="P26" s="299"/>
      <c r="Q26" s="234"/>
      <c r="R26" s="23"/>
      <c r="S26" s="186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74</v>
      </c>
      <c r="B27" s="181">
        <f>'Données projet'!D40</f>
        <v>47.4</v>
      </c>
      <c r="C27" s="193">
        <v>106</v>
      </c>
      <c r="D27" s="182">
        <f t="shared" si="2"/>
        <v>5024.3999999999996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84</v>
      </c>
      <c r="B28" s="181">
        <f>'Données projet'!D41</f>
        <v>61.47</v>
      </c>
      <c r="C28" s="193">
        <v>106</v>
      </c>
      <c r="D28" s="182">
        <f t="shared" si="2"/>
        <v>6515.82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94</v>
      </c>
      <c r="B29" s="181">
        <f>'Données projet'!D42</f>
        <v>61.85</v>
      </c>
      <c r="C29" s="193">
        <v>106</v>
      </c>
      <c r="D29" s="182">
        <f t="shared" si="2"/>
        <v>6556.1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326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104</v>
      </c>
      <c r="B30" s="181">
        <f>'Données projet'!D43</f>
        <v>60.19</v>
      </c>
      <c r="C30" s="193">
        <v>106</v>
      </c>
      <c r="D30" s="182">
        <f t="shared" si="2"/>
        <v>6380.1399999999994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327</v>
      </c>
      <c r="U30" s="1">
        <f>SUM(E17:E22)*U10+SUM(E$48:E53)*U11+SUM(E79:E84)*U12+SUM(E110:E115)*U13+SUM(E141:E146)*U14+SUM(E172:E177)*U15+SUM(E203:E208)*U16+SUM(E234:E239)*U17+SUM(E265:E270)*U18+SUM(E296:E301)*U19</f>
        <v>22416.880307419451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114</v>
      </c>
      <c r="B31" s="181">
        <f>'Données projet'!D44</f>
        <v>56.07</v>
      </c>
      <c r="C31" s="193">
        <v>106</v>
      </c>
      <c r="D31" s="182">
        <f t="shared" si="2"/>
        <v>5943.42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328</v>
      </c>
      <c r="U31" s="1">
        <f>SUM(I19:I23)*SUM(U10:U19)</f>
        <v>1205.6000000000001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124</v>
      </c>
      <c r="B32" s="181">
        <f>'Données projet'!D45</f>
        <v>52.53</v>
      </c>
      <c r="C32" s="193">
        <v>106</v>
      </c>
      <c r="D32" s="182">
        <f t="shared" si="2"/>
        <v>5568.18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329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134</v>
      </c>
      <c r="B33" s="181">
        <f>'Données projet'!D46</f>
        <v>54.95</v>
      </c>
      <c r="C33" s="193">
        <v>106</v>
      </c>
      <c r="D33" s="182">
        <f t="shared" si="2"/>
        <v>5824.7000000000007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25122.48030741945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144</v>
      </c>
      <c r="B34" s="181">
        <f>'Données projet'!D47</f>
        <v>56.01</v>
      </c>
      <c r="C34" s="193">
        <v>106</v>
      </c>
      <c r="D34" s="182">
        <f t="shared" si="2"/>
        <v>5937.0599999999995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154</v>
      </c>
      <c r="B35" s="181">
        <f>'Données projet'!D48</f>
        <v>55.13</v>
      </c>
      <c r="C35" s="193">
        <v>106</v>
      </c>
      <c r="D35" s="182">
        <f t="shared" si="2"/>
        <v>5843.7800000000007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164</v>
      </c>
      <c r="B36" s="181">
        <f>'Données projet'!D49</f>
        <v>59.58</v>
      </c>
      <c r="C36" s="193">
        <v>106</v>
      </c>
      <c r="D36" s="182">
        <f t="shared" si="2"/>
        <v>6315.48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174</v>
      </c>
      <c r="B37" s="181">
        <f>'Données projet'!D50</f>
        <v>214.77</v>
      </c>
      <c r="C37" s="193">
        <v>106</v>
      </c>
      <c r="D37" s="182">
        <f t="shared" si="2"/>
        <v>22765.620000000003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177</v>
      </c>
      <c r="B38" s="181">
        <f>'Données projet'!D51</f>
        <v>115.19</v>
      </c>
      <c r="C38" s="193">
        <v>106</v>
      </c>
      <c r="D38" s="182">
        <f t="shared" si="2"/>
        <v>12210.14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180</v>
      </c>
      <c r="B39" s="181">
        <f>'Données projet'!D52</f>
        <v>77.72</v>
      </c>
      <c r="C39" s="193">
        <v>106</v>
      </c>
      <c r="D39" s="182">
        <f t="shared" si="2"/>
        <v>8238.32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183</v>
      </c>
      <c r="B40" s="181">
        <f>'Données projet'!D53</f>
        <v>169.76</v>
      </c>
      <c r="C40" s="193">
        <v>106</v>
      </c>
      <c r="D40" s="182">
        <f t="shared" si="2"/>
        <v>17994.559999999998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Aulne glutineux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880+(32+35+(0.18*50))/'Données projet'!D10</f>
        <v>3185.0744127667208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1307.761161915008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10</v>
      </c>
      <c r="B54" s="181">
        <f>'Données projet'!D62</f>
        <v>1</v>
      </c>
      <c r="C54" s="191">
        <v>5</v>
      </c>
      <c r="D54" s="179">
        <f>B54*C54</f>
        <v>5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15</v>
      </c>
      <c r="B55" s="181">
        <f>'Données projet'!D63</f>
        <v>3</v>
      </c>
      <c r="C55" s="191">
        <v>5</v>
      </c>
      <c r="D55" s="179">
        <f t="shared" ref="D55:D73" si="4">B55*C55</f>
        <v>15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9</v>
      </c>
      <c r="C56" s="191">
        <v>5</v>
      </c>
      <c r="D56" s="179">
        <f t="shared" si="4"/>
        <v>45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25</v>
      </c>
      <c r="B57" s="181">
        <f>'Données projet'!D65</f>
        <v>18</v>
      </c>
      <c r="C57" s="191">
        <v>5</v>
      </c>
      <c r="D57" s="179">
        <f t="shared" si="4"/>
        <v>90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30</v>
      </c>
      <c r="B58" s="181">
        <f>'Données projet'!D66</f>
        <v>20</v>
      </c>
      <c r="C58" s="191">
        <v>5</v>
      </c>
      <c r="D58" s="179">
        <f t="shared" si="4"/>
        <v>100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35</v>
      </c>
      <c r="B59" s="181">
        <f>'Données projet'!D67</f>
        <v>21</v>
      </c>
      <c r="C59" s="191">
        <v>5</v>
      </c>
      <c r="D59" s="179">
        <f t="shared" si="4"/>
        <v>105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22</v>
      </c>
      <c r="C60" s="191">
        <v>5</v>
      </c>
      <c r="D60" s="179">
        <f t="shared" si="4"/>
        <v>110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45</v>
      </c>
      <c r="B61" s="181">
        <f>'Données projet'!D69</f>
        <v>22</v>
      </c>
      <c r="C61" s="191">
        <v>12.5</v>
      </c>
      <c r="D61" s="179">
        <f t="shared" si="4"/>
        <v>275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50</v>
      </c>
      <c r="B62" s="181">
        <f>'Données projet'!D70</f>
        <v>21</v>
      </c>
      <c r="C62" s="191">
        <v>12.5</v>
      </c>
      <c r="D62" s="179">
        <f t="shared" si="4"/>
        <v>262.5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55</v>
      </c>
      <c r="B63" s="181">
        <f>'Données projet'!D71</f>
        <v>20</v>
      </c>
      <c r="C63" s="191">
        <v>12.5</v>
      </c>
      <c r="D63" s="179">
        <f t="shared" si="4"/>
        <v>250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60</v>
      </c>
      <c r="B64" s="181">
        <f>'Données projet'!D72</f>
        <v>19</v>
      </c>
      <c r="C64" s="191">
        <v>12.5</v>
      </c>
      <c r="D64" s="179">
        <f t="shared" si="4"/>
        <v>237.5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65</v>
      </c>
      <c r="B65" s="181">
        <f>'Données projet'!D73</f>
        <v>18</v>
      </c>
      <c r="C65" s="191">
        <v>20</v>
      </c>
      <c r="D65" s="179">
        <f t="shared" si="4"/>
        <v>360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70</v>
      </c>
      <c r="B66" s="181">
        <f>'Données projet'!D74</f>
        <v>17</v>
      </c>
      <c r="C66" s="191">
        <v>20</v>
      </c>
      <c r="D66" s="179">
        <f t="shared" si="4"/>
        <v>340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75</v>
      </c>
      <c r="B67" s="181">
        <f>'Données projet'!D75</f>
        <v>16</v>
      </c>
      <c r="C67" s="191">
        <v>20</v>
      </c>
      <c r="D67" s="179">
        <f t="shared" si="4"/>
        <v>320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80</v>
      </c>
      <c r="B68" s="181">
        <f>'Données projet'!D76</f>
        <v>15</v>
      </c>
      <c r="C68" s="191">
        <v>20</v>
      </c>
      <c r="D68" s="179">
        <f t="shared" si="4"/>
        <v>300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85</v>
      </c>
      <c r="B69" s="181">
        <f>'Données projet'!D77</f>
        <v>14</v>
      </c>
      <c r="C69" s="191">
        <v>20</v>
      </c>
      <c r="D69" s="179">
        <f t="shared" si="4"/>
        <v>280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90</v>
      </c>
      <c r="B70" s="181">
        <f>'Données projet'!D78</f>
        <v>217</v>
      </c>
      <c r="C70" s="191">
        <v>20</v>
      </c>
      <c r="D70" s="179">
        <f t="shared" si="4"/>
        <v>4340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880+(174+140+(0.18*200))/'Données projet'!D11</f>
        <v>3382.2189349112427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1337.3328402366865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12.5</v>
      </c>
      <c r="D85" s="179">
        <f>B85*C85</f>
        <v>540.125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12.5</v>
      </c>
      <c r="D86" s="179">
        <f t="shared" ref="D86:D104" si="6">B86*C86</f>
        <v>444.75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12.5</v>
      </c>
      <c r="D87" s="179">
        <f t="shared" si="6"/>
        <v>561.625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20</v>
      </c>
      <c r="D88" s="179">
        <f t="shared" si="6"/>
        <v>998.19999999999993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20</v>
      </c>
      <c r="D89" s="179">
        <f t="shared" si="6"/>
        <v>948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20</v>
      </c>
      <c r="D90" s="179">
        <f t="shared" si="6"/>
        <v>1229.4000000000001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20</v>
      </c>
      <c r="D91" s="179">
        <f t="shared" si="6"/>
        <v>1237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20</v>
      </c>
      <c r="D92" s="179">
        <f t="shared" si="6"/>
        <v>1203.8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20</v>
      </c>
      <c r="D93" s="179">
        <f t="shared" si="6"/>
        <v>1121.4000000000001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20</v>
      </c>
      <c r="D94" s="179">
        <f t="shared" si="6"/>
        <v>1050.5999999999999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20</v>
      </c>
      <c r="D95" s="179">
        <f t="shared" si="6"/>
        <v>1099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20</v>
      </c>
      <c r="D96" s="179">
        <f t="shared" si="6"/>
        <v>1120.2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20</v>
      </c>
      <c r="D97" s="179">
        <f t="shared" si="6"/>
        <v>1102.6000000000001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20</v>
      </c>
      <c r="D98" s="179">
        <f t="shared" si="6"/>
        <v>1191.5999999999999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20</v>
      </c>
      <c r="D99" s="179">
        <f t="shared" si="6"/>
        <v>4295.4000000000005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20</v>
      </c>
      <c r="D100" s="179">
        <f t="shared" si="6"/>
        <v>2303.8000000000002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20</v>
      </c>
      <c r="D101" s="179">
        <f t="shared" si="6"/>
        <v>1554.4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20</v>
      </c>
      <c r="D102" s="179">
        <f t="shared" si="6"/>
        <v>3395.2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880+(122+140+(0.18*200))/'Données projet'!D12</f>
        <v>3010.4606931530006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400+430+15%*E110</f>
        <v>1281.56910397295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18.5</v>
      </c>
      <c r="D116" s="179">
        <f>B116*C116</f>
        <v>799.38499999999999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18.5</v>
      </c>
      <c r="D117" s="179">
        <f t="shared" ref="D117:D135" si="8">B117*C117</f>
        <v>658.23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18.5</v>
      </c>
      <c r="D118" s="179">
        <f t="shared" si="8"/>
        <v>831.20500000000004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32</v>
      </c>
      <c r="D119" s="179">
        <f t="shared" si="8"/>
        <v>1597.12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32</v>
      </c>
      <c r="D120" s="179">
        <f t="shared" si="8"/>
        <v>1516.8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32</v>
      </c>
      <c r="D121" s="179">
        <f t="shared" si="8"/>
        <v>1967.04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32</v>
      </c>
      <c r="D122" s="179">
        <f t="shared" si="8"/>
        <v>1979.2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32</v>
      </c>
      <c r="D123" s="179">
        <f t="shared" si="8"/>
        <v>1926.08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32</v>
      </c>
      <c r="D124" s="179">
        <f t="shared" si="8"/>
        <v>1794.24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32</v>
      </c>
      <c r="D125" s="179">
        <f t="shared" si="8"/>
        <v>1680.96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32</v>
      </c>
      <c r="D126" s="179">
        <f t="shared" si="8"/>
        <v>1758.4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32</v>
      </c>
      <c r="D127" s="179">
        <f t="shared" si="8"/>
        <v>1792.32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32</v>
      </c>
      <c r="D128" s="179">
        <f t="shared" si="8"/>
        <v>1764.16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32</v>
      </c>
      <c r="D129" s="179">
        <f t="shared" si="8"/>
        <v>1906.56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32</v>
      </c>
      <c r="D130" s="179">
        <f t="shared" si="8"/>
        <v>6872.64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32</v>
      </c>
      <c r="D131" s="179">
        <f t="shared" si="8"/>
        <v>3686.08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32</v>
      </c>
      <c r="D132" s="179">
        <f t="shared" si="8"/>
        <v>2487.04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32</v>
      </c>
      <c r="D133" s="179">
        <f t="shared" si="8"/>
        <v>5432.32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880+(148+140+(0.18*200))/'Données projet'!D13</f>
        <v>3196.3398140321219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220+430</f>
        <v>650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400+430+15%*E141</f>
        <v>1309.4509721048182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220+430</f>
        <v>650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10</v>
      </c>
      <c r="B147" s="175">
        <f>'Données projet'!D140</f>
        <v>0</v>
      </c>
      <c r="C147" s="191">
        <v>5</v>
      </c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14.42</v>
      </c>
      <c r="C148" s="191">
        <v>5</v>
      </c>
      <c r="D148" s="182">
        <f t="shared" ref="D148:D166" si="10">B148*C148</f>
        <v>72.099999999999994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20</v>
      </c>
      <c r="B149" s="175">
        <f>'Données projet'!D142</f>
        <v>15.141</v>
      </c>
      <c r="C149" s="191">
        <v>5</v>
      </c>
      <c r="D149" s="182">
        <f t="shared" si="10"/>
        <v>75.704999999999998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25</v>
      </c>
      <c r="B150" s="175">
        <f>'Données projet'!D143</f>
        <v>15.141</v>
      </c>
      <c r="C150" s="191">
        <v>5</v>
      </c>
      <c r="D150" s="182">
        <f t="shared" si="10"/>
        <v>75.704999999999998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5">
        <f>'Données projet'!D144</f>
        <v>15.141</v>
      </c>
      <c r="C151" s="191">
        <v>5</v>
      </c>
      <c r="D151" s="182">
        <f t="shared" si="10"/>
        <v>75.704999999999998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35</v>
      </c>
      <c r="B152" s="175">
        <f>'Données projet'!D145</f>
        <v>15.141</v>
      </c>
      <c r="C152" s="191">
        <v>5</v>
      </c>
      <c r="D152" s="182">
        <f t="shared" si="10"/>
        <v>75.704999999999998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40</v>
      </c>
      <c r="B153" s="175">
        <f>'Données projet'!D146</f>
        <v>15.141</v>
      </c>
      <c r="C153" s="191">
        <v>5</v>
      </c>
      <c r="D153" s="182">
        <f t="shared" si="10"/>
        <v>75.704999999999998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45</v>
      </c>
      <c r="B154" s="175">
        <f>'Données projet'!D147</f>
        <v>10.093999999999999</v>
      </c>
      <c r="C154" s="191">
        <v>15.5</v>
      </c>
      <c r="D154" s="182">
        <f t="shared" si="10"/>
        <v>156.45699999999999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50</v>
      </c>
      <c r="B155" s="175">
        <f>'Données projet'!D148</f>
        <v>7.931</v>
      </c>
      <c r="C155" s="191">
        <v>15.5</v>
      </c>
      <c r="D155" s="182">
        <f t="shared" si="10"/>
        <v>122.93049999999999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55</v>
      </c>
      <c r="B156" s="175">
        <f>'Données projet'!D149</f>
        <v>6.8494999999999999</v>
      </c>
      <c r="C156" s="191">
        <v>15.5</v>
      </c>
      <c r="D156" s="182">
        <f t="shared" si="10"/>
        <v>106.16725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60</v>
      </c>
      <c r="B157" s="175">
        <f>'Données projet'!D150</f>
        <v>6.1284999999999998</v>
      </c>
      <c r="C157" s="191">
        <v>15.5</v>
      </c>
      <c r="D157" s="182">
        <f t="shared" si="10"/>
        <v>94.991749999999996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65</v>
      </c>
      <c r="B158" s="175">
        <f>'Données projet'!D151</f>
        <v>5.7679999999999998</v>
      </c>
      <c r="C158" s="191">
        <v>26</v>
      </c>
      <c r="D158" s="182">
        <f t="shared" si="10"/>
        <v>149.96799999999999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70</v>
      </c>
      <c r="B159" s="175">
        <f>'Données projet'!D152</f>
        <v>5.4074999999999998</v>
      </c>
      <c r="C159" s="191">
        <v>26</v>
      </c>
      <c r="D159" s="182">
        <f t="shared" si="10"/>
        <v>140.595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75</v>
      </c>
      <c r="B160" s="175">
        <f>'Données projet'!D153</f>
        <v>5.0469999999999997</v>
      </c>
      <c r="C160" s="191">
        <v>26</v>
      </c>
      <c r="D160" s="182">
        <f t="shared" si="10"/>
        <v>131.22199999999998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80</v>
      </c>
      <c r="B161" s="175">
        <f>'Données projet'!D154</f>
        <v>141.30000000000001</v>
      </c>
      <c r="C161" s="191">
        <v>26</v>
      </c>
      <c r="D161" s="182">
        <f t="shared" si="10"/>
        <v>3673.8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Châtaignier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880+(170+140+((288+296+560)/2))/'Données projet'!D14</f>
        <v>7185.5917159763312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>220</f>
        <v>220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400+15%*E172</f>
        <v>1477.8387573964496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f>220</f>
        <v>220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71</v>
      </c>
      <c r="C178" s="193">
        <v>5</v>
      </c>
      <c r="D178" s="179">
        <f>B178*C178</f>
        <v>355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16</v>
      </c>
      <c r="B179" s="181">
        <f>'Données projet'!D167</f>
        <v>33</v>
      </c>
      <c r="C179" s="193">
        <v>5</v>
      </c>
      <c r="D179" s="179">
        <f t="shared" ref="D179:D197" si="11">B179*C179</f>
        <v>165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25</v>
      </c>
      <c r="B180" s="181">
        <f>'Données projet'!D168</f>
        <v>41</v>
      </c>
      <c r="C180" s="193">
        <v>5</v>
      </c>
      <c r="D180" s="179">
        <f t="shared" si="11"/>
        <v>205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45</v>
      </c>
      <c r="B181" s="181">
        <f>'Données projet'!D169</f>
        <v>231</v>
      </c>
      <c r="C181" s="193">
        <v>20</v>
      </c>
      <c r="D181" s="179">
        <f t="shared" si="11"/>
        <v>4620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880+(210+140+((288+296+560)/2))/'Données projet'!D15</f>
        <v>7471.5595942519021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f>220</f>
        <v>220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f>400+15%*E203</f>
        <v>1520.7339391377852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>
        <f>220</f>
        <v>220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15</v>
      </c>
      <c r="B209" s="181">
        <f>'Données projet'!D192</f>
        <v>3</v>
      </c>
      <c r="C209" s="193">
        <v>5</v>
      </c>
      <c r="D209" s="179">
        <f>B209*C209</f>
        <v>15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20</v>
      </c>
      <c r="B210" s="181">
        <f>'Données projet'!D193</f>
        <v>25</v>
      </c>
      <c r="C210" s="193">
        <v>5</v>
      </c>
      <c r="D210" s="179">
        <f t="shared" ref="D210:D228" si="12">B210*C210</f>
        <v>125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25</v>
      </c>
      <c r="B211" s="181">
        <f>'Données projet'!D194</f>
        <v>27</v>
      </c>
      <c r="C211" s="193">
        <v>5</v>
      </c>
      <c r="D211" s="179">
        <f t="shared" si="12"/>
        <v>135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31</v>
      </c>
      <c r="B212" s="181">
        <f>'Données projet'!D195</f>
        <v>36</v>
      </c>
      <c r="C212" s="193">
        <v>38</v>
      </c>
      <c r="D212" s="179">
        <f t="shared" si="12"/>
        <v>1368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37</v>
      </c>
      <c r="B213" s="181">
        <f>'Données projet'!D196</f>
        <v>36</v>
      </c>
      <c r="C213" s="193">
        <v>38</v>
      </c>
      <c r="D213" s="179">
        <f t="shared" si="12"/>
        <v>1368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44</v>
      </c>
      <c r="B214" s="181">
        <f>'Données projet'!D197</f>
        <v>43</v>
      </c>
      <c r="C214" s="193">
        <v>38</v>
      </c>
      <c r="D214" s="179">
        <f t="shared" si="12"/>
        <v>1634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52</v>
      </c>
      <c r="B215" s="181">
        <f>'Données projet'!D198</f>
        <v>48</v>
      </c>
      <c r="C215" s="193">
        <v>38</v>
      </c>
      <c r="D215" s="179">
        <f t="shared" si="12"/>
        <v>1824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60</v>
      </c>
      <c r="B216" s="181">
        <f>'Données projet'!D199</f>
        <v>47</v>
      </c>
      <c r="C216" s="193">
        <v>38</v>
      </c>
      <c r="D216" s="179">
        <f t="shared" si="12"/>
        <v>1786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69</v>
      </c>
      <c r="B217" s="181">
        <f>'Données projet'!D200</f>
        <v>328</v>
      </c>
      <c r="C217" s="193">
        <v>38</v>
      </c>
      <c r="D217" s="179">
        <f t="shared" si="12"/>
        <v>12464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Props1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Nathan AMIENS</cp:lastModifiedBy>
  <dcterms:created xsi:type="dcterms:W3CDTF">2021-02-01T08:22:39Z</dcterms:created>
  <dcterms:modified xsi:type="dcterms:W3CDTF">2025-03-20T11:12:33Z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